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rcjyedu-my.sharepoint.com/personal/ghamdi_as_rcjy_edu_sa/Documents/Desktop/RC/البحث/Cars life cycle research/CaS paper/files/"/>
    </mc:Choice>
  </mc:AlternateContent>
  <xr:revisionPtr revIDLastSave="1" documentId="11_5BBB41601DE63F56E9AF09574CDE04176E99CA1D" xr6:coauthVersionLast="47" xr6:coauthVersionMax="47" xr10:uidLastSave="{18F6E1B7-3E1C-420D-A056-2B94802D756B}"/>
  <bookViews>
    <workbookView xWindow="-98" yWindow="-98" windowWidth="21795" windowHeight="12975" tabRatio="500" xr2:uid="{00000000-000D-0000-FFFF-FFFF00000000}"/>
  </bookViews>
  <sheets>
    <sheet name="README" sheetId="1" r:id="rId1"/>
    <sheet name="Inputs &amp; Sources" sheetId="2" r:id="rId2"/>
    <sheet name="Model (base case)" sheetId="3" r:id="rId3"/>
    <sheet name="Scenarios" sheetId="4" r:id="rId4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11" i="4" l="1"/>
  <c r="C13" i="4" s="1"/>
  <c r="G10" i="4"/>
  <c r="G11" i="4" s="1"/>
  <c r="F10" i="4"/>
  <c r="F11" i="4" s="1"/>
  <c r="F13" i="4" s="1"/>
  <c r="F15" i="4" s="1"/>
  <c r="E10" i="4"/>
  <c r="D10" i="4"/>
  <c r="D11" i="4" s="1"/>
  <c r="C10" i="4"/>
  <c r="G8" i="4"/>
  <c r="F8" i="4"/>
  <c r="E8" i="4"/>
  <c r="D8" i="4"/>
  <c r="C8" i="4"/>
  <c r="G7" i="4"/>
  <c r="F7" i="4"/>
  <c r="E7" i="4"/>
  <c r="D7" i="4"/>
  <c r="C7" i="4"/>
  <c r="G6" i="4"/>
  <c r="F6" i="4"/>
  <c r="E6" i="4"/>
  <c r="D6" i="4"/>
  <c r="C6" i="4"/>
  <c r="F40" i="3"/>
  <c r="F41" i="3" s="1"/>
  <c r="D19" i="3"/>
  <c r="D17" i="3"/>
  <c r="D14" i="3"/>
  <c r="C8" i="3"/>
  <c r="E40" i="3" s="1"/>
  <c r="E41" i="3" s="1"/>
  <c r="C6" i="3"/>
  <c r="C7" i="3" s="1"/>
  <c r="C9" i="3" s="1"/>
  <c r="C10" i="3" s="1"/>
  <c r="E15" i="3" l="1"/>
  <c r="D15" i="3"/>
  <c r="D22" i="3" s="1"/>
  <c r="F14" i="3"/>
  <c r="C11" i="3"/>
  <c r="D16" i="4"/>
  <c r="E11" i="4"/>
  <c r="D27" i="3"/>
  <c r="C15" i="4"/>
  <c r="F17" i="4"/>
  <c r="C16" i="4"/>
  <c r="C18" i="4"/>
  <c r="E14" i="3"/>
  <c r="F12" i="4"/>
  <c r="F16" i="4" s="1"/>
  <c r="D13" i="4"/>
  <c r="D12" i="4"/>
  <c r="G12" i="4"/>
  <c r="G13" i="4"/>
  <c r="G18" i="4"/>
  <c r="F15" i="3"/>
  <c r="D18" i="4"/>
  <c r="F18" i="4"/>
  <c r="C12" i="4"/>
  <c r="C17" i="4" s="1"/>
  <c r="D40" i="3"/>
  <c r="D41" i="3" s="1"/>
  <c r="F24" i="4" l="1"/>
  <c r="F20" i="4"/>
  <c r="F22" i="4"/>
  <c r="C24" i="4"/>
  <c r="C20" i="4"/>
  <c r="C22" i="4"/>
  <c r="C23" i="4"/>
  <c r="C21" i="4"/>
  <c r="F21" i="4"/>
  <c r="F23" i="4"/>
  <c r="D42" i="3"/>
  <c r="D21" i="4"/>
  <c r="D23" i="4"/>
  <c r="G15" i="4"/>
  <c r="G17" i="4"/>
  <c r="G23" i="4" s="1"/>
  <c r="E12" i="4"/>
  <c r="E13" i="4"/>
  <c r="G16" i="4"/>
  <c r="D20" i="4"/>
  <c r="D22" i="4"/>
  <c r="D24" i="4"/>
  <c r="F18" i="3"/>
  <c r="E18" i="3"/>
  <c r="D18" i="3"/>
  <c r="D20" i="3" s="1"/>
  <c r="F23" i="3"/>
  <c r="D23" i="3"/>
  <c r="E23" i="3"/>
  <c r="D17" i="4"/>
  <c r="D15" i="4"/>
  <c r="F22" i="3"/>
  <c r="F19" i="3"/>
  <c r="F17" i="3"/>
  <c r="D32" i="3"/>
  <c r="D44" i="3" s="1"/>
  <c r="E22" i="3"/>
  <c r="F32" i="3" s="1"/>
  <c r="F44" i="3" s="1"/>
  <c r="E19" i="3"/>
  <c r="E17" i="3"/>
  <c r="G21" i="4" l="1"/>
  <c r="F33" i="3"/>
  <c r="E33" i="3"/>
  <c r="D33" i="3"/>
  <c r="D28" i="3"/>
  <c r="E20" i="3"/>
  <c r="F28" i="3" s="1"/>
  <c r="E32" i="3"/>
  <c r="E44" i="3" s="1"/>
  <c r="G24" i="4"/>
  <c r="G20" i="4"/>
  <c r="G22" i="4"/>
  <c r="F27" i="3"/>
  <c r="F42" i="3" s="1"/>
  <c r="E27" i="3"/>
  <c r="E42" i="3" s="1"/>
  <c r="F20" i="3"/>
  <c r="E17" i="4"/>
  <c r="E15" i="4"/>
  <c r="E16" i="4"/>
  <c r="E18" i="4"/>
  <c r="F30" i="3" l="1"/>
  <c r="F37" i="3"/>
  <c r="F29" i="3"/>
  <c r="F43" i="3"/>
  <c r="D37" i="3"/>
  <c r="D29" i="3"/>
  <c r="D43" i="3"/>
  <c r="D30" i="3"/>
  <c r="E24" i="4"/>
  <c r="E20" i="4"/>
  <c r="E22" i="4"/>
  <c r="E28" i="3"/>
  <c r="D45" i="3"/>
  <c r="D35" i="3"/>
  <c r="D34" i="3"/>
  <c r="E21" i="4"/>
  <c r="E23" i="4"/>
  <c r="E45" i="3"/>
  <c r="E35" i="3"/>
  <c r="E34" i="3"/>
  <c r="F45" i="3"/>
  <c r="F35" i="3"/>
  <c r="F34" i="3"/>
  <c r="E30" i="3" l="1"/>
  <c r="E29" i="3"/>
  <c r="E43" i="3"/>
  <c r="E37" i="3"/>
</calcChain>
</file>

<file path=xl/sharedStrings.xml><?xml version="1.0" encoding="utf-8"?>
<sst xmlns="http://schemas.openxmlformats.org/spreadsheetml/2006/main" count="153" uniqueCount="126">
  <si>
    <t>Car-as-a-Service (CaaS) Financial Viability Model — Toyota / KINTO passenger-ICE case</t>
  </si>
  <si>
    <t>Purpose</t>
  </si>
  <si>
    <t>A life-cycle-costing engine that compares a one-off SALES business model against a retained-ownership PRODUCT-AS-A-SERVICE (PaaS / subscription) model, from the provider (OEM, NPV) and user (TCO) perspectives. It operationalises the method of Vogt Duberg &amp; Sakao (2024), 'How can manufacturers identify the conditions for financially viable product-as-a-service?', Frontiers in Manufacturing Technology, adapted from their construction-machine case to a passenger-ICE car case anchored on Toyota's KINTO subscription.</t>
  </si>
  <si>
    <t>How the comparison works</t>
  </si>
  <si>
    <t>Provider SALES: sells a new car each use cycle and earns the manufacturing margin. Provider PaaS: manufactures the car once, then reconditions/remanufactures the returned core for each subsequent cycle, collects the monthly subscription fee, and bears all running costs (maintenance, repair, insurance, subscription management). User SALES: buys the car, recovers its residual value at resale, and pays running costs. User PaaS: pays only the all-inclusive fee.</t>
  </si>
  <si>
    <t>A WIN-WIN exists when PaaS is at least as profitable for the provider (NPV_PaaS &gt;= NPV_Sales) AND at least as cheap for the user (TCO_PaaS &lt;= TCO_Sales). Discounting uses Toyota's cost of capital; the EAA (equivalent annual annuity) makes different horizons comparable, exactly as in the source paper.</t>
  </si>
  <si>
    <t>Input colour / tag convention</t>
  </si>
  <si>
    <t>BLUE cells on the 'Inputs &amp; Sources' sheet are the values you change. Every input carries a TYPE tag:</t>
  </si>
  <si>
    <t xml:space="preserve">   PUBLIC = a real, publicly documented figure (e.g. KINTO contract length, Toyota WACC).</t>
  </si>
  <si>
    <t xml:space="preserve">   BENCHMARK = a defensible industry/market benchmark you should refine (e.g. residual value, insurance).</t>
  </si>
  <si>
    <t xml:space="preserve">   ASSUMPTION = an estimate with weak public data — the drivers to stress-test hardest (e.g. manufacturing cost, subscription management cost).</t>
  </si>
  <si>
    <t>The 'Inputs &amp; Sources' sheet doubles as the backbone of your paper's Methods section: it states every parameter, its value, and where it came from.</t>
  </si>
  <si>
    <t>Sheets</t>
  </si>
  <si>
    <t>Inputs &amp; Sources — all parameters, tags and sources (edit the blue cells).</t>
  </si>
  <si>
    <t>Model (base case) — full per-cycle build-up, provider NPV &amp; user TCO for 1 / 2 / 3 use cycles, plus EAA and the win-win test.</t>
  </si>
  <si>
    <t>Scenarios — one-lever and combined interventions (fee, management cost, cycle length) showing how the PaaS-to-Sales ratios move, mirroring Figures 5–8 of the source paper.</t>
  </si>
  <si>
    <t>Important caveats (state these in your Limitations section)</t>
  </si>
  <si>
    <t>1. This is a SECONDARY-DATA, illustrative case: roughly a third of inputs are real Toyota/KINTO public figures; the rest are transparent benchmarks/assumptions to be stress-tested, not insider-validated data.</t>
  </si>
  <si>
    <t>2. Deterministic, single representative model; identical failure/usage assumed across Sales and PaaS (a known simplification of the source method that likely favours Sales).</t>
  </si>
  <si>
    <t>3. Cost-centric: it omits non-cost PaaS benefits (convenience, flexibility, depreciation-risk transfer), which tend to understate PaaS value to the user.</t>
  </si>
  <si>
    <t>4. KINTO ONE blurs into full-service leasing; treat 'PaaS' here as retained-ownership subscription with core take-back.</t>
  </si>
  <si>
    <t>Inputs &amp; Sources</t>
  </si>
  <si>
    <t>Edit the BLUE value cells. TYPE: PUBLIC / BENCHMARK / ASSUMPTION. Base case = representative European C-segment Toyota (Corolla-class), EUR.</t>
  </si>
  <si>
    <t>Parameter</t>
  </si>
  <si>
    <t>Value</t>
  </si>
  <si>
    <t>Unit</t>
  </si>
  <si>
    <t>Type</t>
  </si>
  <si>
    <t>Source / note</t>
  </si>
  <si>
    <t>Discount rate (provider &amp; user), annual</t>
  </si>
  <si>
    <t>%/yr</t>
  </si>
  <si>
    <t>PUBLIC-deriv</t>
  </si>
  <si>
    <t>Third-party WACC estimates for Toyota Motor cluster ~6.0-7.0% (Alpha Spread ~6.0%; valueinvesting.io ~7.0%), 2025-26. Replace with your own WACC.</t>
  </si>
  <si>
    <t>Use-cycle length</t>
  </si>
  <si>
    <t>months</t>
  </si>
  <si>
    <t>PUBLIC</t>
  </si>
  <si>
    <t>KINTO ONE standard contract ~3 years (Toyota Global Newsroom, 2019 &amp; 2025).</t>
  </si>
  <si>
    <t>New vehicle price (SN)</t>
  </si>
  <si>
    <t>EUR</t>
  </si>
  <si>
    <t>BENCHMARK</t>
  </si>
  <si>
    <t>Representative European C-segment Toyota (Corolla-class) transaction price. Replace with local list price.</t>
  </si>
  <si>
    <t>Subscription fee (monthly)</t>
  </si>
  <si>
    <t>EUR/mo</t>
  </si>
  <si>
    <t>Anchor: KINTO ONE Japan from ¥54,340/mo (~€330, GR Yaris 3-yr, Toyota Newsroom); European C-seg full-service lease incl. insurance &amp; maintenance ~€400-550/mo.</t>
  </si>
  <si>
    <t>Residual value at cycle end (% of SN)</t>
  </si>
  <si>
    <t>fraction</t>
  </si>
  <si>
    <t>Corolla-class 3-yr resale retention ~55-60% (industry residual benchmarks). This is the base case's toughest lever for PaaS.</t>
  </si>
  <si>
    <t>Terminal residual to provider after horizon (% of SN)</t>
  </si>
  <si>
    <t>ASSUMPTION</t>
  </si>
  <si>
    <t>Used/salvage value of the core retained by the provider at the end of the modelled horizon (PaaS).</t>
  </si>
  <si>
    <t>Manufacturing cost (CMf)</t>
  </si>
  <si>
    <t>~75% of SN (illustrative COGS). Replace with a cost-structure estimate.</t>
  </si>
  <si>
    <t>Remanufacturing / reconditioning cost (CRf)</t>
  </si>
  <si>
    <t>Cost to restore a returned core to CPO-grade for the next use cycle. Estimate.</t>
  </si>
  <si>
    <t>Sales commission (Ccs)</t>
  </si>
  <si>
    <t>~3% of SN dealer/sales commission in the Sales model.</t>
  </si>
  <si>
    <t>Subscription setup cost (Ccl)</t>
  </si>
  <si>
    <t>Per-cycle acquisition/setup cost in PaaS.</t>
  </si>
  <si>
    <t>Maintenance cost (monthly)</t>
  </si>
  <si>
    <t>Scheduled maintenance for C-segment ICE ~€500-600/yr. Provider bears it in PaaS; user bears it in Sales.</t>
  </si>
  <si>
    <t>Repair cost (monthly, expected)</t>
  </si>
  <si>
    <t>Expected non-warranty repair provision. Estimate.</t>
  </si>
  <si>
    <t>Subscription management cost (monthly)</t>
  </si>
  <si>
    <t>KEY UNCERTAIN DRIVER: fleet ops, telematics, remarketing and admin per vehicle. Provider only (PaaS).</t>
  </si>
  <si>
    <t>Insurance cost (monthly)</t>
  </si>
  <si>
    <t>Comprehensive insurance ~€900/yr. Bundled by provider in PaaS; paid by user in Sales.</t>
  </si>
  <si>
    <t>Recycling / disposal at end of life (Crc)</t>
  </si>
  <si>
    <t>End-of-life handling cost. Estimate.</t>
  </si>
  <si>
    <t>Model — base case (per-cycle build-up)</t>
  </si>
  <si>
    <t>All values discounted to today (EUR). Cycle length taken from Inputs; base case assumes an integer number of months per cycle.</t>
  </si>
  <si>
    <t>Discounting constants</t>
  </si>
  <si>
    <t>Annual discount rate (r)</t>
  </si>
  <si>
    <t>Monthly rate  r_m = (1+r)^(1/12)-1</t>
  </si>
  <si>
    <t>Cycle length L (months)</t>
  </si>
  <si>
    <t>Per-month discount v = 1/(1+r_m)</t>
  </si>
  <si>
    <t>Cycle discount  vL = v^L</t>
  </si>
  <si>
    <t>Annuity factor  AF = (1-vL)/r_m</t>
  </si>
  <si>
    <t>Per-cycle present values</t>
  </si>
  <si>
    <t>Cycle 1</t>
  </si>
  <si>
    <t>Cycle 2</t>
  </si>
  <si>
    <t>Cycle 3</t>
  </si>
  <si>
    <t>Discount to cycle start  (vL^k)</t>
  </si>
  <si>
    <t>Discount to cycle end  (vL^(k+1))</t>
  </si>
  <si>
    <t>PROVIDER — Sales: (SN - CMf - Ccs) x dstart</t>
  </si>
  <si>
    <t>PROVIDER — PaaS operating: (fee-maint-repair-mgmt-ins) x AF x dstart</t>
  </si>
  <si>
    <t>PROVIDER — PaaS capex: -(Manuf. cyc1 / Reman later) - setup, x dstart</t>
  </si>
  <si>
    <t>PROVIDER — PaaS per-cycle total</t>
  </si>
  <si>
    <t>USER — Sales: SN x dstart - RV x dend + running x AF x dstart</t>
  </si>
  <si>
    <t>USER — PaaS: fee x AF x dstart</t>
  </si>
  <si>
    <t>Cumulative result after K use cycles</t>
  </si>
  <si>
    <t>K = 1</t>
  </si>
  <si>
    <t>K = 2</t>
  </si>
  <si>
    <t>K = 3</t>
  </si>
  <si>
    <t>Provider NPV — Sales</t>
  </si>
  <si>
    <t>Provider NPV — PaaS  (incl. terminal residual &amp; recycling)</t>
  </si>
  <si>
    <t>Provider  PaaS / Sales</t>
  </si>
  <si>
    <t>Provider OK?  (PaaS &gt;= Sales)</t>
  </si>
  <si>
    <t>User TCO — Sales</t>
  </si>
  <si>
    <t>User TCO — PaaS</t>
  </si>
  <si>
    <t>User  PaaS / Sales</t>
  </si>
  <si>
    <t>User OK?  (PaaS &lt;= Sales)</t>
  </si>
  <si>
    <t>WIN-WIN?  (provider AND user)</t>
  </si>
  <si>
    <t>Equivalent annual annuity (EAA, per year)</t>
  </si>
  <si>
    <t>Horizon (years) = K x L / 12</t>
  </si>
  <si>
    <t>Annuity conv. = r/(1-(1+r)^-years)</t>
  </si>
  <si>
    <t>Provider EAA — Sales</t>
  </si>
  <si>
    <t>Provider EAA — PaaS</t>
  </si>
  <si>
    <t>User EAA — Sales</t>
  </si>
  <si>
    <t>User EAA — PaaS</t>
  </si>
  <si>
    <t>Scenarios — interventions toward a win-win (K = 3 cycles)</t>
  </si>
  <si>
    <t>Each column overrides one or more levers; everything else is pulled from Inputs. Mirrors the sensitivity logic of the source paper's Figures 5-8.</t>
  </si>
  <si>
    <t>Lever / output</t>
  </si>
  <si>
    <t>Base case</t>
  </si>
  <si>
    <t>Higher fee (+25%)</t>
  </si>
  <si>
    <t>Lower mgmt (-50%)</t>
  </si>
  <si>
    <t>Longer cycle (48 mo)</t>
  </si>
  <si>
    <t>Combined</t>
  </si>
  <si>
    <t>Subscription fee (EUR/mo)</t>
  </si>
  <si>
    <t>Management cost (EUR/mo)</t>
  </si>
  <si>
    <t>r_m</t>
  </si>
  <si>
    <t>vL = (1/(1+r_m))^L</t>
  </si>
  <si>
    <t>AF = (1-vL)/r_m</t>
  </si>
  <si>
    <t>S = 1+vL+vL^2  (3-cycle start sum)</t>
  </si>
  <si>
    <t>Provider NPV — PaaS</t>
  </si>
  <si>
    <t>Provider OK? (PaaS&gt;=Sales)</t>
  </si>
  <si>
    <t>User OK? (PaaS&lt;=Sales)</t>
  </si>
  <si>
    <t>WIN-WIN?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</si>
</sst>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%"/>
    <numFmt numFmtId="165" formatCode="#,##0;\(#,##0\);\-"/>
    <numFmt numFmtId="166" formatCode="0.0000"/>
    <numFmt numFmtId="167" formatCode="0.000"/>
    <numFmt numFmtId="168" formatCode="0.00\x"/>
    <numFmt numFmtId="169" formatCode="0.0"/>
  </numFmts>
  <fonts count="11" x14ac:knownFonts="1">
    <font>
      <sz val="11"/>
      <color theme="1"/>
      <name val="Calibri"/>
      <family val="2"/>
      <charset val="1"/>
    </font>
    <font>
      <b/>
      <sz val="14"/>
      <name val="Arial"/>
      <charset val="1"/>
    </font>
    <font>
      <b/>
      <sz val="11"/>
      <name val="Arial"/>
      <charset val="1"/>
    </font>
    <font>
      <sz val="10"/>
      <name val="Arial"/>
      <charset val="1"/>
    </font>
    <font>
      <i/>
      <sz val="9"/>
      <color rgb="FF595959"/>
      <name val="Arial"/>
      <charset val="1"/>
    </font>
    <font>
      <b/>
      <sz val="11"/>
      <color rgb="FFFFFFFF"/>
      <name val="Arial"/>
      <charset val="1"/>
    </font>
    <font>
      <sz val="11"/>
      <color rgb="FF000000"/>
      <name val="Arial"/>
      <charset val="1"/>
    </font>
    <font>
      <sz val="11"/>
      <color rgb="FF0000FF"/>
      <name val="Arial"/>
      <charset val="1"/>
    </font>
    <font>
      <b/>
      <sz val="9"/>
      <name val="Arial"/>
      <charset val="1"/>
    </font>
    <font>
      <sz val="9"/>
      <name val="Arial"/>
      <charset val="1"/>
    </font>
    <font>
      <sz val="11"/>
      <color rgb="FF008000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rgb="FFDDEBF7"/>
        <bgColor rgb="FFCCFFFF"/>
      </patternFill>
    </fill>
    <fill>
      <patternFill patternType="solid">
        <fgColor rgb="FF1F4E78"/>
        <bgColor rgb="FF003366"/>
      </patternFill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2" borderId="0" xfId="0" applyFont="1" applyFill="1"/>
    <xf numFmtId="0" fontId="3" fillId="0" borderId="0" xfId="0" applyFont="1" applyAlignment="1">
      <alignment vertical="top" wrapText="1"/>
    </xf>
    <xf numFmtId="0" fontId="4" fillId="0" borderId="0" xfId="0" applyFont="1"/>
    <xf numFmtId="0" fontId="5" fillId="3" borderId="1" xfId="0" applyFont="1" applyFill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164" fontId="7" fillId="4" borderId="1" xfId="0" applyNumberFormat="1" applyFont="1" applyFill="1" applyBorder="1" applyAlignment="1">
      <alignment horizontal="right" vertical="top"/>
    </xf>
    <xf numFmtId="0" fontId="6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horizontal="left" vertical="top" wrapText="1"/>
    </xf>
    <xf numFmtId="1" fontId="7" fillId="4" borderId="1" xfId="0" applyNumberFormat="1" applyFont="1" applyFill="1" applyBorder="1" applyAlignment="1">
      <alignment horizontal="right" vertical="top"/>
    </xf>
    <xf numFmtId="165" fontId="7" fillId="4" borderId="1" xfId="0" applyNumberFormat="1" applyFont="1" applyFill="1" applyBorder="1" applyAlignment="1">
      <alignment horizontal="right" vertical="top"/>
    </xf>
    <xf numFmtId="0" fontId="6" fillId="0" borderId="0" xfId="0" applyFont="1"/>
    <xf numFmtId="164" fontId="10" fillId="0" borderId="0" xfId="0" applyNumberFormat="1" applyFont="1"/>
    <xf numFmtId="166" fontId="6" fillId="0" borderId="0" xfId="0" applyNumberFormat="1" applyFont="1"/>
    <xf numFmtId="1" fontId="10" fillId="0" borderId="0" xfId="0" applyNumberFormat="1" applyFont="1"/>
    <xf numFmtId="167" fontId="6" fillId="0" borderId="0" xfId="0" applyNumberFormat="1" applyFont="1"/>
    <xf numFmtId="0" fontId="2" fillId="2" borderId="0" xfId="0" applyFont="1" applyFill="1" applyAlignment="1">
      <alignment horizontal="center" vertical="top"/>
    </xf>
    <xf numFmtId="0" fontId="2" fillId="0" borderId="0" xfId="0" applyFont="1"/>
    <xf numFmtId="165" fontId="6" fillId="0" borderId="0" xfId="0" applyNumberFormat="1" applyFont="1"/>
    <xf numFmtId="165" fontId="6" fillId="2" borderId="0" xfId="0" applyNumberFormat="1" applyFont="1" applyFill="1"/>
    <xf numFmtId="168" fontId="6" fillId="0" borderId="0" xfId="0" applyNumberFormat="1" applyFont="1"/>
    <xf numFmtId="0" fontId="2" fillId="0" borderId="0" xfId="0" applyFont="1" applyAlignment="1">
      <alignment horizontal="center" vertical="top"/>
    </xf>
    <xf numFmtId="169" fontId="6" fillId="0" borderId="0" xfId="0" applyNumberFormat="1" applyFont="1"/>
    <xf numFmtId="0" fontId="5" fillId="3" borderId="1" xfId="0" applyFont="1" applyFill="1" applyBorder="1" applyAlignment="1">
      <alignment horizontal="center" vertical="top" wrapText="1"/>
    </xf>
    <xf numFmtId="165" fontId="10" fillId="0" borderId="0" xfId="0" applyNumberFormat="1" applyFont="1"/>
    <xf numFmtId="1" fontId="7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DDEB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003366"/>
      <rgbColor rgb="FF339966"/>
      <rgbColor rgb="FF003300"/>
      <rgbColor rgb="FF333300"/>
      <rgbColor rgb="FF993300"/>
      <rgbColor rgb="FF993366"/>
      <rgbColor rgb="FF1F4E78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23"/>
  <sheetViews>
    <sheetView showGridLines="0" tabSelected="1" zoomScaleNormal="100" workbookViewId="0">
      <selection activeCell="B5" sqref="B5"/>
    </sheetView>
  </sheetViews>
  <sheetFormatPr defaultColWidth="8.6640625" defaultRowHeight="14.25" x14ac:dyDescent="0.45"/>
  <cols>
    <col min="1" max="1" width="2" customWidth="1"/>
    <col min="2" max="2" width="104" customWidth="1"/>
  </cols>
  <sheetData>
    <row r="2" spans="2:2" ht="17.649999999999999" x14ac:dyDescent="0.5">
      <c r="B2" s="1" t="s">
        <v>0</v>
      </c>
    </row>
    <row r="4" spans="2:2" x14ac:dyDescent="0.45">
      <c r="B4" s="2" t="s">
        <v>1</v>
      </c>
    </row>
    <row r="5" spans="2:2" ht="90" customHeight="1" x14ac:dyDescent="0.45">
      <c r="B5" s="3" t="s">
        <v>2</v>
      </c>
    </row>
    <row r="6" spans="2:2" x14ac:dyDescent="0.45">
      <c r="B6" s="2" t="s">
        <v>3</v>
      </c>
    </row>
    <row r="7" spans="2:2" ht="75" customHeight="1" x14ac:dyDescent="0.45">
      <c r="B7" s="3" t="s">
        <v>4</v>
      </c>
    </row>
    <row r="8" spans="2:2" ht="60" customHeight="1" x14ac:dyDescent="0.45">
      <c r="B8" s="3" t="s">
        <v>5</v>
      </c>
    </row>
    <row r="9" spans="2:2" x14ac:dyDescent="0.45">
      <c r="B9" s="2" t="s">
        <v>6</v>
      </c>
    </row>
    <row r="10" spans="2:2" ht="30" customHeight="1" x14ac:dyDescent="0.45">
      <c r="B10" s="3" t="s">
        <v>7</v>
      </c>
    </row>
    <row r="11" spans="2:2" ht="15" customHeight="1" x14ac:dyDescent="0.45">
      <c r="B11" s="3" t="s">
        <v>8</v>
      </c>
    </row>
    <row r="12" spans="2:2" ht="30" customHeight="1" x14ac:dyDescent="0.45">
      <c r="B12" s="3" t="s">
        <v>9</v>
      </c>
    </row>
    <row r="13" spans="2:2" ht="30" customHeight="1" x14ac:dyDescent="0.45">
      <c r="B13" s="3" t="s">
        <v>10</v>
      </c>
    </row>
    <row r="14" spans="2:2" ht="30" customHeight="1" x14ac:dyDescent="0.45">
      <c r="B14" s="3" t="s">
        <v>11</v>
      </c>
    </row>
    <row r="15" spans="2:2" x14ac:dyDescent="0.45">
      <c r="B15" s="2" t="s">
        <v>12</v>
      </c>
    </row>
    <row r="16" spans="2:2" ht="15" customHeight="1" x14ac:dyDescent="0.45">
      <c r="B16" s="3" t="s">
        <v>13</v>
      </c>
    </row>
    <row r="17" spans="2:2" ht="30" customHeight="1" x14ac:dyDescent="0.45">
      <c r="B17" s="3" t="s">
        <v>14</v>
      </c>
    </row>
    <row r="18" spans="2:2" ht="30" customHeight="1" x14ac:dyDescent="0.45">
      <c r="B18" s="3" t="s">
        <v>15</v>
      </c>
    </row>
    <row r="19" spans="2:2" x14ac:dyDescent="0.45">
      <c r="B19" s="2" t="s">
        <v>16</v>
      </c>
    </row>
    <row r="20" spans="2:2" ht="45" customHeight="1" x14ac:dyDescent="0.45">
      <c r="B20" s="3" t="s">
        <v>17</v>
      </c>
    </row>
    <row r="21" spans="2:2" ht="30" customHeight="1" x14ac:dyDescent="0.45">
      <c r="B21" s="3" t="s">
        <v>18</v>
      </c>
    </row>
    <row r="22" spans="2:2" ht="30" customHeight="1" x14ac:dyDescent="0.45">
      <c r="B22" s="3" t="s">
        <v>19</v>
      </c>
    </row>
    <row r="23" spans="2:2" ht="30" customHeight="1" x14ac:dyDescent="0.45">
      <c r="B23" s="3" t="s">
        <v>20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20"/>
  <sheetViews>
    <sheetView showGridLines="0" zoomScaleNormal="100" workbookViewId="0"/>
  </sheetViews>
  <sheetFormatPr defaultColWidth="8.6640625" defaultRowHeight="14.25" x14ac:dyDescent="0.45"/>
  <cols>
    <col min="1" max="1" width="2" customWidth="1"/>
    <col min="2" max="2" width="46" customWidth="1"/>
    <col min="3" max="3" width="12" customWidth="1"/>
    <col min="4" max="4" width="10" customWidth="1"/>
    <col min="5" max="5" width="16" customWidth="1"/>
    <col min="6" max="6" width="70" customWidth="1"/>
  </cols>
  <sheetData>
    <row r="2" spans="2:6" ht="17.649999999999999" x14ac:dyDescent="0.5">
      <c r="B2" s="1" t="s">
        <v>21</v>
      </c>
    </row>
    <row r="3" spans="2:6" x14ac:dyDescent="0.45">
      <c r="B3" s="4" t="s">
        <v>22</v>
      </c>
    </row>
    <row r="5" spans="2:6" x14ac:dyDescent="0.45">
      <c r="B5" s="5" t="s">
        <v>23</v>
      </c>
      <c r="C5" s="5" t="s">
        <v>24</v>
      </c>
      <c r="D5" s="5" t="s">
        <v>25</v>
      </c>
      <c r="E5" s="5" t="s">
        <v>26</v>
      </c>
      <c r="F5" s="5" t="s">
        <v>27</v>
      </c>
    </row>
    <row r="6" spans="2:6" ht="30" customHeight="1" x14ac:dyDescent="0.45">
      <c r="B6" s="6" t="s">
        <v>28</v>
      </c>
      <c r="C6" s="7">
        <v>6.5000000000000002E-2</v>
      </c>
      <c r="D6" s="8" t="s">
        <v>29</v>
      </c>
      <c r="E6" s="9" t="s">
        <v>30</v>
      </c>
      <c r="F6" s="10" t="s">
        <v>31</v>
      </c>
    </row>
    <row r="7" spans="2:6" ht="30" customHeight="1" x14ac:dyDescent="0.45">
      <c r="B7" s="6" t="s">
        <v>32</v>
      </c>
      <c r="C7" s="11">
        <v>36</v>
      </c>
      <c r="D7" s="8" t="s">
        <v>33</v>
      </c>
      <c r="E7" s="9" t="s">
        <v>34</v>
      </c>
      <c r="F7" s="10" t="s">
        <v>35</v>
      </c>
    </row>
    <row r="8" spans="2:6" ht="30" customHeight="1" x14ac:dyDescent="0.45">
      <c r="B8" s="6" t="s">
        <v>36</v>
      </c>
      <c r="C8" s="12">
        <v>30000</v>
      </c>
      <c r="D8" s="8" t="s">
        <v>37</v>
      </c>
      <c r="E8" s="9" t="s">
        <v>38</v>
      </c>
      <c r="F8" s="10" t="s">
        <v>39</v>
      </c>
    </row>
    <row r="9" spans="2:6" ht="30" customHeight="1" x14ac:dyDescent="0.45">
      <c r="B9" s="6" t="s">
        <v>40</v>
      </c>
      <c r="C9" s="12">
        <v>480</v>
      </c>
      <c r="D9" s="8" t="s">
        <v>41</v>
      </c>
      <c r="E9" s="9" t="s">
        <v>38</v>
      </c>
      <c r="F9" s="10" t="s">
        <v>42</v>
      </c>
    </row>
    <row r="10" spans="2:6" ht="30" customHeight="1" x14ac:dyDescent="0.45">
      <c r="B10" s="6" t="s">
        <v>43</v>
      </c>
      <c r="C10" s="7">
        <v>0.56999999999999995</v>
      </c>
      <c r="D10" s="8" t="s">
        <v>44</v>
      </c>
      <c r="E10" s="9" t="s">
        <v>38</v>
      </c>
      <c r="F10" s="10" t="s">
        <v>45</v>
      </c>
    </row>
    <row r="11" spans="2:6" ht="30" customHeight="1" x14ac:dyDescent="0.45">
      <c r="B11" s="6" t="s">
        <v>46</v>
      </c>
      <c r="C11" s="7">
        <v>0.25</v>
      </c>
      <c r="D11" s="8" t="s">
        <v>44</v>
      </c>
      <c r="E11" s="9" t="s">
        <v>47</v>
      </c>
      <c r="F11" s="10" t="s">
        <v>48</v>
      </c>
    </row>
    <row r="12" spans="2:6" ht="30" customHeight="1" x14ac:dyDescent="0.45">
      <c r="B12" s="6" t="s">
        <v>49</v>
      </c>
      <c r="C12" s="12">
        <v>22500</v>
      </c>
      <c r="D12" s="8" t="s">
        <v>37</v>
      </c>
      <c r="E12" s="9" t="s">
        <v>47</v>
      </c>
      <c r="F12" s="10" t="s">
        <v>50</v>
      </c>
    </row>
    <row r="13" spans="2:6" ht="30" customHeight="1" x14ac:dyDescent="0.45">
      <c r="B13" s="6" t="s">
        <v>51</v>
      </c>
      <c r="C13" s="12">
        <v>3500</v>
      </c>
      <c r="D13" s="8" t="s">
        <v>37</v>
      </c>
      <c r="E13" s="9" t="s">
        <v>47</v>
      </c>
      <c r="F13" s="10" t="s">
        <v>52</v>
      </c>
    </row>
    <row r="14" spans="2:6" ht="30" customHeight="1" x14ac:dyDescent="0.45">
      <c r="B14" s="6" t="s">
        <v>53</v>
      </c>
      <c r="C14" s="12">
        <v>900</v>
      </c>
      <c r="D14" s="8" t="s">
        <v>37</v>
      </c>
      <c r="E14" s="9" t="s">
        <v>47</v>
      </c>
      <c r="F14" s="10" t="s">
        <v>54</v>
      </c>
    </row>
    <row r="15" spans="2:6" ht="30" customHeight="1" x14ac:dyDescent="0.45">
      <c r="B15" s="6" t="s">
        <v>55</v>
      </c>
      <c r="C15" s="12">
        <v>300</v>
      </c>
      <c r="D15" s="8" t="s">
        <v>37</v>
      </c>
      <c r="E15" s="9" t="s">
        <v>47</v>
      </c>
      <c r="F15" s="10" t="s">
        <v>56</v>
      </c>
    </row>
    <row r="16" spans="2:6" ht="30" customHeight="1" x14ac:dyDescent="0.45">
      <c r="B16" s="6" t="s">
        <v>57</v>
      </c>
      <c r="C16" s="12">
        <v>45</v>
      </c>
      <c r="D16" s="8" t="s">
        <v>41</v>
      </c>
      <c r="E16" s="9" t="s">
        <v>38</v>
      </c>
      <c r="F16" s="10" t="s">
        <v>58</v>
      </c>
    </row>
    <row r="17" spans="2:6" ht="30" customHeight="1" x14ac:dyDescent="0.45">
      <c r="B17" s="6" t="s">
        <v>59</v>
      </c>
      <c r="C17" s="12">
        <v>20</v>
      </c>
      <c r="D17" s="8" t="s">
        <v>41</v>
      </c>
      <c r="E17" s="9" t="s">
        <v>38</v>
      </c>
      <c r="F17" s="10" t="s">
        <v>60</v>
      </c>
    </row>
    <row r="18" spans="2:6" ht="30" customHeight="1" x14ac:dyDescent="0.45">
      <c r="B18" s="6" t="s">
        <v>61</v>
      </c>
      <c r="C18" s="12">
        <v>60</v>
      </c>
      <c r="D18" s="8" t="s">
        <v>41</v>
      </c>
      <c r="E18" s="9" t="s">
        <v>47</v>
      </c>
      <c r="F18" s="10" t="s">
        <v>62</v>
      </c>
    </row>
    <row r="19" spans="2:6" ht="30" customHeight="1" x14ac:dyDescent="0.45">
      <c r="B19" s="6" t="s">
        <v>63</v>
      </c>
      <c r="C19" s="12">
        <v>75</v>
      </c>
      <c r="D19" s="8" t="s">
        <v>41</v>
      </c>
      <c r="E19" s="9" t="s">
        <v>38</v>
      </c>
      <c r="F19" s="10" t="s">
        <v>64</v>
      </c>
    </row>
    <row r="20" spans="2:6" ht="30" customHeight="1" x14ac:dyDescent="0.45">
      <c r="B20" s="6" t="s">
        <v>65</v>
      </c>
      <c r="C20" s="12">
        <v>300</v>
      </c>
      <c r="D20" s="8" t="s">
        <v>37</v>
      </c>
      <c r="E20" s="9" t="s">
        <v>47</v>
      </c>
      <c r="F20" s="10" t="s">
        <v>66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F45"/>
  <sheetViews>
    <sheetView showGridLines="0" zoomScaleNormal="100" workbookViewId="0"/>
  </sheetViews>
  <sheetFormatPr defaultColWidth="8.6640625" defaultRowHeight="14.25" x14ac:dyDescent="0.45"/>
  <cols>
    <col min="1" max="1" width="2" customWidth="1"/>
    <col min="2" max="2" width="42" customWidth="1"/>
    <col min="3" max="7" width="13" customWidth="1"/>
  </cols>
  <sheetData>
    <row r="2" spans="2:6" ht="17.649999999999999" x14ac:dyDescent="0.5">
      <c r="B2" s="1" t="s">
        <v>67</v>
      </c>
    </row>
    <row r="3" spans="2:6" x14ac:dyDescent="0.45">
      <c r="B3" s="4" t="s">
        <v>68</v>
      </c>
    </row>
    <row r="5" spans="2:6" x14ac:dyDescent="0.45">
      <c r="B5" s="2" t="s">
        <v>69</v>
      </c>
    </row>
    <row r="6" spans="2:6" x14ac:dyDescent="0.45">
      <c r="B6" s="13" t="s">
        <v>70</v>
      </c>
      <c r="C6" s="14">
        <f>'Inputs &amp; Sources'!C6</f>
        <v>6.5000000000000002E-2</v>
      </c>
    </row>
    <row r="7" spans="2:6" x14ac:dyDescent="0.45">
      <c r="B7" s="13" t="s">
        <v>71</v>
      </c>
      <c r="C7" s="15">
        <f>(1+C6)^(1/12)-1</f>
        <v>5.2616942768477504E-3</v>
      </c>
    </row>
    <row r="8" spans="2:6" x14ac:dyDescent="0.45">
      <c r="B8" s="13" t="s">
        <v>72</v>
      </c>
      <c r="C8" s="16">
        <f>'Inputs &amp; Sources'!C7</f>
        <v>36</v>
      </c>
    </row>
    <row r="9" spans="2:6" x14ac:dyDescent="0.45">
      <c r="B9" s="13" t="s">
        <v>73</v>
      </c>
      <c r="C9" s="15">
        <f>1/(1+C7)</f>
        <v>0.99476584624003517</v>
      </c>
    </row>
    <row r="10" spans="2:6" x14ac:dyDescent="0.45">
      <c r="B10" s="13" t="s">
        <v>74</v>
      </c>
      <c r="C10" s="17">
        <f>C9^C8</f>
        <v>0.82784909180298027</v>
      </c>
    </row>
    <row r="11" spans="2:6" x14ac:dyDescent="0.45">
      <c r="B11" s="13" t="s">
        <v>75</v>
      </c>
      <c r="C11" s="17">
        <f>(1-C10)/C7</f>
        <v>32.717770957257954</v>
      </c>
    </row>
    <row r="13" spans="2:6" x14ac:dyDescent="0.45">
      <c r="B13" s="2" t="s">
        <v>76</v>
      </c>
      <c r="D13" s="18" t="s">
        <v>77</v>
      </c>
      <c r="E13" s="18" t="s">
        <v>78</v>
      </c>
      <c r="F13" s="18" t="s">
        <v>79</v>
      </c>
    </row>
    <row r="14" spans="2:6" x14ac:dyDescent="0.45">
      <c r="B14" s="13" t="s">
        <v>80</v>
      </c>
      <c r="D14" s="17">
        <f>1</f>
        <v>1</v>
      </c>
      <c r="E14" s="17">
        <f>$C$10</f>
        <v>0.82784909180298027</v>
      </c>
      <c r="F14" s="17">
        <f>$C$10^2</f>
        <v>0.68533411879901929</v>
      </c>
    </row>
    <row r="15" spans="2:6" x14ac:dyDescent="0.45">
      <c r="B15" s="13" t="s">
        <v>81</v>
      </c>
      <c r="D15" s="17">
        <f>$C$10</f>
        <v>0.82784909180298027</v>
      </c>
      <c r="E15" s="17">
        <f>$C$10^2</f>
        <v>0.68533411879901929</v>
      </c>
      <c r="F15" s="17">
        <f>$C$10^3</f>
        <v>0.56735322782936393</v>
      </c>
    </row>
    <row r="17" spans="2:6" x14ac:dyDescent="0.45">
      <c r="B17" s="19" t="s">
        <v>82</v>
      </c>
      <c r="D17" s="20">
        <f>('Inputs &amp; Sources'!C8-'Inputs &amp; Sources'!C12-'Inputs &amp; Sources'!C14)*D14</f>
        <v>6600</v>
      </c>
      <c r="E17" s="20">
        <f>('Inputs &amp; Sources'!C8-'Inputs &amp; Sources'!C12-'Inputs &amp; Sources'!C14)*E14</f>
        <v>5463.8040058996694</v>
      </c>
      <c r="F17" s="20">
        <f>('Inputs &amp; Sources'!C8-'Inputs &amp; Sources'!C12-'Inputs &amp; Sources'!C14)*F14</f>
        <v>4523.2051840735276</v>
      </c>
    </row>
    <row r="18" spans="2:6" x14ac:dyDescent="0.45">
      <c r="B18" s="13" t="s">
        <v>83</v>
      </c>
      <c r="D18" s="20">
        <f>('Inputs &amp; Sources'!C9-'Inputs &amp; Sources'!C16-'Inputs &amp; Sources'!C17-'Inputs &amp; Sources'!C18-'Inputs &amp; Sources'!C19)*$C$11*D14</f>
        <v>9160.9758680322266</v>
      </c>
      <c r="E18" s="20">
        <f>('Inputs &amp; Sources'!C9-'Inputs &amp; Sources'!C16-'Inputs &amp; Sources'!C17-'Inputs &amp; Sources'!C18-'Inputs &amp; Sources'!C19)*$C$11*E14</f>
        <v>7583.9055523794977</v>
      </c>
      <c r="F18" s="20">
        <f>('Inputs &amp; Sources'!C9-'Inputs &amp; Sources'!C16-'Inputs &amp; Sources'!C17-'Inputs &amp; Sources'!C18-'Inputs &amp; Sources'!C19)*$C$11*F14</f>
        <v>6278.3293238569468</v>
      </c>
    </row>
    <row r="19" spans="2:6" x14ac:dyDescent="0.45">
      <c r="B19" s="13" t="s">
        <v>84</v>
      </c>
      <c r="D19" s="20">
        <f>-('Inputs &amp; Sources'!C12+'Inputs &amp; Sources'!C15)*D14</f>
        <v>-22800</v>
      </c>
      <c r="E19" s="20">
        <f>-('Inputs &amp; Sources'!C13+'Inputs &amp; Sources'!C15)*E14</f>
        <v>-3145.8265488513252</v>
      </c>
      <c r="F19" s="20">
        <f>-('Inputs &amp; Sources'!C13+'Inputs &amp; Sources'!C15)*F14</f>
        <v>-2604.2696514362733</v>
      </c>
    </row>
    <row r="20" spans="2:6" x14ac:dyDescent="0.45">
      <c r="B20" s="13" t="s">
        <v>85</v>
      </c>
      <c r="D20" s="21">
        <f>D18+D19</f>
        <v>-13639.024131967773</v>
      </c>
      <c r="E20" s="21">
        <f>E18+E19</f>
        <v>4438.0790035281725</v>
      </c>
      <c r="F20" s="21">
        <f>F18+F19</f>
        <v>3674.0596724206735</v>
      </c>
    </row>
    <row r="22" spans="2:6" x14ac:dyDescent="0.45">
      <c r="B22" s="13" t="s">
        <v>86</v>
      </c>
      <c r="D22" s="20">
        <f>'Inputs &amp; Sources'!C8*D14-'Inputs &amp; Sources'!C10*'Inputs &amp; Sources'!C8*D15+('Inputs &amp; Sources'!C16+'Inputs &amp; Sources'!C17+'Inputs &amp; Sources'!C19)*$C$11*D14</f>
        <v>20424.268464185152</v>
      </c>
      <c r="E22" s="20">
        <f>'Inputs &amp; Sources'!C8*E14-'Inputs &amp; Sources'!C10*'Inputs &amp; Sources'!C8*E15+('Inputs &amp; Sources'!C16+'Inputs &amp; Sources'!C17+'Inputs &amp; Sources'!C19)*$C$11*E14</f>
        <v>16908.212098815929</v>
      </c>
      <c r="F22" s="20">
        <f>'Inputs &amp; Sources'!C8*F14-'Inputs &amp; Sources'!C10*'Inputs &amp; Sources'!C8*F15+('Inputs &amp; Sources'!C16+'Inputs &amp; Sources'!C17+'Inputs &amp; Sources'!C19)*$C$11*F14</f>
        <v>13997.448030016929</v>
      </c>
    </row>
    <row r="23" spans="2:6" x14ac:dyDescent="0.45">
      <c r="B23" s="13" t="s">
        <v>87</v>
      </c>
      <c r="D23" s="20">
        <f>'Inputs &amp; Sources'!C9*$C$11*D14</f>
        <v>15704.530059483819</v>
      </c>
      <c r="E23" s="20">
        <f>'Inputs &amp; Sources'!C9*$C$11*E14</f>
        <v>13000.980946936283</v>
      </c>
      <c r="F23" s="20">
        <f>'Inputs &amp; Sources'!C9*$C$11*F14</f>
        <v>10762.850269469052</v>
      </c>
    </row>
    <row r="26" spans="2:6" x14ac:dyDescent="0.45">
      <c r="B26" s="2" t="s">
        <v>88</v>
      </c>
      <c r="D26" s="18" t="s">
        <v>89</v>
      </c>
      <c r="E26" s="18" t="s">
        <v>90</v>
      </c>
      <c r="F26" s="18" t="s">
        <v>91</v>
      </c>
    </row>
    <row r="27" spans="2:6" x14ac:dyDescent="0.45">
      <c r="B27" s="13" t="s">
        <v>92</v>
      </c>
      <c r="D27" s="20">
        <f>D17</f>
        <v>6600</v>
      </c>
      <c r="E27" s="20">
        <f>D17+E17</f>
        <v>12063.80400589967</v>
      </c>
      <c r="F27" s="20">
        <f>D17+E17+F17</f>
        <v>16587.0091899732</v>
      </c>
    </row>
    <row r="28" spans="2:6" x14ac:dyDescent="0.45">
      <c r="B28" s="13" t="s">
        <v>93</v>
      </c>
      <c r="D28" s="20">
        <f>D20+('Inputs &amp; Sources'!C11*'Inputs &amp; Sources'!C8-'Inputs &amp; Sources'!C20)*$C$10^1</f>
        <v>-7678.5106709863157</v>
      </c>
      <c r="E28" s="20">
        <f>D20+E20+('Inputs &amp; Sources'!C11*'Inputs &amp; Sources'!C8-'Inputs &amp; Sources'!C20)*$C$10^2</f>
        <v>-4266.5394730866628</v>
      </c>
      <c r="F28" s="20">
        <f>D20+E20+F20+('Inputs &amp; Sources'!C11*'Inputs &amp; Sources'!C8-'Inputs &amp; Sources'!C20)*$C$10^3</f>
        <v>-1441.942215647508</v>
      </c>
    </row>
    <row r="29" spans="2:6" x14ac:dyDescent="0.45">
      <c r="B29" s="13" t="s">
        <v>94</v>
      </c>
      <c r="D29" s="22">
        <f>D28/D27</f>
        <v>-1.1634107077251994</v>
      </c>
      <c r="E29" s="22">
        <f>E28/E27</f>
        <v>-0.35366452165504003</v>
      </c>
      <c r="F29" s="22">
        <f>F28/F27</f>
        <v>-8.69320200605639E-2</v>
      </c>
    </row>
    <row r="30" spans="2:6" x14ac:dyDescent="0.45">
      <c r="B30" s="13" t="s">
        <v>95</v>
      </c>
      <c r="D30" s="23" t="str">
        <f>IF(D28&gt;=D27,"YES","no")</f>
        <v>no</v>
      </c>
      <c r="E30" s="23" t="str">
        <f>IF(E28&gt;=E27,"YES","no")</f>
        <v>no</v>
      </c>
      <c r="F30" s="23" t="str">
        <f>IF(F28&gt;=F27,"YES","no")</f>
        <v>no</v>
      </c>
    </row>
    <row r="32" spans="2:6" x14ac:dyDescent="0.45">
      <c r="B32" s="13" t="s">
        <v>96</v>
      </c>
      <c r="D32" s="20">
        <f>D22</f>
        <v>20424.268464185152</v>
      </c>
      <c r="E32" s="20">
        <f>D22+E22</f>
        <v>37332.480563001081</v>
      </c>
      <c r="F32" s="20">
        <f>D22+E22+F22</f>
        <v>51329.928593018012</v>
      </c>
    </row>
    <row r="33" spans="2:6" x14ac:dyDescent="0.45">
      <c r="B33" s="13" t="s">
        <v>97</v>
      </c>
      <c r="D33" s="20">
        <f>D23</f>
        <v>15704.530059483819</v>
      </c>
      <c r="E33" s="20">
        <f>D23+E23</f>
        <v>28705.5110064201</v>
      </c>
      <c r="F33" s="20">
        <f>D23+E23+F23</f>
        <v>39468.361275889154</v>
      </c>
    </row>
    <row r="34" spans="2:6" x14ac:dyDescent="0.45">
      <c r="B34" s="13" t="s">
        <v>98</v>
      </c>
      <c r="D34" s="22">
        <f>D33/D32</f>
        <v>0.76891517985196867</v>
      </c>
      <c r="E34" s="22">
        <f>E33/E32</f>
        <v>0.76891517985196867</v>
      </c>
      <c r="F34" s="22">
        <f>F33/F32</f>
        <v>0.76891517985196867</v>
      </c>
    </row>
    <row r="35" spans="2:6" x14ac:dyDescent="0.45">
      <c r="B35" s="13" t="s">
        <v>99</v>
      </c>
      <c r="D35" s="23" t="str">
        <f>IF(D33&lt;=D32,"YES","no")</f>
        <v>YES</v>
      </c>
      <c r="E35" s="23" t="str">
        <f>IF(E33&lt;=E32,"YES","no")</f>
        <v>YES</v>
      </c>
      <c r="F35" s="23" t="str">
        <f>IF(F33&lt;=F32,"YES","no")</f>
        <v>YES</v>
      </c>
    </row>
    <row r="37" spans="2:6" x14ac:dyDescent="0.45">
      <c r="B37" s="19" t="s">
        <v>100</v>
      </c>
      <c r="D37" s="23" t="str">
        <f>IF(AND(D28&gt;=D27,D33&lt;=D32),"WIN-WIN","no")</f>
        <v>no</v>
      </c>
      <c r="E37" s="23" t="str">
        <f>IF(AND(E28&gt;=E27,E33&lt;=E32),"WIN-WIN","no")</f>
        <v>no</v>
      </c>
      <c r="F37" s="23" t="str">
        <f>IF(AND(F28&gt;=F27,F33&lt;=F32),"WIN-WIN","no")</f>
        <v>no</v>
      </c>
    </row>
    <row r="39" spans="2:6" x14ac:dyDescent="0.45">
      <c r="B39" s="2" t="s">
        <v>101</v>
      </c>
    </row>
    <row r="40" spans="2:6" x14ac:dyDescent="0.45">
      <c r="B40" s="13" t="s">
        <v>102</v>
      </c>
      <c r="D40" s="24">
        <f>1*$C$8/12</f>
        <v>3</v>
      </c>
      <c r="E40" s="24">
        <f>2*$C$8/12</f>
        <v>6</v>
      </c>
      <c r="F40" s="24">
        <f>3*$C$8/12</f>
        <v>9</v>
      </c>
    </row>
    <row r="41" spans="2:6" x14ac:dyDescent="0.45">
      <c r="B41" s="13" t="s">
        <v>103</v>
      </c>
      <c r="D41" s="17">
        <f>$C$6/(1-(1+$C$6)^-D40)</f>
        <v>0.37757570192781098</v>
      </c>
      <c r="E41" s="17">
        <f>$C$6/(1-(1+$C$6)^-E40)</f>
        <v>0.20656831224254543</v>
      </c>
      <c r="F41" s="17">
        <f>$C$6/(1-(1+$C$6)^-F40)</f>
        <v>0.15023803291975996</v>
      </c>
    </row>
    <row r="42" spans="2:6" x14ac:dyDescent="0.45">
      <c r="B42" s="13" t="s">
        <v>104</v>
      </c>
      <c r="D42" s="20">
        <f>D27*D41</f>
        <v>2491.9996327235526</v>
      </c>
      <c r="E42" s="20">
        <f>E27*E41</f>
        <v>2491.9996327235535</v>
      </c>
      <c r="F42" s="20">
        <f>F27*F41</f>
        <v>2491.9996327235544</v>
      </c>
    </row>
    <row r="43" spans="2:6" x14ac:dyDescent="0.45">
      <c r="B43" s="13" t="s">
        <v>105</v>
      </c>
      <c r="D43" s="20">
        <f>D28*D41</f>
        <v>-2899.2190563578451</v>
      </c>
      <c r="E43" s="20">
        <f>E28*E41</f>
        <v>-881.33185807171105</v>
      </c>
      <c r="F43" s="20">
        <f>F28*F41</f>
        <v>-216.63456206284192</v>
      </c>
    </row>
    <row r="44" spans="2:6" x14ac:dyDescent="0.45">
      <c r="B44" s="13" t="s">
        <v>106</v>
      </c>
      <c r="D44" s="20">
        <f>D32*D41</f>
        <v>7711.7075017267625</v>
      </c>
      <c r="E44" s="20">
        <f>E32*E41</f>
        <v>7711.7075017267653</v>
      </c>
      <c r="F44" s="20">
        <f>F32*F41</f>
        <v>7711.707501726768</v>
      </c>
    </row>
    <row r="45" spans="2:6" x14ac:dyDescent="0.45">
      <c r="B45" s="13" t="s">
        <v>107</v>
      </c>
      <c r="D45" s="20">
        <f>D33*D41</f>
        <v>5929.6489606560099</v>
      </c>
      <c r="E45" s="20">
        <f>E33*E41</f>
        <v>5929.6489606560117</v>
      </c>
      <c r="F45" s="20">
        <f>F33*F41</f>
        <v>5929.6489606560135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G24"/>
  <sheetViews>
    <sheetView showGridLines="0" zoomScaleNormal="100" workbookViewId="0"/>
  </sheetViews>
  <sheetFormatPr defaultColWidth="8.6640625" defaultRowHeight="14.25" x14ac:dyDescent="0.45"/>
  <cols>
    <col min="1" max="1" width="2" customWidth="1"/>
    <col min="2" max="2" width="40" customWidth="1"/>
    <col min="3" max="7" width="14" customWidth="1"/>
  </cols>
  <sheetData>
    <row r="2" spans="2:7" ht="17.649999999999999" x14ac:dyDescent="0.5">
      <c r="B2" s="1" t="s">
        <v>108</v>
      </c>
    </row>
    <row r="3" spans="2:7" x14ac:dyDescent="0.45">
      <c r="B3" s="4" t="s">
        <v>109</v>
      </c>
    </row>
    <row r="5" spans="2:7" ht="30" customHeight="1" x14ac:dyDescent="0.45">
      <c r="B5" s="5" t="s">
        <v>110</v>
      </c>
      <c r="C5" s="25" t="s">
        <v>111</v>
      </c>
      <c r="D5" s="25" t="s">
        <v>112</v>
      </c>
      <c r="E5" s="25" t="s">
        <v>113</v>
      </c>
      <c r="F5" s="25" t="s">
        <v>114</v>
      </c>
      <c r="G5" s="25" t="s">
        <v>115</v>
      </c>
    </row>
    <row r="6" spans="2:7" x14ac:dyDescent="0.45">
      <c r="B6" s="13" t="s">
        <v>116</v>
      </c>
      <c r="C6" s="26">
        <f>'Inputs &amp; Sources'!C9</f>
        <v>480</v>
      </c>
      <c r="D6" s="20">
        <f>'Inputs &amp; Sources'!C9*1.25</f>
        <v>600</v>
      </c>
      <c r="E6" s="26">
        <f>'Inputs &amp; Sources'!C9</f>
        <v>480</v>
      </c>
      <c r="F6" s="26">
        <f>'Inputs &amp; Sources'!C9</f>
        <v>480</v>
      </c>
      <c r="G6" s="20">
        <f>'Inputs &amp; Sources'!C9*1.1</f>
        <v>528</v>
      </c>
    </row>
    <row r="7" spans="2:7" x14ac:dyDescent="0.45">
      <c r="B7" s="13" t="s">
        <v>117</v>
      </c>
      <c r="C7" s="26">
        <f>'Inputs &amp; Sources'!C18</f>
        <v>60</v>
      </c>
      <c r="D7" s="26">
        <f>'Inputs &amp; Sources'!C18</f>
        <v>60</v>
      </c>
      <c r="E7" s="20">
        <f>'Inputs &amp; Sources'!C18*0.5</f>
        <v>30</v>
      </c>
      <c r="F7" s="26">
        <f>'Inputs &amp; Sources'!C18</f>
        <v>60</v>
      </c>
      <c r="G7" s="20">
        <f>'Inputs &amp; Sources'!C18*0.5</f>
        <v>30</v>
      </c>
    </row>
    <row r="8" spans="2:7" x14ac:dyDescent="0.45">
      <c r="B8" s="13" t="s">
        <v>72</v>
      </c>
      <c r="C8" s="16">
        <f>'Inputs &amp; Sources'!C7</f>
        <v>36</v>
      </c>
      <c r="D8" s="16">
        <f>'Inputs &amp; Sources'!C7</f>
        <v>36</v>
      </c>
      <c r="E8" s="16">
        <f>'Inputs &amp; Sources'!C7</f>
        <v>36</v>
      </c>
      <c r="F8" s="27">
        <f>48</f>
        <v>48</v>
      </c>
      <c r="G8" s="27">
        <f>48</f>
        <v>48</v>
      </c>
    </row>
    <row r="10" spans="2:7" x14ac:dyDescent="0.45">
      <c r="B10" s="13" t="s">
        <v>118</v>
      </c>
      <c r="C10" s="15">
        <f>(1+'Inputs &amp; Sources'!C6)^(1/12)-1</f>
        <v>5.2616942768477504E-3</v>
      </c>
      <c r="D10" s="15">
        <f>(1+'Inputs &amp; Sources'!C6)^(1/12)-1</f>
        <v>5.2616942768477504E-3</v>
      </c>
      <c r="E10" s="15">
        <f>(1+'Inputs &amp; Sources'!C6)^(1/12)-1</f>
        <v>5.2616942768477504E-3</v>
      </c>
      <c r="F10" s="15">
        <f>(1+'Inputs &amp; Sources'!C6)^(1/12)-1</f>
        <v>5.2616942768477504E-3</v>
      </c>
      <c r="G10" s="15">
        <f>(1+'Inputs &amp; Sources'!C6)^(1/12)-1</f>
        <v>5.2616942768477504E-3</v>
      </c>
    </row>
    <row r="11" spans="2:7" x14ac:dyDescent="0.45">
      <c r="B11" s="13" t="s">
        <v>119</v>
      </c>
      <c r="C11" s="17">
        <f>(1/(1+C10))^C8</f>
        <v>0.82784909180298027</v>
      </c>
      <c r="D11" s="17">
        <f>(1/(1+D10))^D8</f>
        <v>0.82784909180298027</v>
      </c>
      <c r="E11" s="17">
        <f>(1/(1+E10))^E8</f>
        <v>0.82784909180298027</v>
      </c>
      <c r="F11" s="17">
        <f>(1/(1+F10))^F8</f>
        <v>0.77732309089481733</v>
      </c>
      <c r="G11" s="17">
        <f>(1/(1+G10))^G8</f>
        <v>0.77732309089481733</v>
      </c>
    </row>
    <row r="12" spans="2:7" x14ac:dyDescent="0.45">
      <c r="B12" s="13" t="s">
        <v>120</v>
      </c>
      <c r="C12" s="17">
        <f>(1-C11)/C10</f>
        <v>32.717770957257954</v>
      </c>
      <c r="D12" s="17">
        <f>(1-D11)/D10</f>
        <v>32.717770957257954</v>
      </c>
      <c r="E12" s="17">
        <f>(1-E11)/E10</f>
        <v>32.717770957257954</v>
      </c>
      <c r="F12" s="17">
        <f>(1-F11)/F10</f>
        <v>42.320381494796216</v>
      </c>
      <c r="G12" s="17">
        <f>(1-G11)/G10</f>
        <v>42.320381494796216</v>
      </c>
    </row>
    <row r="13" spans="2:7" x14ac:dyDescent="0.45">
      <c r="B13" s="13" t="s">
        <v>121</v>
      </c>
      <c r="C13" s="17">
        <f>1+C11+C11^2</f>
        <v>2.5131832106019996</v>
      </c>
      <c r="D13" s="17">
        <f>1+D11+D11^2</f>
        <v>2.5131832106019996</v>
      </c>
      <c r="E13" s="17">
        <f>1+E11+E11^2</f>
        <v>2.5131832106019996</v>
      </c>
      <c r="F13" s="17">
        <f>1+F11+F11^2</f>
        <v>2.3815542785330899</v>
      </c>
      <c r="G13" s="17">
        <f>1+G11+G11^2</f>
        <v>2.3815542785330899</v>
      </c>
    </row>
    <row r="15" spans="2:7" x14ac:dyDescent="0.45">
      <c r="B15" s="19" t="s">
        <v>92</v>
      </c>
      <c r="C15" s="20">
        <f>('Inputs &amp; Sources'!C8-'Inputs &amp; Sources'!C12-'Inputs &amp; Sources'!C14)*C13</f>
        <v>16587.009189973196</v>
      </c>
      <c r="D15" s="20">
        <f>('Inputs &amp; Sources'!C8-'Inputs &amp; Sources'!C12-'Inputs &amp; Sources'!C14)*D13</f>
        <v>16587.009189973196</v>
      </c>
      <c r="E15" s="20">
        <f>('Inputs &amp; Sources'!C8-'Inputs &amp; Sources'!C12-'Inputs &amp; Sources'!C14)*E13</f>
        <v>16587.009189973196</v>
      </c>
      <c r="F15" s="20">
        <f>('Inputs &amp; Sources'!C8-'Inputs &amp; Sources'!C12-'Inputs &amp; Sources'!C14)*F13</f>
        <v>15718.258238318393</v>
      </c>
      <c r="G15" s="20">
        <f>('Inputs &amp; Sources'!C8-'Inputs &amp; Sources'!C12-'Inputs &amp; Sources'!C14)*G13</f>
        <v>15718.258238318393</v>
      </c>
    </row>
    <row r="16" spans="2:7" x14ac:dyDescent="0.45">
      <c r="B16" s="19" t="s">
        <v>122</v>
      </c>
      <c r="C16" s="20">
        <f>(C6-'Inputs &amp; Sources'!C16-'Inputs &amp; Sources'!C17-C7-'Inputs &amp; Sources'!C19)*C12*C13-('Inputs &amp; Sources'!C12+'Inputs &amp; Sources'!C15)-('Inputs &amp; Sources'!C13+'Inputs &amp; Sources'!C15)*(C11+C11^2)+('Inputs &amp; Sources'!C11*'Inputs &amp; Sources'!C8-'Inputs &amp; Sources'!C20)*C11^3</f>
        <v>-1441.9422156475061</v>
      </c>
      <c r="D16" s="20">
        <f>(D6-'Inputs &amp; Sources'!C16-'Inputs &amp; Sources'!C17-D7-'Inputs &amp; Sources'!C19)*D12*D13-('Inputs &amp; Sources'!C12+'Inputs &amp; Sources'!C15)-('Inputs &amp; Sources'!C13+'Inputs &amp; Sources'!C15)*(D11+D11^2)+('Inputs &amp; Sources'!C11*'Inputs &amp; Sources'!C8-'Inputs &amp; Sources'!C20)*D11^3</f>
        <v>8425.1481033247783</v>
      </c>
      <c r="E16" s="20">
        <f>(E6-'Inputs &amp; Sources'!C16-'Inputs &amp; Sources'!C17-E7-'Inputs &amp; Sources'!C19)*E12*E13-('Inputs &amp; Sources'!C12+'Inputs &amp; Sources'!C15)-('Inputs &amp; Sources'!C13+'Inputs &amp; Sources'!C15)*(E11+E11^2)+('Inputs &amp; Sources'!C11*'Inputs &amp; Sources'!C8-'Inputs &amp; Sources'!C20)*E11^3</f>
        <v>1024.830364095566</v>
      </c>
      <c r="F16" s="20">
        <f>(F6-'Inputs &amp; Sources'!C16-'Inputs &amp; Sources'!C17-F7-'Inputs &amp; Sources'!C19)*F12*F13-('Inputs &amp; Sources'!C12+'Inputs &amp; Sources'!C15)-('Inputs &amp; Sources'!C13+'Inputs &amp; Sources'!C15)*(F11+F11^2)+('Inputs &amp; Sources'!C11*'Inputs &amp; Sources'!C8-'Inputs &amp; Sources'!C20)*F11^3</f>
        <v>3552.5302662461295</v>
      </c>
      <c r="G16" s="20">
        <f>(G6-'Inputs &amp; Sources'!C16-'Inputs &amp; Sources'!C17-G7-'Inputs &amp; Sources'!C19)*G12*G13-('Inputs &amp; Sources'!C12+'Inputs &amp; Sources'!C15)-('Inputs &amp; Sources'!C13+'Inputs &amp; Sources'!C15)*(G11+G11^2)+('Inputs &amp; Sources'!C11*'Inputs &amp; Sources'!C8-'Inputs &amp; Sources'!C20)*G11^3</f>
        <v>11414.016544456717</v>
      </c>
    </row>
    <row r="17" spans="2:7" x14ac:dyDescent="0.45">
      <c r="B17" s="19" t="s">
        <v>96</v>
      </c>
      <c r="C17" s="20">
        <f>'Inputs &amp; Sources'!C8*C13-'Inputs &amp; Sources'!C10*'Inputs &amp; Sources'!C8*C11*C13+('Inputs &amp; Sources'!C16+'Inputs &amp; Sources'!C17+'Inputs &amp; Sources'!C19)*C12*C13</f>
        <v>51329.928593018005</v>
      </c>
      <c r="D17" s="20">
        <f>'Inputs &amp; Sources'!C8*D13-'Inputs &amp; Sources'!C10*'Inputs &amp; Sources'!C8*D11*D13+('Inputs &amp; Sources'!C16+'Inputs &amp; Sources'!C17+'Inputs &amp; Sources'!C19)*D12*D13</f>
        <v>51329.928593018005</v>
      </c>
      <c r="E17" s="20">
        <f>'Inputs &amp; Sources'!C8*E13-'Inputs &amp; Sources'!C10*'Inputs &amp; Sources'!C8*E11*E13+('Inputs &amp; Sources'!C16+'Inputs &amp; Sources'!C17+'Inputs &amp; Sources'!C19)*E12*E13</f>
        <v>51329.928593018005</v>
      </c>
      <c r="F17" s="20">
        <f>'Inputs &amp; Sources'!C8*F13-'Inputs &amp; Sources'!C10*'Inputs &amp; Sources'!C8*F11*F13+('Inputs &amp; Sources'!C16+'Inputs &amp; Sources'!C17+'Inputs &amp; Sources'!C19)*F12*F13</f>
        <v>53900.833369539214</v>
      </c>
      <c r="G17" s="20">
        <f>'Inputs &amp; Sources'!C8*G13-'Inputs &amp; Sources'!C10*'Inputs &amp; Sources'!C8*G11*G13+('Inputs &amp; Sources'!C16+'Inputs &amp; Sources'!C17+'Inputs &amp; Sources'!C19)*G12*G13</f>
        <v>53900.833369539214</v>
      </c>
    </row>
    <row r="18" spans="2:7" x14ac:dyDescent="0.45">
      <c r="B18" s="19" t="s">
        <v>97</v>
      </c>
      <c r="C18" s="20">
        <f>C6*C12*C13</f>
        <v>39468.361275889154</v>
      </c>
      <c r="D18" s="20">
        <f>D6*D12*D13</f>
        <v>49335.451594861443</v>
      </c>
      <c r="E18" s="20">
        <f>E6*E12*E13</f>
        <v>39468.361275889154</v>
      </c>
      <c r="F18" s="20">
        <f>F6*F12*F13</f>
        <v>48378.377096680568</v>
      </c>
      <c r="G18" s="20">
        <f>G6*G12*G13</f>
        <v>53216.214806348631</v>
      </c>
    </row>
    <row r="20" spans="2:7" x14ac:dyDescent="0.45">
      <c r="B20" s="13" t="s">
        <v>94</v>
      </c>
      <c r="C20" s="22">
        <f>C16/C15</f>
        <v>-8.6932020060563817E-2</v>
      </c>
      <c r="D20" s="22">
        <f>D16/D15</f>
        <v>0.50793654279867151</v>
      </c>
      <c r="E20" s="22">
        <f>E16/E15</f>
        <v>6.1785120654245088E-2</v>
      </c>
      <c r="F20" s="22">
        <f>F16/F15</f>
        <v>0.22601297245426821</v>
      </c>
      <c r="G20" s="22">
        <f>G16/G15</f>
        <v>0.72616293557458678</v>
      </c>
    </row>
    <row r="21" spans="2:7" x14ac:dyDescent="0.45">
      <c r="B21" s="13" t="s">
        <v>98</v>
      </c>
      <c r="C21" s="22">
        <f>C18/C17</f>
        <v>0.76891517985196878</v>
      </c>
      <c r="D21" s="22">
        <f>D18/D17</f>
        <v>0.96114397481496094</v>
      </c>
      <c r="E21" s="22">
        <f>E18/E17</f>
        <v>0.76891517985196878</v>
      </c>
      <c r="F21" s="22">
        <f>F18/F17</f>
        <v>0.89754413934572796</v>
      </c>
      <c r="G21" s="22">
        <f>G18/G17</f>
        <v>0.98729855328030092</v>
      </c>
    </row>
    <row r="22" spans="2:7" x14ac:dyDescent="0.45">
      <c r="B22" s="13" t="s">
        <v>123</v>
      </c>
      <c r="C22" s="23" t="str">
        <f>IF(C16&gt;=C15,"YES","no")</f>
        <v>no</v>
      </c>
      <c r="D22" s="23" t="str">
        <f>IF(D16&gt;=D15,"YES","no")</f>
        <v>no</v>
      </c>
      <c r="E22" s="23" t="str">
        <f>IF(E16&gt;=E15,"YES","no")</f>
        <v>no</v>
      </c>
      <c r="F22" s="23" t="str">
        <f>IF(F16&gt;=F15,"YES","no")</f>
        <v>no</v>
      </c>
      <c r="G22" s="23" t="str">
        <f>IF(G16&gt;=G15,"YES","no")</f>
        <v>no</v>
      </c>
    </row>
    <row r="23" spans="2:7" x14ac:dyDescent="0.45">
      <c r="B23" s="13" t="s">
        <v>124</v>
      </c>
      <c r="C23" s="23" t="str">
        <f>IF(C18&lt;=C17,"YES","no")</f>
        <v>YES</v>
      </c>
      <c r="D23" s="23" t="str">
        <f>IF(D18&lt;=D17,"YES","no")</f>
        <v>YES</v>
      </c>
      <c r="E23" s="23" t="str">
        <f>IF(E18&lt;=E17,"YES","no")</f>
        <v>YES</v>
      </c>
      <c r="F23" s="23" t="str">
        <f>IF(F18&lt;=F17,"YES","no")</f>
        <v>YES</v>
      </c>
      <c r="G23" s="23" t="str">
        <f>IF(G18&lt;=G17,"YES","no")</f>
        <v>YES</v>
      </c>
    </row>
    <row r="24" spans="2:7" ht="18" customHeight="1" x14ac:dyDescent="0.45">
      <c r="B24" s="13" t="s">
        <v>125</v>
      </c>
      <c r="C24" s="23" t="str">
        <f>IF(AND(C16&gt;=C15,C18&lt;=C17),"WIN-WIN","no")</f>
        <v>no</v>
      </c>
      <c r="D24" s="23" t="str">
        <f>IF(AND(D16&gt;=D15,D18&lt;=D17),"WIN-WIN","no")</f>
        <v>no</v>
      </c>
      <c r="E24" s="23" t="str">
        <f>IF(AND(E16&gt;=E15,E18&lt;=E17),"WIN-WIN","no")</f>
        <v>no</v>
      </c>
      <c r="F24" s="23" t="str">
        <f>IF(AND(F16&gt;=F15,F18&lt;=F17),"WIN-WIN","no")</f>
        <v>no</v>
      </c>
      <c r="G24" s="23" t="str">
        <f>IF(AND(G16&gt;=G15,G18&lt;=G17),"WIN-WIN","no")</f>
        <v>no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README</vt:lpstr>
      <vt:lpstr>Inputs &amp; Sources</vt:lpstr>
      <vt:lpstr>Model (base case)</vt:lpstr>
      <vt:lpstr>Scenarios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Dr Ahmed Alghamdi</dc:creator>
  <dc:description/>
  <cp:lastModifiedBy>Dr. Ahmed S. Alghamdi</cp:lastModifiedBy>
  <cp:revision>0</cp:revision>
  <dcterms:created xsi:type="dcterms:W3CDTF">2026-07-03T16:59:59Z</dcterms:created>
  <dcterms:modified xsi:type="dcterms:W3CDTF">2026-07-11T10:49:42Z</dcterms:modified>
  <dc:language>en-US</dc:language>
</cp:coreProperties>
</file>