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J:\Francis\Hemopexin manuscript\6-5-2026\"/>
    </mc:Choice>
  </mc:AlternateContent>
  <xr:revisionPtr revIDLastSave="0" documentId="13_ncr:1_{5E1B9828-1483-4774-BFB9-F757C9E6C5D6}" xr6:coauthVersionLast="47" xr6:coauthVersionMax="47" xr10:uidLastSave="{00000000-0000-0000-0000-000000000000}"/>
  <bookViews>
    <workbookView xWindow="28680" yWindow="-120" windowWidth="29040" windowHeight="15720" xr2:uid="{298CE285-E770-4CFA-8746-B8363041F501}"/>
  </bookViews>
  <sheets>
    <sheet name="All" sheetId="1" r:id="rId1"/>
  </sheets>
  <definedNames>
    <definedName name="_xlnm._FilterDatabase" localSheetId="0" hidden="1">All!$A$1:$EZ$1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V590" i="1" l="1"/>
  <c r="EU590" i="1"/>
  <c r="ET590" i="1"/>
  <c r="EG590" i="1"/>
  <c r="EC590" i="1"/>
  <c r="DQ590" i="1"/>
  <c r="DK590" i="1"/>
  <c r="DH590" i="1"/>
  <c r="DD590" i="1"/>
  <c r="CW590" i="1"/>
  <c r="CP590" i="1"/>
  <c r="CL590" i="1"/>
  <c r="CG590" i="1"/>
  <c r="CB590" i="1"/>
  <c r="BW590" i="1"/>
  <c r="BV590" i="1"/>
  <c r="BQ590" i="1"/>
  <c r="BP590" i="1"/>
  <c r="BO590" i="1"/>
  <c r="BJ590" i="1"/>
  <c r="BI590" i="1"/>
  <c r="BH590" i="1"/>
  <c r="BC590" i="1"/>
  <c r="BB590" i="1"/>
  <c r="BA590" i="1"/>
  <c r="AV590" i="1"/>
  <c r="AU590" i="1"/>
  <c r="AT590" i="1"/>
  <c r="AO590" i="1"/>
  <c r="AN590" i="1"/>
  <c r="AC590" i="1"/>
  <c r="AB590" i="1"/>
  <c r="Y590" i="1"/>
  <c r="S590" i="1"/>
  <c r="K590" i="1"/>
  <c r="J590" i="1"/>
  <c r="C590" i="1"/>
  <c r="EV589" i="1"/>
  <c r="EU589" i="1"/>
  <c r="ET589" i="1"/>
  <c r="EG589" i="1"/>
  <c r="EC589" i="1"/>
  <c r="DQ589" i="1"/>
  <c r="DK589" i="1"/>
  <c r="DH589" i="1"/>
  <c r="DD589" i="1"/>
  <c r="CW589" i="1"/>
  <c r="CP589" i="1"/>
  <c r="CL589" i="1"/>
  <c r="CG589" i="1"/>
  <c r="CB589" i="1"/>
  <c r="BW589" i="1"/>
  <c r="BV589" i="1"/>
  <c r="BQ589" i="1"/>
  <c r="BP589" i="1"/>
  <c r="BO589" i="1"/>
  <c r="BJ589" i="1"/>
  <c r="BI589" i="1"/>
  <c r="BH589" i="1"/>
  <c r="BC589" i="1"/>
  <c r="BB589" i="1"/>
  <c r="BA589" i="1"/>
  <c r="AV589" i="1"/>
  <c r="AU589" i="1"/>
  <c r="AT589" i="1"/>
  <c r="AO589" i="1"/>
  <c r="AN589" i="1"/>
  <c r="AC589" i="1"/>
  <c r="AB589" i="1"/>
  <c r="Y589" i="1"/>
  <c r="S589" i="1"/>
  <c r="K589" i="1"/>
  <c r="J589" i="1"/>
  <c r="C589" i="1"/>
  <c r="EV588" i="1"/>
  <c r="EU588" i="1"/>
  <c r="ET588" i="1"/>
  <c r="EG588" i="1"/>
  <c r="EC588" i="1"/>
  <c r="DQ588" i="1"/>
  <c r="DK588" i="1"/>
  <c r="DH588" i="1"/>
  <c r="DD588" i="1"/>
  <c r="CW588" i="1"/>
  <c r="CP588" i="1"/>
  <c r="CL588" i="1"/>
  <c r="CG588" i="1"/>
  <c r="CB588" i="1"/>
  <c r="BW588" i="1"/>
  <c r="BV588" i="1"/>
  <c r="BQ588" i="1"/>
  <c r="BP588" i="1"/>
  <c r="BO588" i="1"/>
  <c r="BJ588" i="1"/>
  <c r="BI588" i="1"/>
  <c r="BH588" i="1"/>
  <c r="BC588" i="1"/>
  <c r="BB588" i="1"/>
  <c r="BA588" i="1"/>
  <c r="AV588" i="1"/>
  <c r="AU588" i="1"/>
  <c r="AT588" i="1"/>
  <c r="AO588" i="1"/>
  <c r="AN588" i="1"/>
  <c r="AC588" i="1"/>
  <c r="AB588" i="1"/>
  <c r="Y588" i="1"/>
  <c r="S588" i="1"/>
  <c r="K588" i="1"/>
  <c r="J588" i="1"/>
  <c r="C588" i="1"/>
  <c r="EV587" i="1"/>
  <c r="EU587" i="1"/>
  <c r="ET587" i="1"/>
  <c r="EG587" i="1"/>
  <c r="EC587" i="1"/>
  <c r="DY587" i="1"/>
  <c r="DQ587" i="1"/>
  <c r="DK587" i="1"/>
  <c r="DH587" i="1"/>
  <c r="DD587" i="1"/>
  <c r="CW587" i="1"/>
  <c r="CP587" i="1"/>
  <c r="CL587" i="1"/>
  <c r="CG587" i="1"/>
  <c r="CB587" i="1"/>
  <c r="BW587" i="1"/>
  <c r="BV587" i="1"/>
  <c r="BQ587" i="1"/>
  <c r="BP587" i="1"/>
  <c r="BO587" i="1"/>
  <c r="BJ587" i="1"/>
  <c r="BI587" i="1"/>
  <c r="BH587" i="1"/>
  <c r="BC587" i="1"/>
  <c r="BB587" i="1"/>
  <c r="BA587" i="1"/>
  <c r="AV587" i="1"/>
  <c r="AU587" i="1"/>
  <c r="AT587" i="1"/>
  <c r="AO587" i="1"/>
  <c r="AN587" i="1"/>
  <c r="AJ587" i="1"/>
  <c r="AC587" i="1"/>
  <c r="AB587" i="1"/>
  <c r="Y587" i="1"/>
  <c r="S587" i="1"/>
  <c r="K587" i="1"/>
  <c r="J587" i="1"/>
  <c r="C587" i="1"/>
  <c r="EV586" i="1"/>
  <c r="EU586" i="1"/>
  <c r="ET586" i="1"/>
  <c r="EG586" i="1"/>
  <c r="EC586" i="1"/>
  <c r="DQ586" i="1"/>
  <c r="DK586" i="1"/>
  <c r="DH586" i="1"/>
  <c r="DD586" i="1"/>
  <c r="CW586" i="1"/>
  <c r="CP586" i="1"/>
  <c r="CL586" i="1"/>
  <c r="CG586" i="1"/>
  <c r="CB586" i="1"/>
  <c r="BW586" i="1"/>
  <c r="BV586" i="1"/>
  <c r="BQ586" i="1"/>
  <c r="BP586" i="1"/>
  <c r="BO586" i="1"/>
  <c r="BJ586" i="1"/>
  <c r="BI586" i="1"/>
  <c r="BH586" i="1"/>
  <c r="BC586" i="1"/>
  <c r="BB586" i="1"/>
  <c r="BA586" i="1"/>
  <c r="AV586" i="1"/>
  <c r="AU586" i="1"/>
  <c r="AT586" i="1"/>
  <c r="AO586" i="1"/>
  <c r="AN586" i="1"/>
  <c r="AC586" i="1"/>
  <c r="AB586" i="1"/>
  <c r="Y586" i="1"/>
  <c r="S586" i="1"/>
  <c r="K586" i="1"/>
  <c r="J586" i="1"/>
  <c r="C586" i="1"/>
  <c r="EV585" i="1"/>
  <c r="EU585" i="1"/>
  <c r="ET585" i="1"/>
  <c r="EG585" i="1"/>
  <c r="EC585" i="1"/>
  <c r="DQ585" i="1"/>
  <c r="DK585" i="1"/>
  <c r="DH585" i="1"/>
  <c r="DD585" i="1"/>
  <c r="CW585" i="1"/>
  <c r="CP585" i="1"/>
  <c r="CL585" i="1"/>
  <c r="CG585" i="1"/>
  <c r="CB585" i="1"/>
  <c r="BW585" i="1"/>
  <c r="BV585" i="1"/>
  <c r="BQ585" i="1"/>
  <c r="BP585" i="1"/>
  <c r="BO585" i="1"/>
  <c r="BJ585" i="1"/>
  <c r="BI585" i="1"/>
  <c r="BH585" i="1"/>
  <c r="BC585" i="1"/>
  <c r="BB585" i="1"/>
  <c r="BA585" i="1"/>
  <c r="AV585" i="1"/>
  <c r="AU585" i="1"/>
  <c r="AT585" i="1"/>
  <c r="AO585" i="1"/>
  <c r="AN585" i="1"/>
  <c r="AC585" i="1"/>
  <c r="AB585" i="1"/>
  <c r="Y585" i="1"/>
  <c r="S585" i="1"/>
  <c r="K585" i="1"/>
  <c r="J585" i="1"/>
  <c r="C585" i="1"/>
  <c r="EV584" i="1"/>
  <c r="EU584" i="1"/>
  <c r="ET584" i="1"/>
  <c r="EC584" i="1"/>
  <c r="DQ584" i="1"/>
  <c r="DK584" i="1"/>
  <c r="DH584" i="1"/>
  <c r="DD584" i="1"/>
  <c r="CW584" i="1"/>
  <c r="CP584" i="1"/>
  <c r="CL584" i="1"/>
  <c r="CG584" i="1"/>
  <c r="CB584" i="1"/>
  <c r="BW584" i="1"/>
  <c r="BV584" i="1"/>
  <c r="BQ584" i="1"/>
  <c r="BP584" i="1"/>
  <c r="BO584" i="1"/>
  <c r="BJ584" i="1"/>
  <c r="BI584" i="1"/>
  <c r="BH584" i="1"/>
  <c r="BC584" i="1"/>
  <c r="BB584" i="1"/>
  <c r="BA584" i="1"/>
  <c r="AV584" i="1"/>
  <c r="AU584" i="1"/>
  <c r="AT584" i="1"/>
  <c r="AO584" i="1"/>
  <c r="AN584" i="1"/>
  <c r="AC584" i="1"/>
  <c r="Y584" i="1"/>
  <c r="S584" i="1"/>
  <c r="K584" i="1"/>
  <c r="J584" i="1"/>
  <c r="C584" i="1"/>
  <c r="EV583" i="1"/>
  <c r="EU583" i="1"/>
  <c r="ET583" i="1"/>
  <c r="EG583" i="1"/>
  <c r="EC583" i="1"/>
  <c r="DY583" i="1"/>
  <c r="DQ583" i="1"/>
  <c r="DK583" i="1"/>
  <c r="DH583" i="1"/>
  <c r="DD583" i="1"/>
  <c r="CW583" i="1"/>
  <c r="CP583" i="1"/>
  <c r="CL583" i="1"/>
  <c r="CG583" i="1"/>
  <c r="CB583" i="1"/>
  <c r="BW583" i="1"/>
  <c r="BV583" i="1"/>
  <c r="BQ583" i="1"/>
  <c r="BP583" i="1"/>
  <c r="BO583" i="1"/>
  <c r="BJ583" i="1"/>
  <c r="BI583" i="1"/>
  <c r="BH583" i="1"/>
  <c r="BC583" i="1"/>
  <c r="BB583" i="1"/>
  <c r="BA583" i="1"/>
  <c r="AV583" i="1"/>
  <c r="AU583" i="1"/>
  <c r="AT583" i="1"/>
  <c r="AO583" i="1"/>
  <c r="AN583" i="1"/>
  <c r="AJ583" i="1"/>
  <c r="AC583" i="1"/>
  <c r="AB583" i="1"/>
  <c r="Y583" i="1"/>
  <c r="S583" i="1"/>
  <c r="K583" i="1"/>
  <c r="J583" i="1"/>
  <c r="C583" i="1"/>
  <c r="EV582" i="1"/>
  <c r="EU582" i="1"/>
  <c r="ET582" i="1"/>
  <c r="EC582" i="1"/>
  <c r="DY582" i="1"/>
  <c r="DQ582" i="1"/>
  <c r="DK582" i="1"/>
  <c r="DH582" i="1"/>
  <c r="DD582" i="1"/>
  <c r="CW582" i="1"/>
  <c r="CP582" i="1"/>
  <c r="CL582" i="1"/>
  <c r="CG582" i="1"/>
  <c r="CB582" i="1"/>
  <c r="BW582" i="1"/>
  <c r="BV582" i="1"/>
  <c r="BQ582" i="1"/>
  <c r="BP582" i="1"/>
  <c r="BO582" i="1"/>
  <c r="BJ582" i="1"/>
  <c r="BI582" i="1"/>
  <c r="BH582" i="1"/>
  <c r="BC582" i="1"/>
  <c r="BB582" i="1"/>
  <c r="BA582" i="1"/>
  <c r="AV582" i="1"/>
  <c r="AU582" i="1"/>
  <c r="AT582" i="1"/>
  <c r="AO582" i="1"/>
  <c r="AN582" i="1"/>
  <c r="AJ582" i="1"/>
  <c r="AC582" i="1"/>
  <c r="Y582" i="1"/>
  <c r="S582" i="1"/>
  <c r="K582" i="1"/>
  <c r="J582" i="1"/>
  <c r="C582" i="1"/>
  <c r="EV581" i="1"/>
  <c r="EU581" i="1"/>
  <c r="ET581" i="1"/>
  <c r="EC581" i="1"/>
  <c r="DQ581" i="1"/>
  <c r="DK581" i="1"/>
  <c r="DH581" i="1"/>
  <c r="DD581" i="1"/>
  <c r="CW581" i="1"/>
  <c r="CP581" i="1"/>
  <c r="CL581" i="1"/>
  <c r="CG581" i="1"/>
  <c r="CB581" i="1"/>
  <c r="BQ581" i="1"/>
  <c r="BP581" i="1"/>
  <c r="BO581" i="1"/>
  <c r="BJ581" i="1"/>
  <c r="BI581" i="1"/>
  <c r="BH581" i="1"/>
  <c r="BC581" i="1"/>
  <c r="BB581" i="1"/>
  <c r="BA581" i="1"/>
  <c r="AV581" i="1"/>
  <c r="AU581" i="1"/>
  <c r="AT581" i="1"/>
  <c r="AO581" i="1"/>
  <c r="AN581" i="1"/>
  <c r="AC581" i="1"/>
  <c r="Y581" i="1"/>
  <c r="S581" i="1"/>
  <c r="K581" i="1"/>
  <c r="J581" i="1"/>
  <c r="C581" i="1"/>
  <c r="EV580" i="1"/>
  <c r="EU580" i="1"/>
  <c r="ET580" i="1"/>
  <c r="EC580" i="1"/>
  <c r="DQ580" i="1"/>
  <c r="DK580" i="1"/>
  <c r="DH580" i="1"/>
  <c r="DD580" i="1"/>
  <c r="CW580" i="1"/>
  <c r="CP580" i="1"/>
  <c r="CL580" i="1"/>
  <c r="CG580" i="1"/>
  <c r="CB580" i="1"/>
  <c r="BW580" i="1"/>
  <c r="BV580" i="1"/>
  <c r="BQ580" i="1"/>
  <c r="BP580" i="1"/>
  <c r="BO580" i="1"/>
  <c r="BJ580" i="1"/>
  <c r="BI580" i="1"/>
  <c r="BH580" i="1"/>
  <c r="BC580" i="1"/>
  <c r="BB580" i="1"/>
  <c r="BA580" i="1"/>
  <c r="AV580" i="1"/>
  <c r="AU580" i="1"/>
  <c r="AT580" i="1"/>
  <c r="AO580" i="1"/>
  <c r="AN580" i="1"/>
  <c r="AC580" i="1"/>
  <c r="Y580" i="1"/>
  <c r="S580" i="1"/>
  <c r="K580" i="1"/>
  <c r="J580" i="1"/>
  <c r="C580" i="1"/>
  <c r="EV579" i="1"/>
  <c r="EU579" i="1"/>
  <c r="ET579" i="1"/>
  <c r="EG579" i="1"/>
  <c r="EC579" i="1"/>
  <c r="DQ579" i="1"/>
  <c r="DK579" i="1"/>
  <c r="DH579" i="1"/>
  <c r="DD579" i="1"/>
  <c r="CW579" i="1"/>
  <c r="CP579" i="1"/>
  <c r="CL579" i="1"/>
  <c r="CG579" i="1"/>
  <c r="CB579" i="1"/>
  <c r="BW579" i="1"/>
  <c r="BV579" i="1"/>
  <c r="BQ579" i="1"/>
  <c r="BP579" i="1"/>
  <c r="BO579" i="1"/>
  <c r="BJ579" i="1"/>
  <c r="BI579" i="1"/>
  <c r="BH579" i="1"/>
  <c r="BC579" i="1"/>
  <c r="BB579" i="1"/>
  <c r="BA579" i="1"/>
  <c r="AV579" i="1"/>
  <c r="AU579" i="1"/>
  <c r="AT579" i="1"/>
  <c r="AO579" i="1"/>
  <c r="AN579" i="1"/>
  <c r="AC579" i="1"/>
  <c r="AB579" i="1"/>
  <c r="Y579" i="1"/>
  <c r="S579" i="1"/>
  <c r="K579" i="1"/>
  <c r="J579" i="1"/>
  <c r="C579" i="1"/>
  <c r="EV578" i="1"/>
  <c r="EU578" i="1"/>
  <c r="ET578" i="1"/>
  <c r="EG578" i="1"/>
  <c r="EC578" i="1"/>
  <c r="DQ578" i="1"/>
  <c r="DK578" i="1"/>
  <c r="DH578" i="1"/>
  <c r="DD578" i="1"/>
  <c r="CW578" i="1"/>
  <c r="CP578" i="1"/>
  <c r="CL578" i="1"/>
  <c r="CG578" i="1"/>
  <c r="CB578" i="1"/>
  <c r="BW578" i="1"/>
  <c r="BV578" i="1"/>
  <c r="BQ578" i="1"/>
  <c r="BP578" i="1"/>
  <c r="BO578" i="1"/>
  <c r="BJ578" i="1"/>
  <c r="BI578" i="1"/>
  <c r="BH578" i="1"/>
  <c r="BC578" i="1"/>
  <c r="BB578" i="1"/>
  <c r="BA578" i="1"/>
  <c r="AV578" i="1"/>
  <c r="AU578" i="1"/>
  <c r="AT578" i="1"/>
  <c r="AO578" i="1"/>
  <c r="AN578" i="1"/>
  <c r="AC578" i="1"/>
  <c r="AB578" i="1"/>
  <c r="Y578" i="1"/>
  <c r="S578" i="1"/>
  <c r="K578" i="1"/>
  <c r="J578" i="1"/>
  <c r="C578" i="1"/>
  <c r="EV577" i="1"/>
  <c r="EU577" i="1"/>
  <c r="ET577" i="1"/>
  <c r="EC577" i="1"/>
  <c r="DQ577" i="1"/>
  <c r="DK577" i="1"/>
  <c r="DH577" i="1"/>
  <c r="DD577" i="1"/>
  <c r="CW577" i="1"/>
  <c r="CP577" i="1"/>
  <c r="CL577" i="1"/>
  <c r="CG577" i="1"/>
  <c r="CB577" i="1"/>
  <c r="BW577" i="1"/>
  <c r="BV577" i="1"/>
  <c r="BQ577" i="1"/>
  <c r="BP577" i="1"/>
  <c r="BO577" i="1"/>
  <c r="BJ577" i="1"/>
  <c r="BI577" i="1"/>
  <c r="BH577" i="1"/>
  <c r="BC577" i="1"/>
  <c r="BB577" i="1"/>
  <c r="BA577" i="1"/>
  <c r="AV577" i="1"/>
  <c r="AU577" i="1"/>
  <c r="AT577" i="1"/>
  <c r="AO577" i="1"/>
  <c r="AN577" i="1"/>
  <c r="AC577" i="1"/>
  <c r="Y577" i="1"/>
  <c r="S577" i="1"/>
  <c r="K577" i="1"/>
  <c r="J577" i="1"/>
  <c r="C577" i="1"/>
  <c r="EV576" i="1"/>
  <c r="EU576" i="1"/>
  <c r="ET576" i="1"/>
  <c r="EG576" i="1"/>
  <c r="EC576" i="1"/>
  <c r="DQ576" i="1"/>
  <c r="DK576" i="1"/>
  <c r="DH576" i="1"/>
  <c r="DD576" i="1"/>
  <c r="CW576" i="1"/>
  <c r="CP576" i="1"/>
  <c r="CL576" i="1"/>
  <c r="CG576" i="1"/>
  <c r="CB576" i="1"/>
  <c r="BW576" i="1"/>
  <c r="BV576" i="1"/>
  <c r="BQ576" i="1"/>
  <c r="BP576" i="1"/>
  <c r="BO576" i="1"/>
  <c r="BJ576" i="1"/>
  <c r="BI576" i="1"/>
  <c r="BH576" i="1"/>
  <c r="BC576" i="1"/>
  <c r="BB576" i="1"/>
  <c r="BA576" i="1"/>
  <c r="AV576" i="1"/>
  <c r="AU576" i="1"/>
  <c r="AT576" i="1"/>
  <c r="AO576" i="1"/>
  <c r="AN576" i="1"/>
  <c r="AC576" i="1"/>
  <c r="AB576" i="1"/>
  <c r="Y576" i="1"/>
  <c r="S576" i="1"/>
  <c r="K576" i="1"/>
  <c r="J576" i="1"/>
  <c r="C576" i="1"/>
  <c r="EV575" i="1"/>
  <c r="EU575" i="1"/>
  <c r="ET575" i="1"/>
  <c r="EC575" i="1"/>
  <c r="DY575" i="1"/>
  <c r="DQ575" i="1"/>
  <c r="DK575" i="1"/>
  <c r="DH575" i="1"/>
  <c r="DD575" i="1"/>
  <c r="CW575" i="1"/>
  <c r="CP575" i="1"/>
  <c r="CL575" i="1"/>
  <c r="CG575" i="1"/>
  <c r="CB575" i="1"/>
  <c r="BW575" i="1"/>
  <c r="BV575" i="1"/>
  <c r="BQ575" i="1"/>
  <c r="BP575" i="1"/>
  <c r="BO575" i="1"/>
  <c r="BJ575" i="1"/>
  <c r="BI575" i="1"/>
  <c r="BH575" i="1"/>
  <c r="BC575" i="1"/>
  <c r="BB575" i="1"/>
  <c r="BA575" i="1"/>
  <c r="AV575" i="1"/>
  <c r="AU575" i="1"/>
  <c r="AT575" i="1"/>
  <c r="AO575" i="1"/>
  <c r="AN575" i="1"/>
  <c r="AJ575" i="1"/>
  <c r="AC575" i="1"/>
  <c r="Y575" i="1"/>
  <c r="S575" i="1"/>
  <c r="K575" i="1"/>
  <c r="J575" i="1"/>
  <c r="C575" i="1"/>
  <c r="EV574" i="1"/>
  <c r="EU574" i="1"/>
  <c r="ET574" i="1"/>
  <c r="EG574" i="1"/>
  <c r="EC574" i="1"/>
  <c r="DQ574" i="1"/>
  <c r="DK574" i="1"/>
  <c r="DH574" i="1"/>
  <c r="DD574" i="1"/>
  <c r="CW574" i="1"/>
  <c r="CP574" i="1"/>
  <c r="CL574" i="1"/>
  <c r="CG574" i="1"/>
  <c r="CB574" i="1"/>
  <c r="BW574" i="1"/>
  <c r="BV574" i="1"/>
  <c r="BQ574" i="1"/>
  <c r="BP574" i="1"/>
  <c r="BO574" i="1"/>
  <c r="BJ574" i="1"/>
  <c r="BI574" i="1"/>
  <c r="BH574" i="1"/>
  <c r="BC574" i="1"/>
  <c r="BB574" i="1"/>
  <c r="BA574" i="1"/>
  <c r="AV574" i="1"/>
  <c r="AU574" i="1"/>
  <c r="AT574" i="1"/>
  <c r="AO574" i="1"/>
  <c r="AN574" i="1"/>
  <c r="AC574" i="1"/>
  <c r="AB574" i="1"/>
  <c r="Y574" i="1"/>
  <c r="S574" i="1"/>
  <c r="K574" i="1"/>
  <c r="J574" i="1"/>
  <c r="C574" i="1"/>
  <c r="EV573" i="1"/>
  <c r="EU573" i="1"/>
  <c r="ET573" i="1"/>
  <c r="EG573" i="1"/>
  <c r="EC573" i="1"/>
  <c r="DY573" i="1"/>
  <c r="DQ573" i="1"/>
  <c r="DK573" i="1"/>
  <c r="DH573" i="1"/>
  <c r="DD573" i="1"/>
  <c r="CW573" i="1"/>
  <c r="CP573" i="1"/>
  <c r="CL573" i="1"/>
  <c r="CG573" i="1"/>
  <c r="CB573" i="1"/>
  <c r="BW573" i="1"/>
  <c r="BV573" i="1"/>
  <c r="BQ573" i="1"/>
  <c r="BP573" i="1"/>
  <c r="BO573" i="1"/>
  <c r="BJ573" i="1"/>
  <c r="BI573" i="1"/>
  <c r="BH573" i="1"/>
  <c r="BC573" i="1"/>
  <c r="BB573" i="1"/>
  <c r="BA573" i="1"/>
  <c r="AV573" i="1"/>
  <c r="AU573" i="1"/>
  <c r="AT573" i="1"/>
  <c r="AO573" i="1"/>
  <c r="AN573" i="1"/>
  <c r="AJ573" i="1"/>
  <c r="AC573" i="1"/>
  <c r="AB573" i="1"/>
  <c r="Y573" i="1"/>
  <c r="S573" i="1"/>
  <c r="K573" i="1"/>
  <c r="J573" i="1"/>
  <c r="C573" i="1"/>
  <c r="EV572" i="1"/>
  <c r="EU572" i="1"/>
  <c r="ET572" i="1"/>
  <c r="EC572" i="1"/>
  <c r="DQ572" i="1"/>
  <c r="DK572" i="1"/>
  <c r="DH572" i="1"/>
  <c r="DD572" i="1"/>
  <c r="CW572" i="1"/>
  <c r="CP572" i="1"/>
  <c r="CL572" i="1"/>
  <c r="CG572" i="1"/>
  <c r="CB572" i="1"/>
  <c r="BW572" i="1"/>
  <c r="BV572" i="1"/>
  <c r="BQ572" i="1"/>
  <c r="BP572" i="1"/>
  <c r="BO572" i="1"/>
  <c r="BJ572" i="1"/>
  <c r="BI572" i="1"/>
  <c r="BH572" i="1"/>
  <c r="BC572" i="1"/>
  <c r="BB572" i="1"/>
  <c r="BA572" i="1"/>
  <c r="AV572" i="1"/>
  <c r="AU572" i="1"/>
  <c r="AT572" i="1"/>
  <c r="AO572" i="1"/>
  <c r="AN572" i="1"/>
  <c r="AC572" i="1"/>
  <c r="Y572" i="1"/>
  <c r="S572" i="1"/>
  <c r="K572" i="1"/>
  <c r="J572" i="1"/>
  <c r="C572" i="1"/>
  <c r="EV571" i="1"/>
  <c r="EU571" i="1"/>
  <c r="ET571" i="1"/>
  <c r="EG571" i="1"/>
  <c r="EC571" i="1"/>
  <c r="DY571" i="1"/>
  <c r="DQ571" i="1"/>
  <c r="DK571" i="1"/>
  <c r="DH571" i="1"/>
  <c r="DD571" i="1"/>
  <c r="CW571" i="1"/>
  <c r="CP571" i="1"/>
  <c r="CL571" i="1"/>
  <c r="CG571" i="1"/>
  <c r="CB571" i="1"/>
  <c r="BW571" i="1"/>
  <c r="BV571" i="1"/>
  <c r="BQ571" i="1"/>
  <c r="BP571" i="1"/>
  <c r="BO571" i="1"/>
  <c r="BJ571" i="1"/>
  <c r="BI571" i="1"/>
  <c r="BH571" i="1"/>
  <c r="BC571" i="1"/>
  <c r="BB571" i="1"/>
  <c r="BA571" i="1"/>
  <c r="AV571" i="1"/>
  <c r="AU571" i="1"/>
  <c r="AT571" i="1"/>
  <c r="AO571" i="1"/>
  <c r="AN571" i="1"/>
  <c r="AJ571" i="1"/>
  <c r="AC571" i="1"/>
  <c r="AB571" i="1"/>
  <c r="Y571" i="1"/>
  <c r="S571" i="1"/>
  <c r="K571" i="1"/>
  <c r="J571" i="1"/>
  <c r="C571" i="1"/>
  <c r="EV570" i="1"/>
  <c r="EU570" i="1"/>
  <c r="ET570" i="1"/>
  <c r="EC570" i="1"/>
  <c r="DY570" i="1"/>
  <c r="DQ570" i="1"/>
  <c r="DK570" i="1"/>
  <c r="DH570" i="1"/>
  <c r="DD570" i="1"/>
  <c r="CW570" i="1"/>
  <c r="CP570" i="1"/>
  <c r="CL570" i="1"/>
  <c r="CG570" i="1"/>
  <c r="CB570" i="1"/>
  <c r="BW570" i="1"/>
  <c r="BV570" i="1"/>
  <c r="BQ570" i="1"/>
  <c r="BP570" i="1"/>
  <c r="BO570" i="1"/>
  <c r="BJ570" i="1"/>
  <c r="BI570" i="1"/>
  <c r="BH570" i="1"/>
  <c r="BC570" i="1"/>
  <c r="BB570" i="1"/>
  <c r="BA570" i="1"/>
  <c r="AV570" i="1"/>
  <c r="AU570" i="1"/>
  <c r="AT570" i="1"/>
  <c r="AO570" i="1"/>
  <c r="AN570" i="1"/>
  <c r="AJ570" i="1"/>
  <c r="AC570" i="1"/>
  <c r="Y570" i="1"/>
  <c r="S570" i="1"/>
  <c r="K570" i="1"/>
  <c r="J570" i="1"/>
  <c r="C570" i="1"/>
  <c r="EV569" i="1"/>
  <c r="EU569" i="1"/>
  <c r="ET569" i="1"/>
  <c r="EC569" i="1"/>
  <c r="DY569" i="1"/>
  <c r="DQ569" i="1"/>
  <c r="DK569" i="1"/>
  <c r="DH569" i="1"/>
  <c r="DD569" i="1"/>
  <c r="CW569" i="1"/>
  <c r="CP569" i="1"/>
  <c r="CL569" i="1"/>
  <c r="CG569" i="1"/>
  <c r="CB569" i="1"/>
  <c r="BW569" i="1"/>
  <c r="BV569" i="1"/>
  <c r="BQ569" i="1"/>
  <c r="BP569" i="1"/>
  <c r="BO569" i="1"/>
  <c r="BJ569" i="1"/>
  <c r="BI569" i="1"/>
  <c r="BH569" i="1"/>
  <c r="BC569" i="1"/>
  <c r="BB569" i="1"/>
  <c r="BA569" i="1"/>
  <c r="AV569" i="1"/>
  <c r="AU569" i="1"/>
  <c r="AT569" i="1"/>
  <c r="AO569" i="1"/>
  <c r="AN569" i="1"/>
  <c r="AJ569" i="1"/>
  <c r="AC569" i="1"/>
  <c r="Y569" i="1"/>
  <c r="S569" i="1"/>
  <c r="K569" i="1"/>
  <c r="J569" i="1"/>
  <c r="C569" i="1"/>
  <c r="EV568" i="1"/>
  <c r="EU568" i="1"/>
  <c r="ET568" i="1"/>
  <c r="EG568" i="1"/>
  <c r="EC568" i="1"/>
  <c r="DQ568" i="1"/>
  <c r="DK568" i="1"/>
  <c r="DH568" i="1"/>
  <c r="DD568" i="1"/>
  <c r="CW568" i="1"/>
  <c r="CP568" i="1"/>
  <c r="CL568" i="1"/>
  <c r="CG568" i="1"/>
  <c r="CB568" i="1"/>
  <c r="BW568" i="1"/>
  <c r="BV568" i="1"/>
  <c r="BQ568" i="1"/>
  <c r="BP568" i="1"/>
  <c r="BO568" i="1"/>
  <c r="BJ568" i="1"/>
  <c r="BI568" i="1"/>
  <c r="BH568" i="1"/>
  <c r="BC568" i="1"/>
  <c r="BB568" i="1"/>
  <c r="BA568" i="1"/>
  <c r="AV568" i="1"/>
  <c r="AU568" i="1"/>
  <c r="AT568" i="1"/>
  <c r="AO568" i="1"/>
  <c r="AN568" i="1"/>
  <c r="AC568" i="1"/>
  <c r="AB568" i="1"/>
  <c r="Y568" i="1"/>
  <c r="S568" i="1"/>
  <c r="K568" i="1"/>
  <c r="J568" i="1"/>
  <c r="C568" i="1"/>
  <c r="EV567" i="1"/>
  <c r="EU567" i="1"/>
  <c r="ET567" i="1"/>
  <c r="EG567" i="1"/>
  <c r="EC567" i="1"/>
  <c r="DQ567" i="1"/>
  <c r="DK567" i="1"/>
  <c r="DH567" i="1"/>
  <c r="DD567" i="1"/>
  <c r="CW567" i="1"/>
  <c r="CP567" i="1"/>
  <c r="CL567" i="1"/>
  <c r="CG567" i="1"/>
  <c r="CB567" i="1"/>
  <c r="BW567" i="1"/>
  <c r="BV567" i="1"/>
  <c r="BQ567" i="1"/>
  <c r="BP567" i="1"/>
  <c r="BO567" i="1"/>
  <c r="BJ567" i="1"/>
  <c r="BI567" i="1"/>
  <c r="BH567" i="1"/>
  <c r="BC567" i="1"/>
  <c r="BB567" i="1"/>
  <c r="BA567" i="1"/>
  <c r="AV567" i="1"/>
  <c r="AU567" i="1"/>
  <c r="AT567" i="1"/>
  <c r="AO567" i="1"/>
  <c r="AN567" i="1"/>
  <c r="AC567" i="1"/>
  <c r="AB567" i="1"/>
  <c r="Y567" i="1"/>
  <c r="S567" i="1"/>
  <c r="K567" i="1"/>
  <c r="J567" i="1"/>
  <c r="C567" i="1"/>
  <c r="EV566" i="1"/>
  <c r="EU566" i="1"/>
  <c r="ET566" i="1"/>
  <c r="EG566" i="1"/>
  <c r="EC566" i="1"/>
  <c r="DQ566" i="1"/>
  <c r="DK566" i="1"/>
  <c r="DH566" i="1"/>
  <c r="DD566" i="1"/>
  <c r="CW566" i="1"/>
  <c r="CP566" i="1"/>
  <c r="CL566" i="1"/>
  <c r="CG566" i="1"/>
  <c r="CB566" i="1"/>
  <c r="BW566" i="1"/>
  <c r="BV566" i="1"/>
  <c r="BQ566" i="1"/>
  <c r="BP566" i="1"/>
  <c r="BO566" i="1"/>
  <c r="BJ566" i="1"/>
  <c r="BI566" i="1"/>
  <c r="BH566" i="1"/>
  <c r="BC566" i="1"/>
  <c r="BB566" i="1"/>
  <c r="BA566" i="1"/>
  <c r="AV566" i="1"/>
  <c r="AU566" i="1"/>
  <c r="AT566" i="1"/>
  <c r="AO566" i="1"/>
  <c r="AN566" i="1"/>
  <c r="AC566" i="1"/>
  <c r="AB566" i="1"/>
  <c r="Y566" i="1"/>
  <c r="S566" i="1"/>
  <c r="K566" i="1"/>
  <c r="J566" i="1"/>
  <c r="C566" i="1"/>
  <c r="EV565" i="1"/>
  <c r="EU565" i="1"/>
  <c r="ET565" i="1"/>
  <c r="EC565" i="1"/>
  <c r="DY565" i="1"/>
  <c r="DQ565" i="1"/>
  <c r="DK565" i="1"/>
  <c r="DH565" i="1"/>
  <c r="DD565" i="1"/>
  <c r="CW565" i="1"/>
  <c r="CP565" i="1"/>
  <c r="CL565" i="1"/>
  <c r="CG565" i="1"/>
  <c r="CB565" i="1"/>
  <c r="BW565" i="1"/>
  <c r="BV565" i="1"/>
  <c r="BQ565" i="1"/>
  <c r="BP565" i="1"/>
  <c r="BO565" i="1"/>
  <c r="BJ565" i="1"/>
  <c r="BI565" i="1"/>
  <c r="BH565" i="1"/>
  <c r="BC565" i="1"/>
  <c r="BB565" i="1"/>
  <c r="BA565" i="1"/>
  <c r="AV565" i="1"/>
  <c r="AU565" i="1"/>
  <c r="AT565" i="1"/>
  <c r="AO565" i="1"/>
  <c r="AN565" i="1"/>
  <c r="AJ565" i="1"/>
  <c r="AC565" i="1"/>
  <c r="Y565" i="1"/>
  <c r="S565" i="1"/>
  <c r="K565" i="1"/>
  <c r="J565" i="1"/>
  <c r="C565" i="1"/>
  <c r="EV564" i="1"/>
  <c r="EU564" i="1"/>
  <c r="ET564" i="1"/>
  <c r="EC564" i="1"/>
  <c r="DY564" i="1"/>
  <c r="DQ564" i="1"/>
  <c r="DK564" i="1"/>
  <c r="DH564" i="1"/>
  <c r="DD564" i="1"/>
  <c r="CW564" i="1"/>
  <c r="CP564" i="1"/>
  <c r="CL564" i="1"/>
  <c r="CG564" i="1"/>
  <c r="CB564" i="1"/>
  <c r="BW564" i="1"/>
  <c r="BV564" i="1"/>
  <c r="BQ564" i="1"/>
  <c r="BP564" i="1"/>
  <c r="BO564" i="1"/>
  <c r="BJ564" i="1"/>
  <c r="BI564" i="1"/>
  <c r="BH564" i="1"/>
  <c r="BC564" i="1"/>
  <c r="BB564" i="1"/>
  <c r="BA564" i="1"/>
  <c r="AV564" i="1"/>
  <c r="AU564" i="1"/>
  <c r="AT564" i="1"/>
  <c r="AO564" i="1"/>
  <c r="AN564" i="1"/>
  <c r="AJ564" i="1"/>
  <c r="AC564" i="1"/>
  <c r="Y564" i="1"/>
  <c r="S564" i="1"/>
  <c r="K564" i="1"/>
  <c r="J564" i="1"/>
  <c r="C564" i="1"/>
  <c r="C563" i="1"/>
  <c r="EV562" i="1"/>
  <c r="EU562" i="1"/>
  <c r="ET562" i="1"/>
  <c r="EC562" i="1"/>
  <c r="DQ562" i="1"/>
  <c r="DK562" i="1"/>
  <c r="DH562" i="1"/>
  <c r="DD562" i="1"/>
  <c r="CW562" i="1"/>
  <c r="CP562" i="1"/>
  <c r="CL562" i="1"/>
  <c r="CG562" i="1"/>
  <c r="CB562" i="1"/>
  <c r="BW562" i="1"/>
  <c r="BV562" i="1"/>
  <c r="BQ562" i="1"/>
  <c r="BP562" i="1"/>
  <c r="BO562" i="1"/>
  <c r="BJ562" i="1"/>
  <c r="BI562" i="1"/>
  <c r="BH562" i="1"/>
  <c r="BC562" i="1"/>
  <c r="BB562" i="1"/>
  <c r="BA562" i="1"/>
  <c r="AV562" i="1"/>
  <c r="AU562" i="1"/>
  <c r="AT562" i="1"/>
  <c r="AO562" i="1"/>
  <c r="AN562" i="1"/>
  <c r="AC562" i="1"/>
  <c r="Y562" i="1"/>
  <c r="S562" i="1"/>
  <c r="K562" i="1"/>
  <c r="J562" i="1"/>
  <c r="C562" i="1"/>
  <c r="EV561" i="1"/>
  <c r="EU561" i="1"/>
  <c r="ET561" i="1"/>
  <c r="EC561" i="1"/>
  <c r="DQ561" i="1"/>
  <c r="DK561" i="1"/>
  <c r="DH561" i="1"/>
  <c r="DD561" i="1"/>
  <c r="CW561" i="1"/>
  <c r="CP561" i="1"/>
  <c r="CL561" i="1"/>
  <c r="CG561" i="1"/>
  <c r="CB561" i="1"/>
  <c r="BW561" i="1"/>
  <c r="BV561" i="1"/>
  <c r="BQ561" i="1"/>
  <c r="BP561" i="1"/>
  <c r="BO561" i="1"/>
  <c r="BJ561" i="1"/>
  <c r="BI561" i="1"/>
  <c r="BH561" i="1"/>
  <c r="BC561" i="1"/>
  <c r="BB561" i="1"/>
  <c r="BA561" i="1"/>
  <c r="AV561" i="1"/>
  <c r="AU561" i="1"/>
  <c r="AT561" i="1"/>
  <c r="AO561" i="1"/>
  <c r="AN561" i="1"/>
  <c r="AC561" i="1"/>
  <c r="Y561" i="1"/>
  <c r="S561" i="1"/>
  <c r="K561" i="1"/>
  <c r="J561" i="1"/>
  <c r="C561" i="1"/>
  <c r="EV560" i="1"/>
  <c r="EU560" i="1"/>
  <c r="ET560" i="1"/>
  <c r="EC560" i="1"/>
  <c r="DQ560" i="1"/>
  <c r="DK560" i="1"/>
  <c r="DH560" i="1"/>
  <c r="DD560" i="1"/>
  <c r="CW560" i="1"/>
  <c r="CP560" i="1"/>
  <c r="CL560" i="1"/>
  <c r="CG560" i="1"/>
  <c r="CB560" i="1"/>
  <c r="BW560" i="1"/>
  <c r="BV560" i="1"/>
  <c r="BQ560" i="1"/>
  <c r="BP560" i="1"/>
  <c r="BO560" i="1"/>
  <c r="BJ560" i="1"/>
  <c r="BI560" i="1"/>
  <c r="BH560" i="1"/>
  <c r="BC560" i="1"/>
  <c r="BB560" i="1"/>
  <c r="BA560" i="1"/>
  <c r="AV560" i="1"/>
  <c r="AU560" i="1"/>
  <c r="AT560" i="1"/>
  <c r="AO560" i="1"/>
  <c r="AN560" i="1"/>
  <c r="AC560" i="1"/>
  <c r="Y560" i="1"/>
  <c r="S560" i="1"/>
  <c r="K560" i="1"/>
  <c r="J560" i="1"/>
  <c r="C560" i="1"/>
  <c r="EV559" i="1"/>
  <c r="EU559" i="1"/>
  <c r="ET559" i="1"/>
  <c r="EC559" i="1"/>
  <c r="DQ559" i="1"/>
  <c r="DK559" i="1"/>
  <c r="DH559" i="1"/>
  <c r="DD559" i="1"/>
  <c r="CW559" i="1"/>
  <c r="CP559" i="1"/>
  <c r="CL559" i="1"/>
  <c r="CG559" i="1"/>
  <c r="CB559" i="1"/>
  <c r="BW559" i="1"/>
  <c r="BV559" i="1"/>
  <c r="BQ559" i="1"/>
  <c r="BP559" i="1"/>
  <c r="BO559" i="1"/>
  <c r="BJ559" i="1"/>
  <c r="BI559" i="1"/>
  <c r="BH559" i="1"/>
  <c r="BC559" i="1"/>
  <c r="BB559" i="1"/>
  <c r="BA559" i="1"/>
  <c r="AV559" i="1"/>
  <c r="AU559" i="1"/>
  <c r="AT559" i="1"/>
  <c r="AO559" i="1"/>
  <c r="AN559" i="1"/>
  <c r="AC559" i="1"/>
  <c r="Y559" i="1"/>
  <c r="S559" i="1"/>
  <c r="K559" i="1"/>
  <c r="J559" i="1"/>
  <c r="C559" i="1"/>
  <c r="EV558" i="1"/>
  <c r="EU558" i="1"/>
  <c r="ET558" i="1"/>
  <c r="EG558" i="1"/>
  <c r="EC558" i="1"/>
  <c r="DQ558" i="1"/>
  <c r="DK558" i="1"/>
  <c r="DH558" i="1"/>
  <c r="DD558" i="1"/>
  <c r="CW558" i="1"/>
  <c r="CP558" i="1"/>
  <c r="CL558" i="1"/>
  <c r="CG558" i="1"/>
  <c r="CB558" i="1"/>
  <c r="BW558" i="1"/>
  <c r="BV558" i="1"/>
  <c r="BQ558" i="1"/>
  <c r="BP558" i="1"/>
  <c r="BO558" i="1"/>
  <c r="BJ558" i="1"/>
  <c r="BI558" i="1"/>
  <c r="BH558" i="1"/>
  <c r="BC558" i="1"/>
  <c r="BB558" i="1"/>
  <c r="BA558" i="1"/>
  <c r="AV558" i="1"/>
  <c r="AU558" i="1"/>
  <c r="AT558" i="1"/>
  <c r="AO558" i="1"/>
  <c r="AN558" i="1"/>
  <c r="AC558" i="1"/>
  <c r="AB558" i="1"/>
  <c r="Y558" i="1"/>
  <c r="S558" i="1"/>
  <c r="K558" i="1"/>
  <c r="J558" i="1"/>
  <c r="C558" i="1"/>
  <c r="C557" i="1"/>
  <c r="EV556" i="1"/>
  <c r="EU556" i="1"/>
  <c r="ET556" i="1"/>
  <c r="EG556" i="1"/>
  <c r="EC556" i="1"/>
  <c r="DQ556" i="1"/>
  <c r="DK556" i="1"/>
  <c r="DH556" i="1"/>
  <c r="DD556" i="1"/>
  <c r="CW556" i="1"/>
  <c r="CP556" i="1"/>
  <c r="CL556" i="1"/>
  <c r="CG556" i="1"/>
  <c r="CB556" i="1"/>
  <c r="BW556" i="1"/>
  <c r="BV556" i="1"/>
  <c r="BQ556" i="1"/>
  <c r="BP556" i="1"/>
  <c r="BO556" i="1"/>
  <c r="BJ556" i="1"/>
  <c r="BI556" i="1"/>
  <c r="BH556" i="1"/>
  <c r="BC556" i="1"/>
  <c r="BB556" i="1"/>
  <c r="BA556" i="1"/>
  <c r="AV556" i="1"/>
  <c r="AU556" i="1"/>
  <c r="AT556" i="1"/>
  <c r="AO556" i="1"/>
  <c r="AN556" i="1"/>
  <c r="AC556" i="1"/>
  <c r="AB556" i="1"/>
  <c r="Y556" i="1"/>
  <c r="S556" i="1"/>
  <c r="K556" i="1"/>
  <c r="J556" i="1"/>
  <c r="C556" i="1"/>
  <c r="C555" i="1"/>
  <c r="EV554" i="1"/>
  <c r="EU554" i="1"/>
  <c r="ET554" i="1"/>
  <c r="EG554" i="1"/>
  <c r="EC554" i="1"/>
  <c r="DQ554" i="1"/>
  <c r="DK554" i="1"/>
  <c r="DH554" i="1"/>
  <c r="DD554" i="1"/>
  <c r="CW554" i="1"/>
  <c r="CP554" i="1"/>
  <c r="CL554" i="1"/>
  <c r="CG554" i="1"/>
  <c r="CB554" i="1"/>
  <c r="BW554" i="1"/>
  <c r="BV554" i="1"/>
  <c r="BQ554" i="1"/>
  <c r="BP554" i="1"/>
  <c r="BO554" i="1"/>
  <c r="BJ554" i="1"/>
  <c r="BI554" i="1"/>
  <c r="BH554" i="1"/>
  <c r="BC554" i="1"/>
  <c r="BB554" i="1"/>
  <c r="BA554" i="1"/>
  <c r="AV554" i="1"/>
  <c r="AU554" i="1"/>
  <c r="AT554" i="1"/>
  <c r="AO554" i="1"/>
  <c r="AN554" i="1"/>
  <c r="AC554" i="1"/>
  <c r="AB554" i="1"/>
  <c r="Y554" i="1"/>
  <c r="S554" i="1"/>
  <c r="K554" i="1"/>
  <c r="J554" i="1"/>
  <c r="C554" i="1"/>
  <c r="EV553" i="1"/>
  <c r="EU553" i="1"/>
  <c r="ET553" i="1"/>
  <c r="EC553" i="1"/>
  <c r="DY553" i="1"/>
  <c r="DQ553" i="1"/>
  <c r="DK553" i="1"/>
  <c r="DH553" i="1"/>
  <c r="DD553" i="1"/>
  <c r="CW553" i="1"/>
  <c r="CP553" i="1"/>
  <c r="CL553" i="1"/>
  <c r="CG553" i="1"/>
  <c r="CB553" i="1"/>
  <c r="BW553" i="1"/>
  <c r="BV553" i="1"/>
  <c r="BQ553" i="1"/>
  <c r="BP553" i="1"/>
  <c r="BO553" i="1"/>
  <c r="BJ553" i="1"/>
  <c r="BI553" i="1"/>
  <c r="BH553" i="1"/>
  <c r="BC553" i="1"/>
  <c r="BB553" i="1"/>
  <c r="BA553" i="1"/>
  <c r="AV553" i="1"/>
  <c r="AU553" i="1"/>
  <c r="AT553" i="1"/>
  <c r="AO553" i="1"/>
  <c r="AN553" i="1"/>
  <c r="AJ553" i="1"/>
  <c r="AC553" i="1"/>
  <c r="Y553" i="1"/>
  <c r="S553" i="1"/>
  <c r="K553" i="1"/>
  <c r="J553" i="1"/>
  <c r="C553" i="1"/>
  <c r="EV552" i="1"/>
  <c r="EU552" i="1"/>
  <c r="ET552" i="1"/>
  <c r="EG552" i="1"/>
  <c r="EC552" i="1"/>
  <c r="DQ552" i="1"/>
  <c r="DK552" i="1"/>
  <c r="DH552" i="1"/>
  <c r="DD552" i="1"/>
  <c r="CW552" i="1"/>
  <c r="CP552" i="1"/>
  <c r="CL552" i="1"/>
  <c r="CG552" i="1"/>
  <c r="CB552" i="1"/>
  <c r="BW552" i="1"/>
  <c r="BV552" i="1"/>
  <c r="BQ552" i="1"/>
  <c r="BP552" i="1"/>
  <c r="BO552" i="1"/>
  <c r="BJ552" i="1"/>
  <c r="BI552" i="1"/>
  <c r="BH552" i="1"/>
  <c r="BC552" i="1"/>
  <c r="BB552" i="1"/>
  <c r="BA552" i="1"/>
  <c r="AV552" i="1"/>
  <c r="AU552" i="1"/>
  <c r="AT552" i="1"/>
  <c r="AO552" i="1"/>
  <c r="AN552" i="1"/>
  <c r="AC552" i="1"/>
  <c r="AB552" i="1"/>
  <c r="Y552" i="1"/>
  <c r="S552" i="1"/>
  <c r="K552" i="1"/>
  <c r="J552" i="1"/>
  <c r="C552" i="1"/>
  <c r="EV551" i="1"/>
  <c r="EU551" i="1"/>
  <c r="ET551" i="1"/>
  <c r="EG551" i="1"/>
  <c r="EC551" i="1"/>
  <c r="DQ551" i="1"/>
  <c r="DK551" i="1"/>
  <c r="DH551" i="1"/>
  <c r="DD551" i="1"/>
  <c r="CW551" i="1"/>
  <c r="CP551" i="1"/>
  <c r="CL551" i="1"/>
  <c r="CG551" i="1"/>
  <c r="CB551" i="1"/>
  <c r="BW551" i="1"/>
  <c r="BV551" i="1"/>
  <c r="BQ551" i="1"/>
  <c r="BP551" i="1"/>
  <c r="BO551" i="1"/>
  <c r="BJ551" i="1"/>
  <c r="BI551" i="1"/>
  <c r="BH551" i="1"/>
  <c r="BC551" i="1"/>
  <c r="BB551" i="1"/>
  <c r="BA551" i="1"/>
  <c r="AV551" i="1"/>
  <c r="AU551" i="1"/>
  <c r="AT551" i="1"/>
  <c r="AO551" i="1"/>
  <c r="AN551" i="1"/>
  <c r="AC551" i="1"/>
  <c r="AB551" i="1"/>
  <c r="Y551" i="1"/>
  <c r="S551" i="1"/>
  <c r="K551" i="1"/>
  <c r="J551" i="1"/>
  <c r="C551" i="1"/>
  <c r="C550" i="1"/>
  <c r="C549" i="1"/>
  <c r="EV548" i="1"/>
  <c r="EU548" i="1"/>
  <c r="ET548" i="1"/>
  <c r="EC548" i="1"/>
  <c r="DQ548" i="1"/>
  <c r="DK548" i="1"/>
  <c r="DH548" i="1"/>
  <c r="DD548" i="1"/>
  <c r="CW548" i="1"/>
  <c r="CP548" i="1"/>
  <c r="CL548" i="1"/>
  <c r="CG548" i="1"/>
  <c r="CB548" i="1"/>
  <c r="BW548" i="1"/>
  <c r="BV548" i="1"/>
  <c r="BQ548" i="1"/>
  <c r="BP548" i="1"/>
  <c r="BO548" i="1"/>
  <c r="BJ548" i="1"/>
  <c r="BI548" i="1"/>
  <c r="BH548" i="1"/>
  <c r="BC548" i="1"/>
  <c r="BB548" i="1"/>
  <c r="BA548" i="1"/>
  <c r="AV548" i="1"/>
  <c r="AU548" i="1"/>
  <c r="AT548" i="1"/>
  <c r="AO548" i="1"/>
  <c r="AN548" i="1"/>
  <c r="AC548" i="1"/>
  <c r="Y548" i="1"/>
  <c r="S548" i="1"/>
  <c r="K548" i="1"/>
  <c r="J548" i="1"/>
  <c r="C548" i="1"/>
  <c r="EV547" i="1"/>
  <c r="EU547" i="1"/>
  <c r="ET547" i="1"/>
  <c r="EG547" i="1"/>
  <c r="EC547" i="1"/>
  <c r="DY547" i="1"/>
  <c r="DQ547" i="1"/>
  <c r="DK547" i="1"/>
  <c r="DH547" i="1"/>
  <c r="DD547" i="1"/>
  <c r="CW547" i="1"/>
  <c r="CP547" i="1"/>
  <c r="CL547" i="1"/>
  <c r="CG547" i="1"/>
  <c r="CB547" i="1"/>
  <c r="BW547" i="1"/>
  <c r="BV547" i="1"/>
  <c r="BQ547" i="1"/>
  <c r="BP547" i="1"/>
  <c r="BO547" i="1"/>
  <c r="BJ547" i="1"/>
  <c r="BI547" i="1"/>
  <c r="BH547" i="1"/>
  <c r="BC547" i="1"/>
  <c r="BB547" i="1"/>
  <c r="BA547" i="1"/>
  <c r="AV547" i="1"/>
  <c r="AU547" i="1"/>
  <c r="AT547" i="1"/>
  <c r="AO547" i="1"/>
  <c r="AN547" i="1"/>
  <c r="AJ547" i="1"/>
  <c r="AC547" i="1"/>
  <c r="AB547" i="1"/>
  <c r="Y547" i="1"/>
  <c r="S547" i="1"/>
  <c r="K547" i="1"/>
  <c r="J547" i="1"/>
  <c r="C547" i="1"/>
  <c r="C546" i="1"/>
  <c r="C545" i="1"/>
  <c r="C544" i="1"/>
  <c r="EV543" i="1"/>
  <c r="EU543" i="1"/>
  <c r="ET543" i="1"/>
  <c r="EG543" i="1"/>
  <c r="EC543" i="1"/>
  <c r="DQ543" i="1"/>
  <c r="DK543" i="1"/>
  <c r="DH543" i="1"/>
  <c r="DD543" i="1"/>
  <c r="CW543" i="1"/>
  <c r="CP543" i="1"/>
  <c r="CL543" i="1"/>
  <c r="CG543" i="1"/>
  <c r="CB543" i="1"/>
  <c r="BW543" i="1"/>
  <c r="BV543" i="1"/>
  <c r="BQ543" i="1"/>
  <c r="BP543" i="1"/>
  <c r="BO543" i="1"/>
  <c r="BJ543" i="1"/>
  <c r="BI543" i="1"/>
  <c r="BH543" i="1"/>
  <c r="BC543" i="1"/>
  <c r="BB543" i="1"/>
  <c r="BA543" i="1"/>
  <c r="AV543" i="1"/>
  <c r="AU543" i="1"/>
  <c r="AT543" i="1"/>
  <c r="AO543" i="1"/>
  <c r="AN543" i="1"/>
  <c r="AC543" i="1"/>
  <c r="AB543" i="1"/>
  <c r="Y543" i="1"/>
  <c r="S543" i="1"/>
  <c r="K543" i="1"/>
  <c r="J543" i="1"/>
  <c r="C543" i="1"/>
  <c r="EV542" i="1"/>
  <c r="EU542" i="1"/>
  <c r="ET542" i="1"/>
  <c r="EG542" i="1"/>
  <c r="EC542" i="1"/>
  <c r="DQ542" i="1"/>
  <c r="DK542" i="1"/>
  <c r="DH542" i="1"/>
  <c r="DD542" i="1"/>
  <c r="CW542" i="1"/>
  <c r="CP542" i="1"/>
  <c r="CL542" i="1"/>
  <c r="CG542" i="1"/>
  <c r="CB542" i="1"/>
  <c r="BQ542" i="1"/>
  <c r="BP542" i="1"/>
  <c r="BO542" i="1"/>
  <c r="BJ542" i="1"/>
  <c r="BI542" i="1"/>
  <c r="BH542" i="1"/>
  <c r="BC542" i="1"/>
  <c r="BB542" i="1"/>
  <c r="BA542" i="1"/>
  <c r="AV542" i="1"/>
  <c r="AU542" i="1"/>
  <c r="AT542" i="1"/>
  <c r="AO542" i="1"/>
  <c r="AN542" i="1"/>
  <c r="AC542" i="1"/>
  <c r="AB542" i="1"/>
  <c r="Y542" i="1"/>
  <c r="S542" i="1"/>
  <c r="K542" i="1"/>
  <c r="J542" i="1"/>
  <c r="C542" i="1"/>
  <c r="EV541" i="1"/>
  <c r="EU541" i="1"/>
  <c r="ET541" i="1"/>
  <c r="EC541" i="1"/>
  <c r="DQ541" i="1"/>
  <c r="DK541" i="1"/>
  <c r="DH541" i="1"/>
  <c r="DD541" i="1"/>
  <c r="CW541" i="1"/>
  <c r="CP541" i="1"/>
  <c r="CL541" i="1"/>
  <c r="CG541" i="1"/>
  <c r="CB541" i="1"/>
  <c r="BW541" i="1"/>
  <c r="BV541" i="1"/>
  <c r="BQ541" i="1"/>
  <c r="BP541" i="1"/>
  <c r="BO541" i="1"/>
  <c r="BJ541" i="1"/>
  <c r="BI541" i="1"/>
  <c r="BH541" i="1"/>
  <c r="BC541" i="1"/>
  <c r="BB541" i="1"/>
  <c r="BA541" i="1"/>
  <c r="AV541" i="1"/>
  <c r="AU541" i="1"/>
  <c r="AT541" i="1"/>
  <c r="AO541" i="1"/>
  <c r="AN541" i="1"/>
  <c r="AC541" i="1"/>
  <c r="Y541" i="1"/>
  <c r="S541" i="1"/>
  <c r="K541" i="1"/>
  <c r="J541" i="1"/>
  <c r="C541" i="1"/>
  <c r="EV540" i="1"/>
  <c r="EU540" i="1"/>
  <c r="ET540" i="1"/>
  <c r="EC540" i="1"/>
  <c r="DQ540" i="1"/>
  <c r="DK540" i="1"/>
  <c r="DH540" i="1"/>
  <c r="DD540" i="1"/>
  <c r="CW540" i="1"/>
  <c r="CP540" i="1"/>
  <c r="CL540" i="1"/>
  <c r="CG540" i="1"/>
  <c r="CB540" i="1"/>
  <c r="BW540" i="1"/>
  <c r="BV540" i="1"/>
  <c r="BQ540" i="1"/>
  <c r="BP540" i="1"/>
  <c r="BO540" i="1"/>
  <c r="BJ540" i="1"/>
  <c r="BI540" i="1"/>
  <c r="BH540" i="1"/>
  <c r="BC540" i="1"/>
  <c r="BB540" i="1"/>
  <c r="BA540" i="1"/>
  <c r="AV540" i="1"/>
  <c r="AU540" i="1"/>
  <c r="AT540" i="1"/>
  <c r="AO540" i="1"/>
  <c r="AN540" i="1"/>
  <c r="AC540" i="1"/>
  <c r="Y540" i="1"/>
  <c r="S540" i="1"/>
  <c r="K540" i="1"/>
  <c r="J540" i="1"/>
  <c r="C540" i="1"/>
  <c r="EV539" i="1"/>
  <c r="EU539" i="1"/>
  <c r="ET539" i="1"/>
  <c r="EG539" i="1"/>
  <c r="EC539" i="1"/>
  <c r="DQ539" i="1"/>
  <c r="DK539" i="1"/>
  <c r="DH539" i="1"/>
  <c r="DD539" i="1"/>
  <c r="CW539" i="1"/>
  <c r="CP539" i="1"/>
  <c r="CL539" i="1"/>
  <c r="CG539" i="1"/>
  <c r="CB539" i="1"/>
  <c r="BW539" i="1"/>
  <c r="BV539" i="1"/>
  <c r="BQ539" i="1"/>
  <c r="BP539" i="1"/>
  <c r="BO539" i="1"/>
  <c r="BJ539" i="1"/>
  <c r="BI539" i="1"/>
  <c r="BH539" i="1"/>
  <c r="BC539" i="1"/>
  <c r="BB539" i="1"/>
  <c r="BA539" i="1"/>
  <c r="AV539" i="1"/>
  <c r="AU539" i="1"/>
  <c r="AT539" i="1"/>
  <c r="AO539" i="1"/>
  <c r="AN539" i="1"/>
  <c r="AC539" i="1"/>
  <c r="AB539" i="1"/>
  <c r="Y539" i="1"/>
  <c r="S539" i="1"/>
  <c r="K539" i="1"/>
  <c r="J539" i="1"/>
  <c r="C539" i="1"/>
  <c r="EV538" i="1"/>
  <c r="EU538" i="1"/>
  <c r="ET538" i="1"/>
  <c r="EG538" i="1"/>
  <c r="EC538" i="1"/>
  <c r="DQ538" i="1"/>
  <c r="DK538" i="1"/>
  <c r="DH538" i="1"/>
  <c r="DD538" i="1"/>
  <c r="CW538" i="1"/>
  <c r="CP538" i="1"/>
  <c r="CL538" i="1"/>
  <c r="CG538" i="1"/>
  <c r="CB538" i="1"/>
  <c r="BW538" i="1"/>
  <c r="BV538" i="1"/>
  <c r="BQ538" i="1"/>
  <c r="BP538" i="1"/>
  <c r="BO538" i="1"/>
  <c r="BJ538" i="1"/>
  <c r="BI538" i="1"/>
  <c r="BH538" i="1"/>
  <c r="BC538" i="1"/>
  <c r="BB538" i="1"/>
  <c r="BA538" i="1"/>
  <c r="AV538" i="1"/>
  <c r="AU538" i="1"/>
  <c r="AT538" i="1"/>
  <c r="AO538" i="1"/>
  <c r="AN538" i="1"/>
  <c r="AC538" i="1"/>
  <c r="AB538" i="1"/>
  <c r="Y538" i="1"/>
  <c r="S538" i="1"/>
  <c r="K538" i="1"/>
  <c r="J538" i="1"/>
  <c r="C538" i="1"/>
  <c r="EV537" i="1"/>
  <c r="EU537" i="1"/>
  <c r="ET537" i="1"/>
  <c r="EC537" i="1"/>
  <c r="DQ537" i="1"/>
  <c r="DK537" i="1"/>
  <c r="DH537" i="1"/>
  <c r="DD537" i="1"/>
  <c r="CW537" i="1"/>
  <c r="CP537" i="1"/>
  <c r="CL537" i="1"/>
  <c r="CG537" i="1"/>
  <c r="CB537" i="1"/>
  <c r="BW537" i="1"/>
  <c r="BV537" i="1"/>
  <c r="BQ537" i="1"/>
  <c r="BP537" i="1"/>
  <c r="BO537" i="1"/>
  <c r="BJ537" i="1"/>
  <c r="BI537" i="1"/>
  <c r="BH537" i="1"/>
  <c r="BC537" i="1"/>
  <c r="BB537" i="1"/>
  <c r="BA537" i="1"/>
  <c r="AV537" i="1"/>
  <c r="AU537" i="1"/>
  <c r="AT537" i="1"/>
  <c r="AO537" i="1"/>
  <c r="AN537" i="1"/>
  <c r="AC537" i="1"/>
  <c r="Y537" i="1"/>
  <c r="S537" i="1"/>
  <c r="K537" i="1"/>
  <c r="J537" i="1"/>
  <c r="C537" i="1"/>
  <c r="EV536" i="1"/>
  <c r="EU536" i="1"/>
  <c r="ET536" i="1"/>
  <c r="EG536" i="1"/>
  <c r="EC536" i="1"/>
  <c r="DQ536" i="1"/>
  <c r="DK536" i="1"/>
  <c r="DH536" i="1"/>
  <c r="DD536" i="1"/>
  <c r="CW536" i="1"/>
  <c r="CP536" i="1"/>
  <c r="CL536" i="1"/>
  <c r="CG536" i="1"/>
  <c r="CB536" i="1"/>
  <c r="BW536" i="1"/>
  <c r="BV536" i="1"/>
  <c r="BQ536" i="1"/>
  <c r="BP536" i="1"/>
  <c r="BO536" i="1"/>
  <c r="BJ536" i="1"/>
  <c r="BI536" i="1"/>
  <c r="BH536" i="1"/>
  <c r="BC536" i="1"/>
  <c r="BB536" i="1"/>
  <c r="BA536" i="1"/>
  <c r="AV536" i="1"/>
  <c r="AU536" i="1"/>
  <c r="AT536" i="1"/>
  <c r="AO536" i="1"/>
  <c r="AN536" i="1"/>
  <c r="AC536" i="1"/>
  <c r="AB536" i="1"/>
  <c r="Y536" i="1"/>
  <c r="S536" i="1"/>
  <c r="K536" i="1"/>
  <c r="J536" i="1"/>
  <c r="C536" i="1"/>
  <c r="C535" i="1"/>
  <c r="EV534" i="1"/>
  <c r="EU534" i="1"/>
  <c r="ET534" i="1"/>
  <c r="EC534" i="1"/>
  <c r="DQ534" i="1"/>
  <c r="DK534" i="1"/>
  <c r="DH534" i="1"/>
  <c r="DD534" i="1"/>
  <c r="CW534" i="1"/>
  <c r="Y534" i="1"/>
  <c r="K534" i="1"/>
  <c r="J534" i="1"/>
  <c r="C534" i="1"/>
  <c r="EV533" i="1"/>
  <c r="EU533" i="1"/>
  <c r="ET533" i="1"/>
  <c r="EG533" i="1"/>
  <c r="EC533" i="1"/>
  <c r="DQ533" i="1"/>
  <c r="DK533" i="1"/>
  <c r="DH533" i="1"/>
  <c r="DD533" i="1"/>
  <c r="CW533" i="1"/>
  <c r="CP533" i="1"/>
  <c r="CL533" i="1"/>
  <c r="CG533" i="1"/>
  <c r="CB533" i="1"/>
  <c r="BW533" i="1"/>
  <c r="BV533" i="1"/>
  <c r="BQ533" i="1"/>
  <c r="BP533" i="1"/>
  <c r="BO533" i="1"/>
  <c r="BJ533" i="1"/>
  <c r="BI533" i="1"/>
  <c r="BH533" i="1"/>
  <c r="BC533" i="1"/>
  <c r="BB533" i="1"/>
  <c r="BA533" i="1"/>
  <c r="AV533" i="1"/>
  <c r="AU533" i="1"/>
  <c r="AT533" i="1"/>
  <c r="AO533" i="1"/>
  <c r="AN533" i="1"/>
  <c r="AC533" i="1"/>
  <c r="AB533" i="1"/>
  <c r="Y533" i="1"/>
  <c r="S533" i="1"/>
  <c r="K533" i="1"/>
  <c r="J533" i="1"/>
  <c r="C533" i="1"/>
  <c r="C532" i="1"/>
  <c r="EV531" i="1"/>
  <c r="EU531" i="1"/>
  <c r="ET531" i="1"/>
  <c r="EG531" i="1"/>
  <c r="EC531" i="1"/>
  <c r="DY531" i="1"/>
  <c r="DQ531" i="1"/>
  <c r="DK531" i="1"/>
  <c r="DH531" i="1"/>
  <c r="DD531" i="1"/>
  <c r="CW531" i="1"/>
  <c r="CP531" i="1"/>
  <c r="CL531" i="1"/>
  <c r="CG531" i="1"/>
  <c r="CB531" i="1"/>
  <c r="BW531" i="1"/>
  <c r="BV531" i="1"/>
  <c r="BQ531" i="1"/>
  <c r="BP531" i="1"/>
  <c r="BO531" i="1"/>
  <c r="BJ531" i="1"/>
  <c r="BI531" i="1"/>
  <c r="BH531" i="1"/>
  <c r="BC531" i="1"/>
  <c r="BB531" i="1"/>
  <c r="BA531" i="1"/>
  <c r="AV531" i="1"/>
  <c r="AU531" i="1"/>
  <c r="AT531" i="1"/>
  <c r="AO531" i="1"/>
  <c r="AN531" i="1"/>
  <c r="AJ531" i="1"/>
  <c r="AC531" i="1"/>
  <c r="AB531" i="1"/>
  <c r="Y531" i="1"/>
  <c r="S531" i="1"/>
  <c r="K531" i="1"/>
  <c r="J531" i="1"/>
  <c r="C531" i="1"/>
  <c r="EV530" i="1"/>
  <c r="EU530" i="1"/>
  <c r="ET530" i="1"/>
  <c r="EC530" i="1"/>
  <c r="DY530" i="1"/>
  <c r="DQ530" i="1"/>
  <c r="DK530" i="1"/>
  <c r="DH530" i="1"/>
  <c r="DD530" i="1"/>
  <c r="CW530" i="1"/>
  <c r="CP530" i="1"/>
  <c r="CL530" i="1"/>
  <c r="CG530" i="1"/>
  <c r="CB530" i="1"/>
  <c r="BW530" i="1"/>
  <c r="BV530" i="1"/>
  <c r="BQ530" i="1"/>
  <c r="BP530" i="1"/>
  <c r="BO530" i="1"/>
  <c r="BJ530" i="1"/>
  <c r="BI530" i="1"/>
  <c r="BH530" i="1"/>
  <c r="BC530" i="1"/>
  <c r="BB530" i="1"/>
  <c r="BA530" i="1"/>
  <c r="AV530" i="1"/>
  <c r="AU530" i="1"/>
  <c r="AT530" i="1"/>
  <c r="AO530" i="1"/>
  <c r="AN530" i="1"/>
  <c r="AJ530" i="1"/>
  <c r="AC530" i="1"/>
  <c r="Y530" i="1"/>
  <c r="S530" i="1"/>
  <c r="K530" i="1"/>
  <c r="J530" i="1"/>
  <c r="C530" i="1"/>
  <c r="EV529" i="1"/>
  <c r="EU529" i="1"/>
  <c r="ET529" i="1"/>
  <c r="EG529" i="1"/>
  <c r="EC529" i="1"/>
  <c r="DQ529" i="1"/>
  <c r="DK529" i="1"/>
  <c r="DH529" i="1"/>
  <c r="DD529" i="1"/>
  <c r="CW529" i="1"/>
  <c r="CP529" i="1"/>
  <c r="CL529" i="1"/>
  <c r="CG529" i="1"/>
  <c r="CB529" i="1"/>
  <c r="BW529" i="1"/>
  <c r="BV529" i="1"/>
  <c r="BQ529" i="1"/>
  <c r="BP529" i="1"/>
  <c r="BO529" i="1"/>
  <c r="BJ529" i="1"/>
  <c r="BI529" i="1"/>
  <c r="BH529" i="1"/>
  <c r="BC529" i="1"/>
  <c r="BB529" i="1"/>
  <c r="BA529" i="1"/>
  <c r="AV529" i="1"/>
  <c r="AU529" i="1"/>
  <c r="AT529" i="1"/>
  <c r="AO529" i="1"/>
  <c r="AN529" i="1"/>
  <c r="AC529" i="1"/>
  <c r="AB529" i="1"/>
  <c r="Y529" i="1"/>
  <c r="S529" i="1"/>
  <c r="K529" i="1"/>
  <c r="J529" i="1"/>
  <c r="C529" i="1"/>
  <c r="EV528" i="1"/>
  <c r="EU528" i="1"/>
  <c r="ET528" i="1"/>
  <c r="EC528" i="1"/>
  <c r="DQ528" i="1"/>
  <c r="DK528" i="1"/>
  <c r="DH528" i="1"/>
  <c r="DD528" i="1"/>
  <c r="CW528" i="1"/>
  <c r="CP528" i="1"/>
  <c r="CL528" i="1"/>
  <c r="CG528" i="1"/>
  <c r="CB528" i="1"/>
  <c r="BW528" i="1"/>
  <c r="BV528" i="1"/>
  <c r="BQ528" i="1"/>
  <c r="BP528" i="1"/>
  <c r="BO528" i="1"/>
  <c r="BJ528" i="1"/>
  <c r="BI528" i="1"/>
  <c r="BH528" i="1"/>
  <c r="BC528" i="1"/>
  <c r="BB528" i="1"/>
  <c r="BA528" i="1"/>
  <c r="AV528" i="1"/>
  <c r="AU528" i="1"/>
  <c r="AT528" i="1"/>
  <c r="AO528" i="1"/>
  <c r="AN528" i="1"/>
  <c r="AC528" i="1"/>
  <c r="Y528" i="1"/>
  <c r="S528" i="1"/>
  <c r="K528" i="1"/>
  <c r="J528" i="1"/>
  <c r="C528" i="1"/>
  <c r="EV527" i="1"/>
  <c r="EU527" i="1"/>
  <c r="ET527" i="1"/>
  <c r="EG527" i="1"/>
  <c r="EC527" i="1"/>
  <c r="DQ527" i="1"/>
  <c r="DK527" i="1"/>
  <c r="DH527" i="1"/>
  <c r="DD527" i="1"/>
  <c r="CW527" i="1"/>
  <c r="CP527" i="1"/>
  <c r="CL527" i="1"/>
  <c r="CG527" i="1"/>
  <c r="CB527" i="1"/>
  <c r="BW527" i="1"/>
  <c r="BV527" i="1"/>
  <c r="BQ527" i="1"/>
  <c r="BP527" i="1"/>
  <c r="BO527" i="1"/>
  <c r="BJ527" i="1"/>
  <c r="BI527" i="1"/>
  <c r="BH527" i="1"/>
  <c r="BC527" i="1"/>
  <c r="BB527" i="1"/>
  <c r="BA527" i="1"/>
  <c r="AV527" i="1"/>
  <c r="AU527" i="1"/>
  <c r="AT527" i="1"/>
  <c r="AO527" i="1"/>
  <c r="AN527" i="1"/>
  <c r="AC527" i="1"/>
  <c r="AB527" i="1"/>
  <c r="Y527" i="1"/>
  <c r="S527" i="1"/>
  <c r="K527" i="1"/>
  <c r="J527" i="1"/>
  <c r="C527" i="1"/>
  <c r="EV526" i="1"/>
  <c r="EU526" i="1"/>
  <c r="ET526" i="1"/>
  <c r="EG526" i="1"/>
  <c r="EC526" i="1"/>
  <c r="DQ526" i="1"/>
  <c r="DK526" i="1"/>
  <c r="DH526" i="1"/>
  <c r="DD526" i="1"/>
  <c r="CW526" i="1"/>
  <c r="CP526" i="1"/>
  <c r="CL526" i="1"/>
  <c r="CG526" i="1"/>
  <c r="CB526" i="1"/>
  <c r="BW526" i="1"/>
  <c r="BV526" i="1"/>
  <c r="BQ526" i="1"/>
  <c r="BP526" i="1"/>
  <c r="BO526" i="1"/>
  <c r="BJ526" i="1"/>
  <c r="BI526" i="1"/>
  <c r="BH526" i="1"/>
  <c r="BC526" i="1"/>
  <c r="BB526" i="1"/>
  <c r="BA526" i="1"/>
  <c r="AV526" i="1"/>
  <c r="AU526" i="1"/>
  <c r="AT526" i="1"/>
  <c r="AO526" i="1"/>
  <c r="AN526" i="1"/>
  <c r="AC526" i="1"/>
  <c r="AB526" i="1"/>
  <c r="Y526" i="1"/>
  <c r="S526" i="1"/>
  <c r="K526" i="1"/>
  <c r="J526" i="1"/>
  <c r="C526" i="1"/>
  <c r="EV525" i="1"/>
  <c r="EU525" i="1"/>
  <c r="ET525" i="1"/>
  <c r="EG525" i="1"/>
  <c r="EC525" i="1"/>
  <c r="DQ525" i="1"/>
  <c r="DK525" i="1"/>
  <c r="DH525" i="1"/>
  <c r="DD525" i="1"/>
  <c r="CW525" i="1"/>
  <c r="CP525" i="1"/>
  <c r="CL525" i="1"/>
  <c r="CG525" i="1"/>
  <c r="CB525" i="1"/>
  <c r="BW525" i="1"/>
  <c r="BV525" i="1"/>
  <c r="BQ525" i="1"/>
  <c r="BP525" i="1"/>
  <c r="BO525" i="1"/>
  <c r="BJ525" i="1"/>
  <c r="BI525" i="1"/>
  <c r="BH525" i="1"/>
  <c r="BC525" i="1"/>
  <c r="BB525" i="1"/>
  <c r="BA525" i="1"/>
  <c r="AV525" i="1"/>
  <c r="AU525" i="1"/>
  <c r="AT525" i="1"/>
  <c r="AO525" i="1"/>
  <c r="AN525" i="1"/>
  <c r="AC525" i="1"/>
  <c r="AB525" i="1"/>
  <c r="Y525" i="1"/>
  <c r="S525" i="1"/>
  <c r="K525" i="1"/>
  <c r="J525" i="1"/>
  <c r="C525" i="1"/>
  <c r="EV524" i="1"/>
  <c r="EU524" i="1"/>
  <c r="ET524" i="1"/>
  <c r="EG524" i="1"/>
  <c r="EC524" i="1"/>
  <c r="DQ524" i="1"/>
  <c r="DK524" i="1"/>
  <c r="DH524" i="1"/>
  <c r="DD524" i="1"/>
  <c r="CW524" i="1"/>
  <c r="CP524" i="1"/>
  <c r="CL524" i="1"/>
  <c r="CG524" i="1"/>
  <c r="CB524" i="1"/>
  <c r="BW524" i="1"/>
  <c r="BV524" i="1"/>
  <c r="BQ524" i="1"/>
  <c r="BP524" i="1"/>
  <c r="BO524" i="1"/>
  <c r="BJ524" i="1"/>
  <c r="BI524" i="1"/>
  <c r="BH524" i="1"/>
  <c r="BC524" i="1"/>
  <c r="BB524" i="1"/>
  <c r="BA524" i="1"/>
  <c r="AV524" i="1"/>
  <c r="AU524" i="1"/>
  <c r="AT524" i="1"/>
  <c r="AO524" i="1"/>
  <c r="AN524" i="1"/>
  <c r="AC524" i="1"/>
  <c r="AB524" i="1"/>
  <c r="Y524" i="1"/>
  <c r="S524" i="1"/>
  <c r="K524" i="1"/>
  <c r="J524" i="1"/>
  <c r="C524" i="1"/>
  <c r="EV523" i="1"/>
  <c r="EU523" i="1"/>
  <c r="ET523" i="1"/>
  <c r="EG523" i="1"/>
  <c r="EC523" i="1"/>
  <c r="DQ523" i="1"/>
  <c r="DK523" i="1"/>
  <c r="DH523" i="1"/>
  <c r="DD523" i="1"/>
  <c r="CW523" i="1"/>
  <c r="CP523" i="1"/>
  <c r="CL523" i="1"/>
  <c r="CG523" i="1"/>
  <c r="CB523" i="1"/>
  <c r="BW523" i="1"/>
  <c r="BV523" i="1"/>
  <c r="BQ523" i="1"/>
  <c r="BP523" i="1"/>
  <c r="BO523" i="1"/>
  <c r="BJ523" i="1"/>
  <c r="BI523" i="1"/>
  <c r="BH523" i="1"/>
  <c r="BC523" i="1"/>
  <c r="BB523" i="1"/>
  <c r="BA523" i="1"/>
  <c r="AV523" i="1"/>
  <c r="AU523" i="1"/>
  <c r="AT523" i="1"/>
  <c r="AO523" i="1"/>
  <c r="AN523" i="1"/>
  <c r="AC523" i="1"/>
  <c r="AB523" i="1"/>
  <c r="Y523" i="1"/>
  <c r="S523" i="1"/>
  <c r="K523" i="1"/>
  <c r="J523" i="1"/>
  <c r="C523" i="1"/>
  <c r="EV522" i="1"/>
  <c r="EU522" i="1"/>
  <c r="ET522" i="1"/>
  <c r="EG522" i="1"/>
  <c r="EC522" i="1"/>
  <c r="DQ522" i="1"/>
  <c r="DK522" i="1"/>
  <c r="DH522" i="1"/>
  <c r="DD522" i="1"/>
  <c r="CW522" i="1"/>
  <c r="CP522" i="1"/>
  <c r="CL522" i="1"/>
  <c r="CG522" i="1"/>
  <c r="CB522" i="1"/>
  <c r="BW522" i="1"/>
  <c r="BV522" i="1"/>
  <c r="BQ522" i="1"/>
  <c r="BP522" i="1"/>
  <c r="BO522" i="1"/>
  <c r="BJ522" i="1"/>
  <c r="BI522" i="1"/>
  <c r="BH522" i="1"/>
  <c r="BC522" i="1"/>
  <c r="BB522" i="1"/>
  <c r="BA522" i="1"/>
  <c r="AV522" i="1"/>
  <c r="AU522" i="1"/>
  <c r="AT522" i="1"/>
  <c r="AO522" i="1"/>
  <c r="AN522" i="1"/>
  <c r="AC522" i="1"/>
  <c r="AB522" i="1"/>
  <c r="Y522" i="1"/>
  <c r="S522" i="1"/>
  <c r="K522" i="1"/>
  <c r="J522" i="1"/>
  <c r="C522" i="1"/>
  <c r="EV521" i="1"/>
  <c r="EU521" i="1"/>
  <c r="ET521" i="1"/>
  <c r="EG521" i="1"/>
  <c r="EC521" i="1"/>
  <c r="DQ521" i="1"/>
  <c r="DK521" i="1"/>
  <c r="DH521" i="1"/>
  <c r="DD521" i="1"/>
  <c r="CW521" i="1"/>
  <c r="CP521" i="1"/>
  <c r="CL521" i="1"/>
  <c r="CG521" i="1"/>
  <c r="CB521" i="1"/>
  <c r="BW521" i="1"/>
  <c r="BV521" i="1"/>
  <c r="BQ521" i="1"/>
  <c r="BP521" i="1"/>
  <c r="BO521" i="1"/>
  <c r="BJ521" i="1"/>
  <c r="BI521" i="1"/>
  <c r="BH521" i="1"/>
  <c r="BC521" i="1"/>
  <c r="BB521" i="1"/>
  <c r="BA521" i="1"/>
  <c r="AV521" i="1"/>
  <c r="AU521" i="1"/>
  <c r="AT521" i="1"/>
  <c r="AO521" i="1"/>
  <c r="AN521" i="1"/>
  <c r="AC521" i="1"/>
  <c r="AB521" i="1"/>
  <c r="Y521" i="1"/>
  <c r="S521" i="1"/>
  <c r="K521" i="1"/>
  <c r="J521" i="1"/>
  <c r="C521" i="1"/>
  <c r="EV520" i="1"/>
  <c r="EU520" i="1"/>
  <c r="ET520" i="1"/>
  <c r="EG520" i="1"/>
  <c r="EC520" i="1"/>
  <c r="DK520" i="1"/>
  <c r="DH520" i="1"/>
  <c r="DD520" i="1"/>
  <c r="CW520" i="1"/>
  <c r="CP520" i="1"/>
  <c r="CL520" i="1"/>
  <c r="CG520" i="1"/>
  <c r="CB520" i="1"/>
  <c r="BW520" i="1"/>
  <c r="BV520" i="1"/>
  <c r="BQ520" i="1"/>
  <c r="BP520" i="1"/>
  <c r="BO520" i="1"/>
  <c r="BJ520" i="1"/>
  <c r="BI520" i="1"/>
  <c r="BH520" i="1"/>
  <c r="BC520" i="1"/>
  <c r="BB520" i="1"/>
  <c r="BA520" i="1"/>
  <c r="AV520" i="1"/>
  <c r="AU520" i="1"/>
  <c r="AT520" i="1"/>
  <c r="AO520" i="1"/>
  <c r="AN520" i="1"/>
  <c r="AB520" i="1"/>
  <c r="Y520" i="1"/>
  <c r="S520" i="1"/>
  <c r="K520" i="1"/>
  <c r="J520" i="1"/>
  <c r="C520" i="1"/>
  <c r="EV519" i="1"/>
  <c r="EU519" i="1"/>
  <c r="ET519" i="1"/>
  <c r="EG519" i="1"/>
  <c r="EC519" i="1"/>
  <c r="DQ519" i="1"/>
  <c r="DK519" i="1"/>
  <c r="DH519" i="1"/>
  <c r="DD519" i="1"/>
  <c r="CW519" i="1"/>
  <c r="CP519" i="1"/>
  <c r="CL519" i="1"/>
  <c r="CG519" i="1"/>
  <c r="CB519" i="1"/>
  <c r="BW519" i="1"/>
  <c r="BV519" i="1"/>
  <c r="BQ519" i="1"/>
  <c r="BP519" i="1"/>
  <c r="BO519" i="1"/>
  <c r="BJ519" i="1"/>
  <c r="BI519" i="1"/>
  <c r="BH519" i="1"/>
  <c r="BC519" i="1"/>
  <c r="BB519" i="1"/>
  <c r="BA519" i="1"/>
  <c r="AV519" i="1"/>
  <c r="AU519" i="1"/>
  <c r="AT519" i="1"/>
  <c r="AO519" i="1"/>
  <c r="AN519" i="1"/>
  <c r="AC519" i="1"/>
  <c r="AB519" i="1"/>
  <c r="Y519" i="1"/>
  <c r="S519" i="1"/>
  <c r="K519" i="1"/>
  <c r="J519" i="1"/>
  <c r="C519" i="1"/>
  <c r="EV518" i="1"/>
  <c r="EU518" i="1"/>
  <c r="ET518" i="1"/>
  <c r="EG518" i="1"/>
  <c r="EC518" i="1"/>
  <c r="DQ518" i="1"/>
  <c r="DK518" i="1"/>
  <c r="DH518" i="1"/>
  <c r="DD518" i="1"/>
  <c r="CW518" i="1"/>
  <c r="CP518" i="1"/>
  <c r="CL518" i="1"/>
  <c r="CG518" i="1"/>
  <c r="CB518" i="1"/>
  <c r="BW518" i="1"/>
  <c r="BV518" i="1"/>
  <c r="BQ518" i="1"/>
  <c r="BP518" i="1"/>
  <c r="BO518" i="1"/>
  <c r="BJ518" i="1"/>
  <c r="BI518" i="1"/>
  <c r="BH518" i="1"/>
  <c r="BC518" i="1"/>
  <c r="BB518" i="1"/>
  <c r="BA518" i="1"/>
  <c r="AV518" i="1"/>
  <c r="AU518" i="1"/>
  <c r="AT518" i="1"/>
  <c r="AO518" i="1"/>
  <c r="AN518" i="1"/>
  <c r="AC518" i="1"/>
  <c r="AB518" i="1"/>
  <c r="Y518" i="1"/>
  <c r="S518" i="1"/>
  <c r="K518" i="1"/>
  <c r="J518" i="1"/>
  <c r="C518" i="1"/>
  <c r="EV517" i="1"/>
  <c r="EU517" i="1"/>
  <c r="ET517" i="1"/>
  <c r="EG517" i="1"/>
  <c r="EC517" i="1"/>
  <c r="DQ517" i="1"/>
  <c r="DK517" i="1"/>
  <c r="DH517" i="1"/>
  <c r="DD517" i="1"/>
  <c r="CW517" i="1"/>
  <c r="CP517" i="1"/>
  <c r="CL517" i="1"/>
  <c r="CG517" i="1"/>
  <c r="CB517" i="1"/>
  <c r="BW517" i="1"/>
  <c r="BV517" i="1"/>
  <c r="BQ517" i="1"/>
  <c r="BP517" i="1"/>
  <c r="BO517" i="1"/>
  <c r="BJ517" i="1"/>
  <c r="BI517" i="1"/>
  <c r="BH517" i="1"/>
  <c r="BC517" i="1"/>
  <c r="BB517" i="1"/>
  <c r="BA517" i="1"/>
  <c r="AV517" i="1"/>
  <c r="AU517" i="1"/>
  <c r="AT517" i="1"/>
  <c r="AO517" i="1"/>
  <c r="AN517" i="1"/>
  <c r="AC517" i="1"/>
  <c r="AB517" i="1"/>
  <c r="Y517" i="1"/>
  <c r="S517" i="1"/>
  <c r="K517" i="1"/>
  <c r="J517" i="1"/>
  <c r="C517" i="1"/>
  <c r="EV516" i="1"/>
  <c r="EU516" i="1"/>
  <c r="ET516" i="1"/>
  <c r="EG516" i="1"/>
  <c r="EC516" i="1"/>
  <c r="DY516" i="1"/>
  <c r="DQ516" i="1"/>
  <c r="DK516" i="1"/>
  <c r="DH516" i="1"/>
  <c r="DD516" i="1"/>
  <c r="CW516" i="1"/>
  <c r="CP516" i="1"/>
  <c r="CL516" i="1"/>
  <c r="CG516" i="1"/>
  <c r="CB516" i="1"/>
  <c r="BW516" i="1"/>
  <c r="BV516" i="1"/>
  <c r="BQ516" i="1"/>
  <c r="BP516" i="1"/>
  <c r="BO516" i="1"/>
  <c r="BJ516" i="1"/>
  <c r="BI516" i="1"/>
  <c r="BH516" i="1"/>
  <c r="BC516" i="1"/>
  <c r="BB516" i="1"/>
  <c r="BA516" i="1"/>
  <c r="AV516" i="1"/>
  <c r="AU516" i="1"/>
  <c r="AT516" i="1"/>
  <c r="AO516" i="1"/>
  <c r="AN516" i="1"/>
  <c r="AJ516" i="1"/>
  <c r="AC516" i="1"/>
  <c r="AB516" i="1"/>
  <c r="Y516" i="1"/>
  <c r="S516" i="1"/>
  <c r="K516" i="1"/>
  <c r="J516" i="1"/>
  <c r="C516" i="1"/>
  <c r="EV515" i="1"/>
  <c r="EU515" i="1"/>
  <c r="ET515" i="1"/>
  <c r="EG515" i="1"/>
  <c r="EC515" i="1"/>
  <c r="DQ515" i="1"/>
  <c r="DK515" i="1"/>
  <c r="DH515" i="1"/>
  <c r="DD515" i="1"/>
  <c r="CW515" i="1"/>
  <c r="CP515" i="1"/>
  <c r="CL515" i="1"/>
  <c r="CG515" i="1"/>
  <c r="CB515" i="1"/>
  <c r="BW515" i="1"/>
  <c r="BV515" i="1"/>
  <c r="BQ515" i="1"/>
  <c r="BP515" i="1"/>
  <c r="BO515" i="1"/>
  <c r="BJ515" i="1"/>
  <c r="BI515" i="1"/>
  <c r="BH515" i="1"/>
  <c r="BC515" i="1"/>
  <c r="BB515" i="1"/>
  <c r="BA515" i="1"/>
  <c r="AV515" i="1"/>
  <c r="AU515" i="1"/>
  <c r="AT515" i="1"/>
  <c r="AO515" i="1"/>
  <c r="AN515" i="1"/>
  <c r="AC515" i="1"/>
  <c r="AB515" i="1"/>
  <c r="Y515" i="1"/>
  <c r="S515" i="1"/>
  <c r="K515" i="1"/>
  <c r="J515" i="1"/>
  <c r="C515" i="1"/>
  <c r="EV514" i="1"/>
  <c r="EU514" i="1"/>
  <c r="ET514" i="1"/>
  <c r="EG514" i="1"/>
  <c r="EC514" i="1"/>
  <c r="DQ514" i="1"/>
  <c r="DK514" i="1"/>
  <c r="DH514" i="1"/>
  <c r="DD514" i="1"/>
  <c r="CW514" i="1"/>
  <c r="CP514" i="1"/>
  <c r="CL514" i="1"/>
  <c r="CG514" i="1"/>
  <c r="CB514" i="1"/>
  <c r="BW514" i="1"/>
  <c r="BV514" i="1"/>
  <c r="BQ514" i="1"/>
  <c r="BP514" i="1"/>
  <c r="BO514" i="1"/>
  <c r="BJ514" i="1"/>
  <c r="BI514" i="1"/>
  <c r="BH514" i="1"/>
  <c r="BC514" i="1"/>
  <c r="BB514" i="1"/>
  <c r="BA514" i="1"/>
  <c r="AV514" i="1"/>
  <c r="AU514" i="1"/>
  <c r="AT514" i="1"/>
  <c r="AO514" i="1"/>
  <c r="AN514" i="1"/>
  <c r="AC514" i="1"/>
  <c r="AB514" i="1"/>
  <c r="Y514" i="1"/>
  <c r="S514" i="1"/>
  <c r="K514" i="1"/>
  <c r="J514" i="1"/>
  <c r="C514" i="1"/>
  <c r="EV513" i="1"/>
  <c r="EU513" i="1"/>
  <c r="ET513" i="1"/>
  <c r="EG513" i="1"/>
  <c r="EC513" i="1"/>
  <c r="DQ513" i="1"/>
  <c r="DK513" i="1"/>
  <c r="DH513" i="1"/>
  <c r="DD513" i="1"/>
  <c r="CW513" i="1"/>
  <c r="CP513" i="1"/>
  <c r="CL513" i="1"/>
  <c r="CG513" i="1"/>
  <c r="CB513" i="1"/>
  <c r="BW513" i="1"/>
  <c r="BV513" i="1"/>
  <c r="BQ513" i="1"/>
  <c r="BP513" i="1"/>
  <c r="BO513" i="1"/>
  <c r="BJ513" i="1"/>
  <c r="BI513" i="1"/>
  <c r="BH513" i="1"/>
  <c r="BC513" i="1"/>
  <c r="BB513" i="1"/>
  <c r="BA513" i="1"/>
  <c r="AV513" i="1"/>
  <c r="AU513" i="1"/>
  <c r="AT513" i="1"/>
  <c r="AO513" i="1"/>
  <c r="AN513" i="1"/>
  <c r="AC513" i="1"/>
  <c r="AB513" i="1"/>
  <c r="Y513" i="1"/>
  <c r="S513" i="1"/>
  <c r="K513" i="1"/>
  <c r="J513" i="1"/>
  <c r="C513" i="1"/>
  <c r="EV512" i="1"/>
  <c r="EU512" i="1"/>
  <c r="ET512" i="1"/>
  <c r="EG512" i="1"/>
  <c r="EC512" i="1"/>
  <c r="DQ512" i="1"/>
  <c r="DK512" i="1"/>
  <c r="DH512" i="1"/>
  <c r="DD512" i="1"/>
  <c r="CW512" i="1"/>
  <c r="CP512" i="1"/>
  <c r="CL512" i="1"/>
  <c r="CG512" i="1"/>
  <c r="CB512" i="1"/>
  <c r="BW512" i="1"/>
  <c r="BV512" i="1"/>
  <c r="BQ512" i="1"/>
  <c r="BP512" i="1"/>
  <c r="BO512" i="1"/>
  <c r="BJ512" i="1"/>
  <c r="BI512" i="1"/>
  <c r="BH512" i="1"/>
  <c r="BC512" i="1"/>
  <c r="BB512" i="1"/>
  <c r="BA512" i="1"/>
  <c r="AV512" i="1"/>
  <c r="AU512" i="1"/>
  <c r="AT512" i="1"/>
  <c r="AO512" i="1"/>
  <c r="AN512" i="1"/>
  <c r="AC512" i="1"/>
  <c r="AB512" i="1"/>
  <c r="Y512" i="1"/>
  <c r="S512" i="1"/>
  <c r="K512" i="1"/>
  <c r="J512" i="1"/>
  <c r="C512" i="1"/>
  <c r="EV511" i="1"/>
  <c r="EU511" i="1"/>
  <c r="ET511" i="1"/>
  <c r="EG511" i="1"/>
  <c r="EC511" i="1"/>
  <c r="DQ511" i="1"/>
  <c r="DK511" i="1"/>
  <c r="DH511" i="1"/>
  <c r="DD511" i="1"/>
  <c r="CW511" i="1"/>
  <c r="CP511" i="1"/>
  <c r="CL511" i="1"/>
  <c r="CG511" i="1"/>
  <c r="CB511" i="1"/>
  <c r="BW511" i="1"/>
  <c r="BV511" i="1"/>
  <c r="BQ511" i="1"/>
  <c r="BP511" i="1"/>
  <c r="BO511" i="1"/>
  <c r="BJ511" i="1"/>
  <c r="BI511" i="1"/>
  <c r="BH511" i="1"/>
  <c r="BC511" i="1"/>
  <c r="BB511" i="1"/>
  <c r="BA511" i="1"/>
  <c r="AV511" i="1"/>
  <c r="AU511" i="1"/>
  <c r="AT511" i="1"/>
  <c r="AO511" i="1"/>
  <c r="AN511" i="1"/>
  <c r="AC511" i="1"/>
  <c r="AB511" i="1"/>
  <c r="Y511" i="1"/>
  <c r="S511" i="1"/>
  <c r="K511" i="1"/>
  <c r="J511" i="1"/>
  <c r="C511" i="1"/>
  <c r="EV510" i="1"/>
  <c r="EU510" i="1"/>
  <c r="ET510" i="1"/>
  <c r="EG510" i="1"/>
  <c r="EC510" i="1"/>
  <c r="DQ510" i="1"/>
  <c r="DK510" i="1"/>
  <c r="DH510" i="1"/>
  <c r="DD510" i="1"/>
  <c r="CW510" i="1"/>
  <c r="CP510" i="1"/>
  <c r="CL510" i="1"/>
  <c r="CG510" i="1"/>
  <c r="CB510" i="1"/>
  <c r="BW510" i="1"/>
  <c r="BV510" i="1"/>
  <c r="BQ510" i="1"/>
  <c r="BP510" i="1"/>
  <c r="BO510" i="1"/>
  <c r="BJ510" i="1"/>
  <c r="BI510" i="1"/>
  <c r="BH510" i="1"/>
  <c r="BC510" i="1"/>
  <c r="BB510" i="1"/>
  <c r="BA510" i="1"/>
  <c r="AV510" i="1"/>
  <c r="AU510" i="1"/>
  <c r="AT510" i="1"/>
  <c r="AO510" i="1"/>
  <c r="AN510" i="1"/>
  <c r="AC510" i="1"/>
  <c r="AB510" i="1"/>
  <c r="Y510" i="1"/>
  <c r="S510" i="1"/>
  <c r="K510" i="1"/>
  <c r="J510" i="1"/>
  <c r="C510" i="1"/>
  <c r="EV509" i="1"/>
  <c r="EU509" i="1"/>
  <c r="ET509" i="1"/>
  <c r="EG509" i="1"/>
  <c r="EC509" i="1"/>
  <c r="DQ509" i="1"/>
  <c r="DK509" i="1"/>
  <c r="DH509" i="1"/>
  <c r="DD509" i="1"/>
  <c r="CW509" i="1"/>
  <c r="CP509" i="1"/>
  <c r="CL509" i="1"/>
  <c r="CG509" i="1"/>
  <c r="CB509" i="1"/>
  <c r="BW509" i="1"/>
  <c r="BV509" i="1"/>
  <c r="BQ509" i="1"/>
  <c r="BP509" i="1"/>
  <c r="BO509" i="1"/>
  <c r="BJ509" i="1"/>
  <c r="BI509" i="1"/>
  <c r="BH509" i="1"/>
  <c r="BC509" i="1"/>
  <c r="BB509" i="1"/>
  <c r="BA509" i="1"/>
  <c r="AV509" i="1"/>
  <c r="AU509" i="1"/>
  <c r="AT509" i="1"/>
  <c r="AO509" i="1"/>
  <c r="AN509" i="1"/>
  <c r="AC509" i="1"/>
  <c r="AB509" i="1"/>
  <c r="Y509" i="1"/>
  <c r="S509" i="1"/>
  <c r="K509" i="1"/>
  <c r="J509" i="1"/>
  <c r="C509" i="1"/>
  <c r="C508" i="1"/>
  <c r="EV507" i="1"/>
  <c r="EU507" i="1"/>
  <c r="ET507" i="1"/>
  <c r="EC507" i="1"/>
  <c r="DQ507" i="1"/>
  <c r="DK507" i="1"/>
  <c r="DH507" i="1"/>
  <c r="DD507" i="1"/>
  <c r="CW507" i="1"/>
  <c r="CP507" i="1"/>
  <c r="CL507" i="1"/>
  <c r="CG507" i="1"/>
  <c r="CB507" i="1"/>
  <c r="BW507" i="1"/>
  <c r="BV507" i="1"/>
  <c r="BQ507" i="1"/>
  <c r="BP507" i="1"/>
  <c r="BO507" i="1"/>
  <c r="BJ507" i="1"/>
  <c r="BI507" i="1"/>
  <c r="BH507" i="1"/>
  <c r="BC507" i="1"/>
  <c r="BB507" i="1"/>
  <c r="BA507" i="1"/>
  <c r="AV507" i="1"/>
  <c r="AU507" i="1"/>
  <c r="AT507" i="1"/>
  <c r="AO507" i="1"/>
  <c r="AN507" i="1"/>
  <c r="AC507" i="1"/>
  <c r="Y507" i="1"/>
  <c r="S507" i="1"/>
  <c r="K507" i="1"/>
  <c r="J507" i="1"/>
  <c r="C507" i="1"/>
  <c r="EV506" i="1"/>
  <c r="EU506" i="1"/>
  <c r="ET506" i="1"/>
  <c r="EC506" i="1"/>
  <c r="DQ506" i="1"/>
  <c r="DK506" i="1"/>
  <c r="DH506" i="1"/>
  <c r="DD506" i="1"/>
  <c r="CW506" i="1"/>
  <c r="Y506" i="1"/>
  <c r="K506" i="1"/>
  <c r="J506" i="1"/>
  <c r="C506" i="1"/>
  <c r="EV505" i="1"/>
  <c r="EU505" i="1"/>
  <c r="ET505" i="1"/>
  <c r="EG505" i="1"/>
  <c r="EC505" i="1"/>
  <c r="DQ505" i="1"/>
  <c r="DK505" i="1"/>
  <c r="DH505" i="1"/>
  <c r="DD505" i="1"/>
  <c r="CW505" i="1"/>
  <c r="CP505" i="1"/>
  <c r="CL505" i="1"/>
  <c r="CG505" i="1"/>
  <c r="CB505" i="1"/>
  <c r="BW505" i="1"/>
  <c r="BV505" i="1"/>
  <c r="BQ505" i="1"/>
  <c r="BP505" i="1"/>
  <c r="BO505" i="1"/>
  <c r="BJ505" i="1"/>
  <c r="BI505" i="1"/>
  <c r="BH505" i="1"/>
  <c r="BC505" i="1"/>
  <c r="BB505" i="1"/>
  <c r="BA505" i="1"/>
  <c r="AV505" i="1"/>
  <c r="AU505" i="1"/>
  <c r="AT505" i="1"/>
  <c r="AO505" i="1"/>
  <c r="AN505" i="1"/>
  <c r="AC505" i="1"/>
  <c r="AB505" i="1"/>
  <c r="Y505" i="1"/>
  <c r="S505" i="1"/>
  <c r="K505" i="1"/>
  <c r="J505" i="1"/>
  <c r="C505" i="1"/>
  <c r="EV504" i="1"/>
  <c r="EU504" i="1"/>
  <c r="ET504" i="1"/>
  <c r="EC504" i="1"/>
  <c r="DQ504" i="1"/>
  <c r="DK504" i="1"/>
  <c r="DH504" i="1"/>
  <c r="DD504" i="1"/>
  <c r="CW504" i="1"/>
  <c r="Y504" i="1"/>
  <c r="K504" i="1"/>
  <c r="J504" i="1"/>
  <c r="C504" i="1"/>
  <c r="EV503" i="1"/>
  <c r="EU503" i="1"/>
  <c r="ET503" i="1"/>
  <c r="EG503" i="1"/>
  <c r="EC503" i="1"/>
  <c r="DQ503" i="1"/>
  <c r="DK503" i="1"/>
  <c r="DH503" i="1"/>
  <c r="DD503" i="1"/>
  <c r="CW503" i="1"/>
  <c r="CP503" i="1"/>
  <c r="CL503" i="1"/>
  <c r="CG503" i="1"/>
  <c r="CB503" i="1"/>
  <c r="BW503" i="1"/>
  <c r="BV503" i="1"/>
  <c r="BQ503" i="1"/>
  <c r="BP503" i="1"/>
  <c r="BO503" i="1"/>
  <c r="BJ503" i="1"/>
  <c r="BI503" i="1"/>
  <c r="BH503" i="1"/>
  <c r="BC503" i="1"/>
  <c r="BB503" i="1"/>
  <c r="BA503" i="1"/>
  <c r="AV503" i="1"/>
  <c r="AU503" i="1"/>
  <c r="AT503" i="1"/>
  <c r="AO503" i="1"/>
  <c r="AN503" i="1"/>
  <c r="AC503" i="1"/>
  <c r="AB503" i="1"/>
  <c r="Y503" i="1"/>
  <c r="S503" i="1"/>
  <c r="K503" i="1"/>
  <c r="J503" i="1"/>
  <c r="C503" i="1"/>
  <c r="EV502" i="1"/>
  <c r="EU502" i="1"/>
  <c r="ET502" i="1"/>
  <c r="EG502" i="1"/>
  <c r="EC502" i="1"/>
  <c r="DY502" i="1"/>
  <c r="DQ502" i="1"/>
  <c r="DK502" i="1"/>
  <c r="DH502" i="1"/>
  <c r="DD502" i="1"/>
  <c r="CW502" i="1"/>
  <c r="CP502" i="1"/>
  <c r="CL502" i="1"/>
  <c r="CG502" i="1"/>
  <c r="CB502" i="1"/>
  <c r="BW502" i="1"/>
  <c r="BV502" i="1"/>
  <c r="BQ502" i="1"/>
  <c r="BP502" i="1"/>
  <c r="BO502" i="1"/>
  <c r="BJ502" i="1"/>
  <c r="BI502" i="1"/>
  <c r="BH502" i="1"/>
  <c r="BC502" i="1"/>
  <c r="BB502" i="1"/>
  <c r="BA502" i="1"/>
  <c r="AV502" i="1"/>
  <c r="AU502" i="1"/>
  <c r="AT502" i="1"/>
  <c r="AO502" i="1"/>
  <c r="AN502" i="1"/>
  <c r="AJ502" i="1"/>
  <c r="AC502" i="1"/>
  <c r="AB502" i="1"/>
  <c r="Y502" i="1"/>
  <c r="S502" i="1"/>
  <c r="K502" i="1"/>
  <c r="J502" i="1"/>
  <c r="C502" i="1"/>
  <c r="EV501" i="1"/>
  <c r="EU501" i="1"/>
  <c r="ET501" i="1"/>
  <c r="EG501" i="1"/>
  <c r="EC501" i="1"/>
  <c r="DQ501" i="1"/>
  <c r="DK501" i="1"/>
  <c r="DH501" i="1"/>
  <c r="DD501" i="1"/>
  <c r="CW501" i="1"/>
  <c r="CP501" i="1"/>
  <c r="CL501" i="1"/>
  <c r="CG501" i="1"/>
  <c r="CB501" i="1"/>
  <c r="BW501" i="1"/>
  <c r="BV501" i="1"/>
  <c r="BQ501" i="1"/>
  <c r="BP501" i="1"/>
  <c r="BO501" i="1"/>
  <c r="BJ501" i="1"/>
  <c r="BI501" i="1"/>
  <c r="BH501" i="1"/>
  <c r="BC501" i="1"/>
  <c r="BB501" i="1"/>
  <c r="BA501" i="1"/>
  <c r="AV501" i="1"/>
  <c r="AU501" i="1"/>
  <c r="AT501" i="1"/>
  <c r="AO501" i="1"/>
  <c r="AN501" i="1"/>
  <c r="AC501" i="1"/>
  <c r="AB501" i="1"/>
  <c r="Y501" i="1"/>
  <c r="S501" i="1"/>
  <c r="K501" i="1"/>
  <c r="J501" i="1"/>
  <c r="C501" i="1"/>
  <c r="EV500" i="1"/>
  <c r="EU500" i="1"/>
  <c r="ET500" i="1"/>
  <c r="EG500" i="1"/>
  <c r="EC500" i="1"/>
  <c r="DQ500" i="1"/>
  <c r="DK500" i="1"/>
  <c r="DH500" i="1"/>
  <c r="DD500" i="1"/>
  <c r="CW500" i="1"/>
  <c r="CP500" i="1"/>
  <c r="CL500" i="1"/>
  <c r="CG500" i="1"/>
  <c r="CB500" i="1"/>
  <c r="BW500" i="1"/>
  <c r="BV500" i="1"/>
  <c r="BQ500" i="1"/>
  <c r="BP500" i="1"/>
  <c r="BO500" i="1"/>
  <c r="BJ500" i="1"/>
  <c r="BI500" i="1"/>
  <c r="BH500" i="1"/>
  <c r="BC500" i="1"/>
  <c r="BB500" i="1"/>
  <c r="BA500" i="1"/>
  <c r="AV500" i="1"/>
  <c r="AU500" i="1"/>
  <c r="AT500" i="1"/>
  <c r="AO500" i="1"/>
  <c r="AN500" i="1"/>
  <c r="AC500" i="1"/>
  <c r="AB500" i="1"/>
  <c r="Y500" i="1"/>
  <c r="S500" i="1"/>
  <c r="K500" i="1"/>
  <c r="J500" i="1"/>
  <c r="C500" i="1"/>
  <c r="EV499" i="1"/>
  <c r="EU499" i="1"/>
  <c r="ET499" i="1"/>
  <c r="EG499" i="1"/>
  <c r="EC499" i="1"/>
  <c r="DY499" i="1"/>
  <c r="DQ499" i="1"/>
  <c r="DK499" i="1"/>
  <c r="DH499" i="1"/>
  <c r="DD499" i="1"/>
  <c r="CW499" i="1"/>
  <c r="CP499" i="1"/>
  <c r="CL499" i="1"/>
  <c r="CG499" i="1"/>
  <c r="CB499" i="1"/>
  <c r="BW499" i="1"/>
  <c r="BV499" i="1"/>
  <c r="BQ499" i="1"/>
  <c r="BP499" i="1"/>
  <c r="BO499" i="1"/>
  <c r="BJ499" i="1"/>
  <c r="BI499" i="1"/>
  <c r="BH499" i="1"/>
  <c r="BC499" i="1"/>
  <c r="BB499" i="1"/>
  <c r="BA499" i="1"/>
  <c r="AV499" i="1"/>
  <c r="AU499" i="1"/>
  <c r="AT499" i="1"/>
  <c r="AO499" i="1"/>
  <c r="AN499" i="1"/>
  <c r="AJ499" i="1"/>
  <c r="AC499" i="1"/>
  <c r="AB499" i="1"/>
  <c r="Y499" i="1"/>
  <c r="S499" i="1"/>
  <c r="K499" i="1"/>
  <c r="J499" i="1"/>
  <c r="C499" i="1"/>
  <c r="EV498" i="1"/>
  <c r="EU498" i="1"/>
  <c r="ET498" i="1"/>
  <c r="EG498" i="1"/>
  <c r="EC498" i="1"/>
  <c r="DY498" i="1"/>
  <c r="DQ498" i="1"/>
  <c r="DK498" i="1"/>
  <c r="DH498" i="1"/>
  <c r="DD498" i="1"/>
  <c r="CW498" i="1"/>
  <c r="CP498" i="1"/>
  <c r="CL498" i="1"/>
  <c r="CG498" i="1"/>
  <c r="CB498" i="1"/>
  <c r="BW498" i="1"/>
  <c r="BV498" i="1"/>
  <c r="BQ498" i="1"/>
  <c r="BP498" i="1"/>
  <c r="BO498" i="1"/>
  <c r="BJ498" i="1"/>
  <c r="BI498" i="1"/>
  <c r="BH498" i="1"/>
  <c r="BC498" i="1"/>
  <c r="BB498" i="1"/>
  <c r="BA498" i="1"/>
  <c r="AV498" i="1"/>
  <c r="AU498" i="1"/>
  <c r="AT498" i="1"/>
  <c r="AO498" i="1"/>
  <c r="AN498" i="1"/>
  <c r="AJ498" i="1"/>
  <c r="AC498" i="1"/>
  <c r="AB498" i="1"/>
  <c r="Y498" i="1"/>
  <c r="S498" i="1"/>
  <c r="K498" i="1"/>
  <c r="J498" i="1"/>
  <c r="C498" i="1"/>
  <c r="C497" i="1"/>
  <c r="EV496" i="1"/>
  <c r="EU496" i="1"/>
  <c r="ET496" i="1"/>
  <c r="EG496" i="1"/>
  <c r="EC496" i="1"/>
  <c r="DQ496" i="1"/>
  <c r="DK496" i="1"/>
  <c r="DH496" i="1"/>
  <c r="DD496" i="1"/>
  <c r="CW496" i="1"/>
  <c r="CP496" i="1"/>
  <c r="CL496" i="1"/>
  <c r="CG496" i="1"/>
  <c r="CB496" i="1"/>
  <c r="BW496" i="1"/>
  <c r="BV496" i="1"/>
  <c r="BQ496" i="1"/>
  <c r="BP496" i="1"/>
  <c r="BO496" i="1"/>
  <c r="BJ496" i="1"/>
  <c r="BI496" i="1"/>
  <c r="BH496" i="1"/>
  <c r="BC496" i="1"/>
  <c r="BB496" i="1"/>
  <c r="BA496" i="1"/>
  <c r="AV496" i="1"/>
  <c r="AU496" i="1"/>
  <c r="AT496" i="1"/>
  <c r="AO496" i="1"/>
  <c r="AN496" i="1"/>
  <c r="AC496" i="1"/>
  <c r="AB496" i="1"/>
  <c r="Y496" i="1"/>
  <c r="S496" i="1"/>
  <c r="K496" i="1"/>
  <c r="J496" i="1"/>
  <c r="C496" i="1"/>
  <c r="EV495" i="1"/>
  <c r="EU495" i="1"/>
  <c r="ET495" i="1"/>
  <c r="EG495" i="1"/>
  <c r="EC495" i="1"/>
  <c r="DY495" i="1"/>
  <c r="DQ495" i="1"/>
  <c r="DK495" i="1"/>
  <c r="DH495" i="1"/>
  <c r="DD495" i="1"/>
  <c r="CW495" i="1"/>
  <c r="CP495" i="1"/>
  <c r="CL495" i="1"/>
  <c r="CG495" i="1"/>
  <c r="CB495" i="1"/>
  <c r="BW495" i="1"/>
  <c r="BV495" i="1"/>
  <c r="BQ495" i="1"/>
  <c r="BP495" i="1"/>
  <c r="BO495" i="1"/>
  <c r="BJ495" i="1"/>
  <c r="BI495" i="1"/>
  <c r="BH495" i="1"/>
  <c r="BC495" i="1"/>
  <c r="BB495" i="1"/>
  <c r="BA495" i="1"/>
  <c r="AV495" i="1"/>
  <c r="AU495" i="1"/>
  <c r="AT495" i="1"/>
  <c r="AO495" i="1"/>
  <c r="AN495" i="1"/>
  <c r="AJ495" i="1"/>
  <c r="AC495" i="1"/>
  <c r="AB495" i="1"/>
  <c r="Y495" i="1"/>
  <c r="S495" i="1"/>
  <c r="K495" i="1"/>
  <c r="J495" i="1"/>
  <c r="C495" i="1"/>
  <c r="C494" i="1"/>
  <c r="EV493" i="1"/>
  <c r="EU493" i="1"/>
  <c r="ET493" i="1"/>
  <c r="EG493" i="1"/>
  <c r="EC493" i="1"/>
  <c r="DY493" i="1"/>
  <c r="DQ493" i="1"/>
  <c r="DK493" i="1"/>
  <c r="DH493" i="1"/>
  <c r="DD493" i="1"/>
  <c r="CW493" i="1"/>
  <c r="CP493" i="1"/>
  <c r="CL493" i="1"/>
  <c r="CG493" i="1"/>
  <c r="CB493" i="1"/>
  <c r="BW493" i="1"/>
  <c r="BV493" i="1"/>
  <c r="BQ493" i="1"/>
  <c r="BP493" i="1"/>
  <c r="BO493" i="1"/>
  <c r="BJ493" i="1"/>
  <c r="BI493" i="1"/>
  <c r="BH493" i="1"/>
  <c r="BC493" i="1"/>
  <c r="BB493" i="1"/>
  <c r="BA493" i="1"/>
  <c r="AV493" i="1"/>
  <c r="AU493" i="1"/>
  <c r="AT493" i="1"/>
  <c r="AO493" i="1"/>
  <c r="AN493" i="1"/>
  <c r="AJ493" i="1"/>
  <c r="AC493" i="1"/>
  <c r="AB493" i="1"/>
  <c r="Y493" i="1"/>
  <c r="S493" i="1"/>
  <c r="K493" i="1"/>
  <c r="J493" i="1"/>
  <c r="C493" i="1"/>
  <c r="C492" i="1"/>
  <c r="EV491" i="1"/>
  <c r="EU491" i="1"/>
  <c r="ET491" i="1"/>
  <c r="EG491" i="1"/>
  <c r="EC491" i="1"/>
  <c r="DQ491" i="1"/>
  <c r="DK491" i="1"/>
  <c r="DH491" i="1"/>
  <c r="DD491" i="1"/>
  <c r="CW491" i="1"/>
  <c r="CP491" i="1"/>
  <c r="CL491" i="1"/>
  <c r="CG491" i="1"/>
  <c r="CB491" i="1"/>
  <c r="BW491" i="1"/>
  <c r="BV491" i="1"/>
  <c r="BQ491" i="1"/>
  <c r="BP491" i="1"/>
  <c r="BO491" i="1"/>
  <c r="BJ491" i="1"/>
  <c r="BI491" i="1"/>
  <c r="BH491" i="1"/>
  <c r="BC491" i="1"/>
  <c r="BB491" i="1"/>
  <c r="BA491" i="1"/>
  <c r="AV491" i="1"/>
  <c r="AU491" i="1"/>
  <c r="AT491" i="1"/>
  <c r="AO491" i="1"/>
  <c r="AN491" i="1"/>
  <c r="AC491" i="1"/>
  <c r="AB491" i="1"/>
  <c r="Y491" i="1"/>
  <c r="S491" i="1"/>
  <c r="K491" i="1"/>
  <c r="J491" i="1"/>
  <c r="C491" i="1"/>
  <c r="EV490" i="1"/>
  <c r="EU490" i="1"/>
  <c r="ET490" i="1"/>
  <c r="EG490" i="1"/>
  <c r="EC490" i="1"/>
  <c r="DQ490" i="1"/>
  <c r="DK490" i="1"/>
  <c r="DH490" i="1"/>
  <c r="DD490" i="1"/>
  <c r="CW490" i="1"/>
  <c r="CP490" i="1"/>
  <c r="CL490" i="1"/>
  <c r="CG490" i="1"/>
  <c r="CB490" i="1"/>
  <c r="BW490" i="1"/>
  <c r="BV490" i="1"/>
  <c r="BQ490" i="1"/>
  <c r="BP490" i="1"/>
  <c r="BO490" i="1"/>
  <c r="BJ490" i="1"/>
  <c r="BI490" i="1"/>
  <c r="BH490" i="1"/>
  <c r="BC490" i="1"/>
  <c r="BB490" i="1"/>
  <c r="BA490" i="1"/>
  <c r="AV490" i="1"/>
  <c r="AU490" i="1"/>
  <c r="AT490" i="1"/>
  <c r="AO490" i="1"/>
  <c r="AN490" i="1"/>
  <c r="AC490" i="1"/>
  <c r="AB490" i="1"/>
  <c r="Y490" i="1"/>
  <c r="S490" i="1"/>
  <c r="K490" i="1"/>
  <c r="J490" i="1"/>
  <c r="C490" i="1"/>
  <c r="EV489" i="1"/>
  <c r="EU489" i="1"/>
  <c r="ET489" i="1"/>
  <c r="EG489" i="1"/>
  <c r="EC489" i="1"/>
  <c r="DQ489" i="1"/>
  <c r="DK489" i="1"/>
  <c r="DH489" i="1"/>
  <c r="DD489" i="1"/>
  <c r="CW489" i="1"/>
  <c r="CP489" i="1"/>
  <c r="CL489" i="1"/>
  <c r="CG489" i="1"/>
  <c r="CB489" i="1"/>
  <c r="BW489" i="1"/>
  <c r="BV489" i="1"/>
  <c r="BQ489" i="1"/>
  <c r="BP489" i="1"/>
  <c r="BO489" i="1"/>
  <c r="BJ489" i="1"/>
  <c r="BI489" i="1"/>
  <c r="BH489" i="1"/>
  <c r="BC489" i="1"/>
  <c r="BB489" i="1"/>
  <c r="BA489" i="1"/>
  <c r="AV489" i="1"/>
  <c r="AU489" i="1"/>
  <c r="AT489" i="1"/>
  <c r="AO489" i="1"/>
  <c r="AN489" i="1"/>
  <c r="AC489" i="1"/>
  <c r="AB489" i="1"/>
  <c r="Y489" i="1"/>
  <c r="S489" i="1"/>
  <c r="K489" i="1"/>
  <c r="J489" i="1"/>
  <c r="C489" i="1"/>
  <c r="EV488" i="1"/>
  <c r="EU488" i="1"/>
  <c r="ET488" i="1"/>
  <c r="EG488" i="1"/>
  <c r="EC488" i="1"/>
  <c r="DQ488" i="1"/>
  <c r="DK488" i="1"/>
  <c r="DH488" i="1"/>
  <c r="DD488" i="1"/>
  <c r="CW488" i="1"/>
  <c r="CP488" i="1"/>
  <c r="CL488" i="1"/>
  <c r="CG488" i="1"/>
  <c r="CB488" i="1"/>
  <c r="BW488" i="1"/>
  <c r="BV488" i="1"/>
  <c r="BQ488" i="1"/>
  <c r="BP488" i="1"/>
  <c r="BO488" i="1"/>
  <c r="BJ488" i="1"/>
  <c r="BI488" i="1"/>
  <c r="BH488" i="1"/>
  <c r="BC488" i="1"/>
  <c r="BB488" i="1"/>
  <c r="BA488" i="1"/>
  <c r="AV488" i="1"/>
  <c r="AU488" i="1"/>
  <c r="AT488" i="1"/>
  <c r="AO488" i="1"/>
  <c r="AN488" i="1"/>
  <c r="AC488" i="1"/>
  <c r="AB488" i="1"/>
  <c r="Y488" i="1"/>
  <c r="S488" i="1"/>
  <c r="K488" i="1"/>
  <c r="J488" i="1"/>
  <c r="C488" i="1"/>
  <c r="EV487" i="1"/>
  <c r="EU487" i="1"/>
  <c r="ET487" i="1"/>
  <c r="EG487" i="1"/>
  <c r="EC487" i="1"/>
  <c r="DQ487" i="1"/>
  <c r="DK487" i="1"/>
  <c r="DH487" i="1"/>
  <c r="DD487" i="1"/>
  <c r="CW487" i="1"/>
  <c r="CP487" i="1"/>
  <c r="CL487" i="1"/>
  <c r="CG487" i="1"/>
  <c r="CB487" i="1"/>
  <c r="BW487" i="1"/>
  <c r="BV487" i="1"/>
  <c r="BQ487" i="1"/>
  <c r="BP487" i="1"/>
  <c r="BO487" i="1"/>
  <c r="BJ487" i="1"/>
  <c r="BI487" i="1"/>
  <c r="BH487" i="1"/>
  <c r="BC487" i="1"/>
  <c r="BB487" i="1"/>
  <c r="BA487" i="1"/>
  <c r="AV487" i="1"/>
  <c r="AU487" i="1"/>
  <c r="AT487" i="1"/>
  <c r="AO487" i="1"/>
  <c r="AN487" i="1"/>
  <c r="AC487" i="1"/>
  <c r="AB487" i="1"/>
  <c r="Y487" i="1"/>
  <c r="S487" i="1"/>
  <c r="K487" i="1"/>
  <c r="J487" i="1"/>
  <c r="C487" i="1"/>
  <c r="EV486" i="1"/>
  <c r="EU486" i="1"/>
  <c r="ET486" i="1"/>
  <c r="EC486" i="1"/>
  <c r="DQ486" i="1"/>
  <c r="DK486" i="1"/>
  <c r="DH486" i="1"/>
  <c r="DD486" i="1"/>
  <c r="CW486" i="1"/>
  <c r="CP486" i="1"/>
  <c r="CL486" i="1"/>
  <c r="CG486" i="1"/>
  <c r="CB486" i="1"/>
  <c r="BW486" i="1"/>
  <c r="BV486" i="1"/>
  <c r="BQ486" i="1"/>
  <c r="BP486" i="1"/>
  <c r="BO486" i="1"/>
  <c r="BJ486" i="1"/>
  <c r="BI486" i="1"/>
  <c r="BH486" i="1"/>
  <c r="BC486" i="1"/>
  <c r="BB486" i="1"/>
  <c r="BA486" i="1"/>
  <c r="AV486" i="1"/>
  <c r="AU486" i="1"/>
  <c r="AT486" i="1"/>
  <c r="AO486" i="1"/>
  <c r="AN486" i="1"/>
  <c r="AC486" i="1"/>
  <c r="Y486" i="1"/>
  <c r="S486" i="1"/>
  <c r="K486" i="1"/>
  <c r="J486" i="1"/>
  <c r="C486" i="1"/>
  <c r="C485" i="1"/>
  <c r="EV484" i="1"/>
  <c r="EU484" i="1"/>
  <c r="ET484" i="1"/>
  <c r="EC484" i="1"/>
  <c r="DQ484" i="1"/>
  <c r="DK484" i="1"/>
  <c r="DH484" i="1"/>
  <c r="DD484" i="1"/>
  <c r="CW484" i="1"/>
  <c r="CP484" i="1"/>
  <c r="CL484" i="1"/>
  <c r="CG484" i="1"/>
  <c r="CB484" i="1"/>
  <c r="BW484" i="1"/>
  <c r="BV484" i="1"/>
  <c r="BQ484" i="1"/>
  <c r="BP484" i="1"/>
  <c r="BO484" i="1"/>
  <c r="BJ484" i="1"/>
  <c r="BI484" i="1"/>
  <c r="BH484" i="1"/>
  <c r="BC484" i="1"/>
  <c r="BB484" i="1"/>
  <c r="BA484" i="1"/>
  <c r="AV484" i="1"/>
  <c r="AU484" i="1"/>
  <c r="AT484" i="1"/>
  <c r="AO484" i="1"/>
  <c r="AN484" i="1"/>
  <c r="AC484" i="1"/>
  <c r="Y484" i="1"/>
  <c r="S484" i="1"/>
  <c r="K484" i="1"/>
  <c r="J484" i="1"/>
  <c r="C484" i="1"/>
  <c r="EV483" i="1"/>
  <c r="EU483" i="1"/>
  <c r="ET483" i="1"/>
  <c r="EG483" i="1"/>
  <c r="EC483" i="1"/>
  <c r="DQ483" i="1"/>
  <c r="DK483" i="1"/>
  <c r="DH483" i="1"/>
  <c r="DD483" i="1"/>
  <c r="CW483" i="1"/>
  <c r="CP483" i="1"/>
  <c r="CL483" i="1"/>
  <c r="CG483" i="1"/>
  <c r="CB483" i="1"/>
  <c r="BW483" i="1"/>
  <c r="BV483" i="1"/>
  <c r="BQ483" i="1"/>
  <c r="BP483" i="1"/>
  <c r="BO483" i="1"/>
  <c r="BJ483" i="1"/>
  <c r="BI483" i="1"/>
  <c r="BH483" i="1"/>
  <c r="BC483" i="1"/>
  <c r="BB483" i="1"/>
  <c r="BA483" i="1"/>
  <c r="AV483" i="1"/>
  <c r="AU483" i="1"/>
  <c r="AT483" i="1"/>
  <c r="AO483" i="1"/>
  <c r="AN483" i="1"/>
  <c r="AC483" i="1"/>
  <c r="AB483" i="1"/>
  <c r="Y483" i="1"/>
  <c r="S483" i="1"/>
  <c r="K483" i="1"/>
  <c r="J483" i="1"/>
  <c r="C483" i="1"/>
  <c r="EV482" i="1"/>
  <c r="EU482" i="1"/>
  <c r="ET482" i="1"/>
  <c r="EG482" i="1"/>
  <c r="EC482" i="1"/>
  <c r="DQ482" i="1"/>
  <c r="DK482" i="1"/>
  <c r="DH482" i="1"/>
  <c r="DD482" i="1"/>
  <c r="CW482" i="1"/>
  <c r="CP482" i="1"/>
  <c r="CL482" i="1"/>
  <c r="CG482" i="1"/>
  <c r="CB482" i="1"/>
  <c r="BW482" i="1"/>
  <c r="BV482" i="1"/>
  <c r="BQ482" i="1"/>
  <c r="BP482" i="1"/>
  <c r="BO482" i="1"/>
  <c r="BJ482" i="1"/>
  <c r="BI482" i="1"/>
  <c r="BH482" i="1"/>
  <c r="BC482" i="1"/>
  <c r="BB482" i="1"/>
  <c r="BA482" i="1"/>
  <c r="AV482" i="1"/>
  <c r="AU482" i="1"/>
  <c r="AT482" i="1"/>
  <c r="AO482" i="1"/>
  <c r="AN482" i="1"/>
  <c r="AC482" i="1"/>
  <c r="AB482" i="1"/>
  <c r="Y482" i="1"/>
  <c r="S482" i="1"/>
  <c r="K482" i="1"/>
  <c r="J482" i="1"/>
  <c r="C482" i="1"/>
  <c r="EV481" i="1"/>
  <c r="EU481" i="1"/>
  <c r="ET481" i="1"/>
  <c r="EG481" i="1"/>
  <c r="EC481" i="1"/>
  <c r="DY481" i="1"/>
  <c r="DQ481" i="1"/>
  <c r="DK481" i="1"/>
  <c r="DH481" i="1"/>
  <c r="DD481" i="1"/>
  <c r="CW481" i="1"/>
  <c r="CP481" i="1"/>
  <c r="CL481" i="1"/>
  <c r="CG481" i="1"/>
  <c r="CB481" i="1"/>
  <c r="BW481" i="1"/>
  <c r="BV481" i="1"/>
  <c r="BQ481" i="1"/>
  <c r="BP481" i="1"/>
  <c r="BO481" i="1"/>
  <c r="BJ481" i="1"/>
  <c r="BI481" i="1"/>
  <c r="BH481" i="1"/>
  <c r="BC481" i="1"/>
  <c r="BB481" i="1"/>
  <c r="BA481" i="1"/>
  <c r="AV481" i="1"/>
  <c r="AU481" i="1"/>
  <c r="AT481" i="1"/>
  <c r="AO481" i="1"/>
  <c r="AN481" i="1"/>
  <c r="AJ481" i="1"/>
  <c r="AC481" i="1"/>
  <c r="AB481" i="1"/>
  <c r="Y481" i="1"/>
  <c r="S481" i="1"/>
  <c r="K481" i="1"/>
  <c r="J481" i="1"/>
  <c r="C481" i="1"/>
  <c r="EV480" i="1"/>
  <c r="EU480" i="1"/>
  <c r="ET480" i="1"/>
  <c r="EG480" i="1"/>
  <c r="EC480" i="1"/>
  <c r="DQ480" i="1"/>
  <c r="DK480" i="1"/>
  <c r="DH480" i="1"/>
  <c r="DD480" i="1"/>
  <c r="CW480" i="1"/>
  <c r="CP480" i="1"/>
  <c r="CL480" i="1"/>
  <c r="CG480" i="1"/>
  <c r="CB480" i="1"/>
  <c r="BW480" i="1"/>
  <c r="BV480" i="1"/>
  <c r="BQ480" i="1"/>
  <c r="BP480" i="1"/>
  <c r="BO480" i="1"/>
  <c r="BJ480" i="1"/>
  <c r="BI480" i="1"/>
  <c r="BH480" i="1"/>
  <c r="BC480" i="1"/>
  <c r="BB480" i="1"/>
  <c r="BA480" i="1"/>
  <c r="AV480" i="1"/>
  <c r="AU480" i="1"/>
  <c r="AT480" i="1"/>
  <c r="AO480" i="1"/>
  <c r="AN480" i="1"/>
  <c r="AC480" i="1"/>
  <c r="AB480" i="1"/>
  <c r="S480" i="1"/>
  <c r="K480" i="1"/>
  <c r="J480" i="1"/>
  <c r="C480" i="1"/>
  <c r="EV479" i="1"/>
  <c r="EU479" i="1"/>
  <c r="ET479" i="1"/>
  <c r="EG479" i="1"/>
  <c r="EC479" i="1"/>
  <c r="DY479" i="1"/>
  <c r="DQ479" i="1"/>
  <c r="DK479" i="1"/>
  <c r="DH479" i="1"/>
  <c r="DD479" i="1"/>
  <c r="CW479" i="1"/>
  <c r="CP479" i="1"/>
  <c r="CL479" i="1"/>
  <c r="CG479" i="1"/>
  <c r="CB479" i="1"/>
  <c r="BW479" i="1"/>
  <c r="BV479" i="1"/>
  <c r="BQ479" i="1"/>
  <c r="BP479" i="1"/>
  <c r="BO479" i="1"/>
  <c r="BJ479" i="1"/>
  <c r="BI479" i="1"/>
  <c r="BH479" i="1"/>
  <c r="BC479" i="1"/>
  <c r="BB479" i="1"/>
  <c r="BA479" i="1"/>
  <c r="AV479" i="1"/>
  <c r="AU479" i="1"/>
  <c r="AT479" i="1"/>
  <c r="AO479" i="1"/>
  <c r="AN479" i="1"/>
  <c r="AJ479" i="1"/>
  <c r="AC479" i="1"/>
  <c r="AB479" i="1"/>
  <c r="Y479" i="1"/>
  <c r="S479" i="1"/>
  <c r="K479" i="1"/>
  <c r="J479" i="1"/>
  <c r="C479" i="1"/>
  <c r="EV478" i="1"/>
  <c r="EU478" i="1"/>
  <c r="ET478" i="1"/>
  <c r="EG478" i="1"/>
  <c r="EC478" i="1"/>
  <c r="DQ478" i="1"/>
  <c r="DK478" i="1"/>
  <c r="DH478" i="1"/>
  <c r="DD478" i="1"/>
  <c r="CW478" i="1"/>
  <c r="CP478" i="1"/>
  <c r="CL478" i="1"/>
  <c r="CG478" i="1"/>
  <c r="CB478" i="1"/>
  <c r="BW478" i="1"/>
  <c r="BV478" i="1"/>
  <c r="BQ478" i="1"/>
  <c r="BP478" i="1"/>
  <c r="BO478" i="1"/>
  <c r="BJ478" i="1"/>
  <c r="BI478" i="1"/>
  <c r="BH478" i="1"/>
  <c r="BC478" i="1"/>
  <c r="BB478" i="1"/>
  <c r="BA478" i="1"/>
  <c r="AV478" i="1"/>
  <c r="AU478" i="1"/>
  <c r="AT478" i="1"/>
  <c r="AO478" i="1"/>
  <c r="AN478" i="1"/>
  <c r="AC478" i="1"/>
  <c r="AB478" i="1"/>
  <c r="Y478" i="1"/>
  <c r="S478" i="1"/>
  <c r="K478" i="1"/>
  <c r="J478" i="1"/>
  <c r="C478" i="1"/>
  <c r="EV477" i="1"/>
  <c r="EU477" i="1"/>
  <c r="ET477" i="1"/>
  <c r="EC477" i="1"/>
  <c r="DQ477" i="1"/>
  <c r="DK477" i="1"/>
  <c r="DH477" i="1"/>
  <c r="DD477" i="1"/>
  <c r="CW477" i="1"/>
  <c r="CP477" i="1"/>
  <c r="CL477" i="1"/>
  <c r="CG477" i="1"/>
  <c r="CB477" i="1"/>
  <c r="BW477" i="1"/>
  <c r="BV477" i="1"/>
  <c r="BQ477" i="1"/>
  <c r="BP477" i="1"/>
  <c r="BO477" i="1"/>
  <c r="BJ477" i="1"/>
  <c r="BI477" i="1"/>
  <c r="BH477" i="1"/>
  <c r="BC477" i="1"/>
  <c r="BB477" i="1"/>
  <c r="BA477" i="1"/>
  <c r="AV477" i="1"/>
  <c r="AU477" i="1"/>
  <c r="AT477" i="1"/>
  <c r="AO477" i="1"/>
  <c r="AN477" i="1"/>
  <c r="AC477" i="1"/>
  <c r="Y477" i="1"/>
  <c r="S477" i="1"/>
  <c r="K477" i="1"/>
  <c r="J477" i="1"/>
  <c r="C477" i="1"/>
  <c r="C476" i="1"/>
  <c r="EV475" i="1"/>
  <c r="EU475" i="1"/>
  <c r="ET475" i="1"/>
  <c r="EC475" i="1"/>
  <c r="DQ475" i="1"/>
  <c r="DK475" i="1"/>
  <c r="DH475" i="1"/>
  <c r="DD475" i="1"/>
  <c r="CW475" i="1"/>
  <c r="CP475" i="1"/>
  <c r="CL475" i="1"/>
  <c r="CG475" i="1"/>
  <c r="CB475" i="1"/>
  <c r="BW475" i="1"/>
  <c r="BV475" i="1"/>
  <c r="BQ475" i="1"/>
  <c r="BP475" i="1"/>
  <c r="BO475" i="1"/>
  <c r="BJ475" i="1"/>
  <c r="BI475" i="1"/>
  <c r="BH475" i="1"/>
  <c r="BC475" i="1"/>
  <c r="BB475" i="1"/>
  <c r="BA475" i="1"/>
  <c r="AV475" i="1"/>
  <c r="AU475" i="1"/>
  <c r="AT475" i="1"/>
  <c r="AO475" i="1"/>
  <c r="AN475" i="1"/>
  <c r="AC475" i="1"/>
  <c r="Y475" i="1"/>
  <c r="S475" i="1"/>
  <c r="K475" i="1"/>
  <c r="J475" i="1"/>
  <c r="C475" i="1"/>
  <c r="EV474" i="1"/>
  <c r="EU474" i="1"/>
  <c r="ET474" i="1"/>
  <c r="EG474" i="1"/>
  <c r="EC474" i="1"/>
  <c r="DQ474" i="1"/>
  <c r="DK474" i="1"/>
  <c r="DH474" i="1"/>
  <c r="DD474" i="1"/>
  <c r="CW474" i="1"/>
  <c r="CP474" i="1"/>
  <c r="CL474" i="1"/>
  <c r="CG474" i="1"/>
  <c r="CB474" i="1"/>
  <c r="BW474" i="1"/>
  <c r="BV474" i="1"/>
  <c r="BQ474" i="1"/>
  <c r="BP474" i="1"/>
  <c r="BO474" i="1"/>
  <c r="BJ474" i="1"/>
  <c r="BI474" i="1"/>
  <c r="BH474" i="1"/>
  <c r="BC474" i="1"/>
  <c r="BB474" i="1"/>
  <c r="BA474" i="1"/>
  <c r="AV474" i="1"/>
  <c r="AU474" i="1"/>
  <c r="AT474" i="1"/>
  <c r="AO474" i="1"/>
  <c r="AN474" i="1"/>
  <c r="AC474" i="1"/>
  <c r="AB474" i="1"/>
  <c r="Y474" i="1"/>
  <c r="S474" i="1"/>
  <c r="K474" i="1"/>
  <c r="J474" i="1"/>
  <c r="C474" i="1"/>
  <c r="EV473" i="1"/>
  <c r="EU473" i="1"/>
  <c r="ET473" i="1"/>
  <c r="EG473" i="1"/>
  <c r="EC473" i="1"/>
  <c r="DQ473" i="1"/>
  <c r="DK473" i="1"/>
  <c r="DH473" i="1"/>
  <c r="DD473" i="1"/>
  <c r="CW473" i="1"/>
  <c r="CP473" i="1"/>
  <c r="CL473" i="1"/>
  <c r="CG473" i="1"/>
  <c r="CB473" i="1"/>
  <c r="BW473" i="1"/>
  <c r="BV473" i="1"/>
  <c r="BQ473" i="1"/>
  <c r="BP473" i="1"/>
  <c r="BO473" i="1"/>
  <c r="BJ473" i="1"/>
  <c r="BI473" i="1"/>
  <c r="BH473" i="1"/>
  <c r="BC473" i="1"/>
  <c r="BB473" i="1"/>
  <c r="BA473" i="1"/>
  <c r="AV473" i="1"/>
  <c r="AU473" i="1"/>
  <c r="AT473" i="1"/>
  <c r="AO473" i="1"/>
  <c r="AN473" i="1"/>
  <c r="AC473" i="1"/>
  <c r="AB473" i="1"/>
  <c r="Y473" i="1"/>
  <c r="S473" i="1"/>
  <c r="K473" i="1"/>
  <c r="J473" i="1"/>
  <c r="C473" i="1"/>
  <c r="EV472" i="1"/>
  <c r="EU472" i="1"/>
  <c r="ET472" i="1"/>
  <c r="EC472" i="1"/>
  <c r="DQ472" i="1"/>
  <c r="DK472" i="1"/>
  <c r="DH472" i="1"/>
  <c r="DD472" i="1"/>
  <c r="CW472" i="1"/>
  <c r="CP472" i="1"/>
  <c r="CL472" i="1"/>
  <c r="CG472" i="1"/>
  <c r="CB472" i="1"/>
  <c r="BW472" i="1"/>
  <c r="BV472" i="1"/>
  <c r="BQ472" i="1"/>
  <c r="BP472" i="1"/>
  <c r="BO472" i="1"/>
  <c r="BJ472" i="1"/>
  <c r="BI472" i="1"/>
  <c r="BH472" i="1"/>
  <c r="BC472" i="1"/>
  <c r="BB472" i="1"/>
  <c r="BA472" i="1"/>
  <c r="AV472" i="1"/>
  <c r="AU472" i="1"/>
  <c r="AT472" i="1"/>
  <c r="AO472" i="1"/>
  <c r="AN472" i="1"/>
  <c r="AC472" i="1"/>
  <c r="Y472" i="1"/>
  <c r="S472" i="1"/>
  <c r="K472" i="1"/>
  <c r="J472" i="1"/>
  <c r="C472" i="1"/>
  <c r="EV471" i="1"/>
  <c r="EU471" i="1"/>
  <c r="ET471" i="1"/>
  <c r="EC471" i="1"/>
  <c r="DQ471" i="1"/>
  <c r="DK471" i="1"/>
  <c r="DH471" i="1"/>
  <c r="DD471" i="1"/>
  <c r="CW471" i="1"/>
  <c r="CP471" i="1"/>
  <c r="CL471" i="1"/>
  <c r="CG471" i="1"/>
  <c r="CB471" i="1"/>
  <c r="BQ471" i="1"/>
  <c r="BP471" i="1"/>
  <c r="BO471" i="1"/>
  <c r="BJ471" i="1"/>
  <c r="BI471" i="1"/>
  <c r="BH471" i="1"/>
  <c r="BC471" i="1"/>
  <c r="BB471" i="1"/>
  <c r="BA471" i="1"/>
  <c r="AV471" i="1"/>
  <c r="AU471" i="1"/>
  <c r="AT471" i="1"/>
  <c r="AO471" i="1"/>
  <c r="AN471" i="1"/>
  <c r="AC471" i="1"/>
  <c r="Y471" i="1"/>
  <c r="S471" i="1"/>
  <c r="K471" i="1"/>
  <c r="J471" i="1"/>
  <c r="C471" i="1"/>
  <c r="EV470" i="1"/>
  <c r="EU470" i="1"/>
  <c r="ET470" i="1"/>
  <c r="EG470" i="1"/>
  <c r="EC470" i="1"/>
  <c r="DY470" i="1"/>
  <c r="DQ470" i="1"/>
  <c r="DK470" i="1"/>
  <c r="DH470" i="1"/>
  <c r="DD470" i="1"/>
  <c r="CW470" i="1"/>
  <c r="CP470" i="1"/>
  <c r="CL470" i="1"/>
  <c r="CG470" i="1"/>
  <c r="CB470" i="1"/>
  <c r="BW470" i="1"/>
  <c r="BV470" i="1"/>
  <c r="BQ470" i="1"/>
  <c r="BP470" i="1"/>
  <c r="BO470" i="1"/>
  <c r="BJ470" i="1"/>
  <c r="BI470" i="1"/>
  <c r="BH470" i="1"/>
  <c r="BC470" i="1"/>
  <c r="BB470" i="1"/>
  <c r="BA470" i="1"/>
  <c r="AV470" i="1"/>
  <c r="AU470" i="1"/>
  <c r="AT470" i="1"/>
  <c r="AO470" i="1"/>
  <c r="AN470" i="1"/>
  <c r="AJ470" i="1"/>
  <c r="AC470" i="1"/>
  <c r="AB470" i="1"/>
  <c r="Y470" i="1"/>
  <c r="S470" i="1"/>
  <c r="K470" i="1"/>
  <c r="J470" i="1"/>
  <c r="C470" i="1"/>
  <c r="EV469" i="1"/>
  <c r="EU469" i="1"/>
  <c r="ET469" i="1"/>
  <c r="EG469" i="1"/>
  <c r="EC469" i="1"/>
  <c r="DQ469" i="1"/>
  <c r="DK469" i="1"/>
  <c r="DH469" i="1"/>
  <c r="DD469" i="1"/>
  <c r="CW469" i="1"/>
  <c r="CP469" i="1"/>
  <c r="CL469" i="1"/>
  <c r="CG469" i="1"/>
  <c r="CB469" i="1"/>
  <c r="BW469" i="1"/>
  <c r="BV469" i="1"/>
  <c r="BQ469" i="1"/>
  <c r="BP469" i="1"/>
  <c r="BO469" i="1"/>
  <c r="BJ469" i="1"/>
  <c r="BI469" i="1"/>
  <c r="BH469" i="1"/>
  <c r="BC469" i="1"/>
  <c r="BB469" i="1"/>
  <c r="BA469" i="1"/>
  <c r="AV469" i="1"/>
  <c r="AU469" i="1"/>
  <c r="AT469" i="1"/>
  <c r="AO469" i="1"/>
  <c r="AN469" i="1"/>
  <c r="AC469" i="1"/>
  <c r="AB469" i="1"/>
  <c r="Y469" i="1"/>
  <c r="S469" i="1"/>
  <c r="K469" i="1"/>
  <c r="J469" i="1"/>
  <c r="C469" i="1"/>
  <c r="C468" i="1"/>
  <c r="EV467" i="1"/>
  <c r="EU467" i="1"/>
  <c r="ET467" i="1"/>
  <c r="EC467" i="1"/>
  <c r="DQ467" i="1"/>
  <c r="DK467" i="1"/>
  <c r="DH467" i="1"/>
  <c r="DD467" i="1"/>
  <c r="CW467" i="1"/>
  <c r="CP467" i="1"/>
  <c r="CL467" i="1"/>
  <c r="CG467" i="1"/>
  <c r="CB467" i="1"/>
  <c r="BW467" i="1"/>
  <c r="BV467" i="1"/>
  <c r="BQ467" i="1"/>
  <c r="BP467" i="1"/>
  <c r="BO467" i="1"/>
  <c r="BJ467" i="1"/>
  <c r="BI467" i="1"/>
  <c r="BH467" i="1"/>
  <c r="BC467" i="1"/>
  <c r="BB467" i="1"/>
  <c r="BA467" i="1"/>
  <c r="AV467" i="1"/>
  <c r="AU467" i="1"/>
  <c r="AT467" i="1"/>
  <c r="AO467" i="1"/>
  <c r="AN467" i="1"/>
  <c r="AC467" i="1"/>
  <c r="Y467" i="1"/>
  <c r="S467" i="1"/>
  <c r="K467" i="1"/>
  <c r="J467" i="1"/>
  <c r="C467" i="1"/>
  <c r="C466" i="1"/>
  <c r="EV465" i="1"/>
  <c r="EU465" i="1"/>
  <c r="ET465" i="1"/>
  <c r="EG465" i="1"/>
  <c r="EC465" i="1"/>
  <c r="DQ465" i="1"/>
  <c r="DK465" i="1"/>
  <c r="DH465" i="1"/>
  <c r="DD465" i="1"/>
  <c r="CW465" i="1"/>
  <c r="CP465" i="1"/>
  <c r="CL465" i="1"/>
  <c r="CG465" i="1"/>
  <c r="CB465" i="1"/>
  <c r="BW465" i="1"/>
  <c r="BV465" i="1"/>
  <c r="BQ465" i="1"/>
  <c r="BP465" i="1"/>
  <c r="BO465" i="1"/>
  <c r="BJ465" i="1"/>
  <c r="BI465" i="1"/>
  <c r="BH465" i="1"/>
  <c r="BC465" i="1"/>
  <c r="BB465" i="1"/>
  <c r="BA465" i="1"/>
  <c r="AV465" i="1"/>
  <c r="AU465" i="1"/>
  <c r="AT465" i="1"/>
  <c r="AO465" i="1"/>
  <c r="AN465" i="1"/>
  <c r="AC465" i="1"/>
  <c r="AB465" i="1"/>
  <c r="Y465" i="1"/>
  <c r="S465" i="1"/>
  <c r="K465" i="1"/>
  <c r="J465" i="1"/>
  <c r="C465" i="1"/>
  <c r="C464" i="1"/>
  <c r="EV463" i="1"/>
  <c r="EU463" i="1"/>
  <c r="ET463" i="1"/>
  <c r="EC463" i="1"/>
  <c r="DQ463" i="1"/>
  <c r="DK463" i="1"/>
  <c r="DH463" i="1"/>
  <c r="DD463" i="1"/>
  <c r="CW463" i="1"/>
  <c r="CP463" i="1"/>
  <c r="CL463" i="1"/>
  <c r="CG463" i="1"/>
  <c r="CB463" i="1"/>
  <c r="BW463" i="1"/>
  <c r="BV463" i="1"/>
  <c r="BQ463" i="1"/>
  <c r="BP463" i="1"/>
  <c r="BO463" i="1"/>
  <c r="BJ463" i="1"/>
  <c r="BI463" i="1"/>
  <c r="BH463" i="1"/>
  <c r="BC463" i="1"/>
  <c r="BB463" i="1"/>
  <c r="BA463" i="1"/>
  <c r="AV463" i="1"/>
  <c r="AU463" i="1"/>
  <c r="AT463" i="1"/>
  <c r="AO463" i="1"/>
  <c r="AN463" i="1"/>
  <c r="AC463" i="1"/>
  <c r="Y463" i="1"/>
  <c r="S463" i="1"/>
  <c r="K463" i="1"/>
  <c r="J463" i="1"/>
  <c r="C463" i="1"/>
  <c r="C462" i="1"/>
  <c r="EV461" i="1"/>
  <c r="EU461" i="1"/>
  <c r="ET461" i="1"/>
  <c r="EC461" i="1"/>
  <c r="DQ461" i="1"/>
  <c r="DK461" i="1"/>
  <c r="DH461" i="1"/>
  <c r="DD461" i="1"/>
  <c r="CW461" i="1"/>
  <c r="CP461" i="1"/>
  <c r="CL461" i="1"/>
  <c r="CG461" i="1"/>
  <c r="CB461" i="1"/>
  <c r="BW461" i="1"/>
  <c r="BV461" i="1"/>
  <c r="BQ461" i="1"/>
  <c r="BP461" i="1"/>
  <c r="BO461" i="1"/>
  <c r="BJ461" i="1"/>
  <c r="BI461" i="1"/>
  <c r="BH461" i="1"/>
  <c r="BC461" i="1"/>
  <c r="BB461" i="1"/>
  <c r="BA461" i="1"/>
  <c r="AV461" i="1"/>
  <c r="AU461" i="1"/>
  <c r="AT461" i="1"/>
  <c r="AO461" i="1"/>
  <c r="AN461" i="1"/>
  <c r="AC461" i="1"/>
  <c r="Y461" i="1"/>
  <c r="S461" i="1"/>
  <c r="K461" i="1"/>
  <c r="J461" i="1"/>
  <c r="C461" i="1"/>
  <c r="EV460" i="1"/>
  <c r="EU460" i="1"/>
  <c r="ET460" i="1"/>
  <c r="EG460" i="1"/>
  <c r="EC460" i="1"/>
  <c r="DQ460" i="1"/>
  <c r="DK460" i="1"/>
  <c r="DH460" i="1"/>
  <c r="DD460" i="1"/>
  <c r="CW460" i="1"/>
  <c r="CP460" i="1"/>
  <c r="CL460" i="1"/>
  <c r="CG460" i="1"/>
  <c r="CB460" i="1"/>
  <c r="BW460" i="1"/>
  <c r="BV460" i="1"/>
  <c r="BQ460" i="1"/>
  <c r="BP460" i="1"/>
  <c r="BO460" i="1"/>
  <c r="BJ460" i="1"/>
  <c r="BI460" i="1"/>
  <c r="BH460" i="1"/>
  <c r="BC460" i="1"/>
  <c r="BB460" i="1"/>
  <c r="BA460" i="1"/>
  <c r="AV460" i="1"/>
  <c r="AU460" i="1"/>
  <c r="AT460" i="1"/>
  <c r="AO460" i="1"/>
  <c r="AN460" i="1"/>
  <c r="AC460" i="1"/>
  <c r="AB460" i="1"/>
  <c r="Y460" i="1"/>
  <c r="S460" i="1"/>
  <c r="K460" i="1"/>
  <c r="J460" i="1"/>
  <c r="C460" i="1"/>
  <c r="EV459" i="1"/>
  <c r="EU459" i="1"/>
  <c r="ET459" i="1"/>
  <c r="EG459" i="1"/>
  <c r="EC459" i="1"/>
  <c r="DQ459" i="1"/>
  <c r="DK459" i="1"/>
  <c r="DH459" i="1"/>
  <c r="DD459" i="1"/>
  <c r="CW459" i="1"/>
  <c r="CP459" i="1"/>
  <c r="CL459" i="1"/>
  <c r="CG459" i="1"/>
  <c r="CB459" i="1"/>
  <c r="BW459" i="1"/>
  <c r="BV459" i="1"/>
  <c r="BQ459" i="1"/>
  <c r="BP459" i="1"/>
  <c r="BO459" i="1"/>
  <c r="BJ459" i="1"/>
  <c r="BI459" i="1"/>
  <c r="BH459" i="1"/>
  <c r="BC459" i="1"/>
  <c r="BB459" i="1"/>
  <c r="BA459" i="1"/>
  <c r="AV459" i="1"/>
  <c r="AU459" i="1"/>
  <c r="AT459" i="1"/>
  <c r="AO459" i="1"/>
  <c r="AN459" i="1"/>
  <c r="AC459" i="1"/>
  <c r="AB459" i="1"/>
  <c r="Y459" i="1"/>
  <c r="S459" i="1"/>
  <c r="K459" i="1"/>
  <c r="J459" i="1"/>
  <c r="C459" i="1"/>
  <c r="EV458" i="1"/>
  <c r="EU458" i="1"/>
  <c r="ET458" i="1"/>
  <c r="EG458" i="1"/>
  <c r="EC458" i="1"/>
  <c r="DY458" i="1"/>
  <c r="DQ458" i="1"/>
  <c r="DK458" i="1"/>
  <c r="DH458" i="1"/>
  <c r="DD458" i="1"/>
  <c r="CW458" i="1"/>
  <c r="CP458" i="1"/>
  <c r="CL458" i="1"/>
  <c r="CG458" i="1"/>
  <c r="CB458" i="1"/>
  <c r="BW458" i="1"/>
  <c r="BV458" i="1"/>
  <c r="BQ458" i="1"/>
  <c r="BP458" i="1"/>
  <c r="BO458" i="1"/>
  <c r="BJ458" i="1"/>
  <c r="BI458" i="1"/>
  <c r="BH458" i="1"/>
  <c r="BC458" i="1"/>
  <c r="BB458" i="1"/>
  <c r="BA458" i="1"/>
  <c r="AV458" i="1"/>
  <c r="AU458" i="1"/>
  <c r="AT458" i="1"/>
  <c r="AO458" i="1"/>
  <c r="AN458" i="1"/>
  <c r="AJ458" i="1"/>
  <c r="AC458" i="1"/>
  <c r="AB458" i="1"/>
  <c r="Y458" i="1"/>
  <c r="S458" i="1"/>
  <c r="K458" i="1"/>
  <c r="J458" i="1"/>
  <c r="C458" i="1"/>
  <c r="C457" i="1"/>
  <c r="C456" i="1"/>
  <c r="EV455" i="1"/>
  <c r="EU455" i="1"/>
  <c r="ET455" i="1"/>
  <c r="EC455" i="1"/>
  <c r="DQ455" i="1"/>
  <c r="DK455" i="1"/>
  <c r="DH455" i="1"/>
  <c r="DD455" i="1"/>
  <c r="CW455" i="1"/>
  <c r="CP455" i="1"/>
  <c r="CL455" i="1"/>
  <c r="CG455" i="1"/>
  <c r="CB455" i="1"/>
  <c r="BW455" i="1"/>
  <c r="BV455" i="1"/>
  <c r="BQ455" i="1"/>
  <c r="BP455" i="1"/>
  <c r="BO455" i="1"/>
  <c r="BJ455" i="1"/>
  <c r="BI455" i="1"/>
  <c r="BH455" i="1"/>
  <c r="BC455" i="1"/>
  <c r="BB455" i="1"/>
  <c r="BA455" i="1"/>
  <c r="AV455" i="1"/>
  <c r="AU455" i="1"/>
  <c r="AT455" i="1"/>
  <c r="AO455" i="1"/>
  <c r="AN455" i="1"/>
  <c r="AC455" i="1"/>
  <c r="Y455" i="1"/>
  <c r="S455" i="1"/>
  <c r="K455" i="1"/>
  <c r="J455" i="1"/>
  <c r="C455" i="1"/>
  <c r="EV454" i="1"/>
  <c r="EU454" i="1"/>
  <c r="ET454" i="1"/>
  <c r="EG454" i="1"/>
  <c r="EC454" i="1"/>
  <c r="DQ454" i="1"/>
  <c r="DK454" i="1"/>
  <c r="DH454" i="1"/>
  <c r="DD454" i="1"/>
  <c r="CW454" i="1"/>
  <c r="CP454" i="1"/>
  <c r="CL454" i="1"/>
  <c r="CG454" i="1"/>
  <c r="CB454" i="1"/>
  <c r="BW454" i="1"/>
  <c r="BV454" i="1"/>
  <c r="BQ454" i="1"/>
  <c r="BP454" i="1"/>
  <c r="BO454" i="1"/>
  <c r="BJ454" i="1"/>
  <c r="BI454" i="1"/>
  <c r="BH454" i="1"/>
  <c r="BC454" i="1"/>
  <c r="BB454" i="1"/>
  <c r="BA454" i="1"/>
  <c r="AV454" i="1"/>
  <c r="AU454" i="1"/>
  <c r="AT454" i="1"/>
  <c r="AO454" i="1"/>
  <c r="AN454" i="1"/>
  <c r="AC454" i="1"/>
  <c r="AB454" i="1"/>
  <c r="Y454" i="1"/>
  <c r="S454" i="1"/>
  <c r="K454" i="1"/>
  <c r="J454" i="1"/>
  <c r="C454" i="1"/>
  <c r="EV453" i="1"/>
  <c r="EU453" i="1"/>
  <c r="ET453" i="1"/>
  <c r="EG453" i="1"/>
  <c r="EC453" i="1"/>
  <c r="DQ453" i="1"/>
  <c r="DK453" i="1"/>
  <c r="DH453" i="1"/>
  <c r="DD453" i="1"/>
  <c r="CW453" i="1"/>
  <c r="CP453" i="1"/>
  <c r="CL453" i="1"/>
  <c r="CG453" i="1"/>
  <c r="CB453" i="1"/>
  <c r="BW453" i="1"/>
  <c r="BV453" i="1"/>
  <c r="BQ453" i="1"/>
  <c r="BP453" i="1"/>
  <c r="BO453" i="1"/>
  <c r="BJ453" i="1"/>
  <c r="BI453" i="1"/>
  <c r="BH453" i="1"/>
  <c r="BC453" i="1"/>
  <c r="BB453" i="1"/>
  <c r="BA453" i="1"/>
  <c r="AV453" i="1"/>
  <c r="AU453" i="1"/>
  <c r="AT453" i="1"/>
  <c r="AO453" i="1"/>
  <c r="AN453" i="1"/>
  <c r="AC453" i="1"/>
  <c r="AB453" i="1"/>
  <c r="Y453" i="1"/>
  <c r="S453" i="1"/>
  <c r="K453" i="1"/>
  <c r="J453" i="1"/>
  <c r="C453" i="1"/>
  <c r="EV452" i="1"/>
  <c r="EU452" i="1"/>
  <c r="ET452" i="1"/>
  <c r="EC452" i="1"/>
  <c r="DQ452" i="1"/>
  <c r="DK452" i="1"/>
  <c r="DH452" i="1"/>
  <c r="DD452" i="1"/>
  <c r="CW452" i="1"/>
  <c r="CP452" i="1"/>
  <c r="CL452" i="1"/>
  <c r="CG452" i="1"/>
  <c r="CB452" i="1"/>
  <c r="BW452" i="1"/>
  <c r="BV452" i="1"/>
  <c r="BQ452" i="1"/>
  <c r="BP452" i="1"/>
  <c r="BO452" i="1"/>
  <c r="BJ452" i="1"/>
  <c r="BI452" i="1"/>
  <c r="BH452" i="1"/>
  <c r="BC452" i="1"/>
  <c r="BB452" i="1"/>
  <c r="BA452" i="1"/>
  <c r="AV452" i="1"/>
  <c r="AU452" i="1"/>
  <c r="AT452" i="1"/>
  <c r="AO452" i="1"/>
  <c r="AN452" i="1"/>
  <c r="AC452" i="1"/>
  <c r="Y452" i="1"/>
  <c r="S452" i="1"/>
  <c r="K452" i="1"/>
  <c r="J452" i="1"/>
  <c r="C452" i="1"/>
  <c r="EV451" i="1"/>
  <c r="EU451" i="1"/>
  <c r="ET451" i="1"/>
  <c r="EC451" i="1"/>
  <c r="DQ451" i="1"/>
  <c r="DK451" i="1"/>
  <c r="DH451" i="1"/>
  <c r="DD451" i="1"/>
  <c r="CW451" i="1"/>
  <c r="CP451" i="1"/>
  <c r="CL451" i="1"/>
  <c r="CG451" i="1"/>
  <c r="CB451" i="1"/>
  <c r="BW451" i="1"/>
  <c r="BV451" i="1"/>
  <c r="BQ451" i="1"/>
  <c r="BP451" i="1"/>
  <c r="BO451" i="1"/>
  <c r="BJ451" i="1"/>
  <c r="BI451" i="1"/>
  <c r="BH451" i="1"/>
  <c r="BC451" i="1"/>
  <c r="BB451" i="1"/>
  <c r="BA451" i="1"/>
  <c r="AV451" i="1"/>
  <c r="AU451" i="1"/>
  <c r="AT451" i="1"/>
  <c r="AO451" i="1"/>
  <c r="AN451" i="1"/>
  <c r="AC451" i="1"/>
  <c r="Y451" i="1"/>
  <c r="S451" i="1"/>
  <c r="K451" i="1"/>
  <c r="J451" i="1"/>
  <c r="C451" i="1"/>
  <c r="EV450" i="1"/>
  <c r="EU450" i="1"/>
  <c r="ET450" i="1"/>
  <c r="EG450" i="1"/>
  <c r="EC450" i="1"/>
  <c r="DQ450" i="1"/>
  <c r="DK450" i="1"/>
  <c r="DH450" i="1"/>
  <c r="DD450" i="1"/>
  <c r="CW450" i="1"/>
  <c r="CP450" i="1"/>
  <c r="CL450" i="1"/>
  <c r="CG450" i="1"/>
  <c r="CB450" i="1"/>
  <c r="BW450" i="1"/>
  <c r="BV450" i="1"/>
  <c r="BQ450" i="1"/>
  <c r="BP450" i="1"/>
  <c r="BO450" i="1"/>
  <c r="BJ450" i="1"/>
  <c r="BI450" i="1"/>
  <c r="BH450" i="1"/>
  <c r="BC450" i="1"/>
  <c r="BB450" i="1"/>
  <c r="BA450" i="1"/>
  <c r="AV450" i="1"/>
  <c r="AU450" i="1"/>
  <c r="AT450" i="1"/>
  <c r="AO450" i="1"/>
  <c r="AN450" i="1"/>
  <c r="AC450" i="1"/>
  <c r="AB450" i="1"/>
  <c r="Y450" i="1"/>
  <c r="S450" i="1"/>
  <c r="K450" i="1"/>
  <c r="J450" i="1"/>
  <c r="C450" i="1"/>
  <c r="EV449" i="1"/>
  <c r="EU449" i="1"/>
  <c r="ET449" i="1"/>
  <c r="EG449" i="1"/>
  <c r="EC449" i="1"/>
  <c r="DQ449" i="1"/>
  <c r="DK449" i="1"/>
  <c r="DH449" i="1"/>
  <c r="DD449" i="1"/>
  <c r="CW449" i="1"/>
  <c r="CP449" i="1"/>
  <c r="CL449" i="1"/>
  <c r="CG449" i="1"/>
  <c r="CB449" i="1"/>
  <c r="BW449" i="1"/>
  <c r="BV449" i="1"/>
  <c r="BQ449" i="1"/>
  <c r="BP449" i="1"/>
  <c r="BO449" i="1"/>
  <c r="BJ449" i="1"/>
  <c r="BI449" i="1"/>
  <c r="BH449" i="1"/>
  <c r="BC449" i="1"/>
  <c r="BB449" i="1"/>
  <c r="BA449" i="1"/>
  <c r="AV449" i="1"/>
  <c r="AU449" i="1"/>
  <c r="AT449" i="1"/>
  <c r="AO449" i="1"/>
  <c r="AN449" i="1"/>
  <c r="AC449" i="1"/>
  <c r="AB449" i="1"/>
  <c r="Y449" i="1"/>
  <c r="S449" i="1"/>
  <c r="K449" i="1"/>
  <c r="J449" i="1"/>
  <c r="C449" i="1"/>
  <c r="EV448" i="1"/>
  <c r="EU448" i="1"/>
  <c r="ET448" i="1"/>
  <c r="EG448" i="1"/>
  <c r="EC448" i="1"/>
  <c r="DQ448" i="1"/>
  <c r="DK448" i="1"/>
  <c r="DH448" i="1"/>
  <c r="DD448" i="1"/>
  <c r="CW448" i="1"/>
  <c r="CP448" i="1"/>
  <c r="CL448" i="1"/>
  <c r="CG448" i="1"/>
  <c r="CB448" i="1"/>
  <c r="BW448" i="1"/>
  <c r="BV448" i="1"/>
  <c r="BQ448" i="1"/>
  <c r="BP448" i="1"/>
  <c r="BO448" i="1"/>
  <c r="BJ448" i="1"/>
  <c r="BI448" i="1"/>
  <c r="BH448" i="1"/>
  <c r="BC448" i="1"/>
  <c r="BB448" i="1"/>
  <c r="BA448" i="1"/>
  <c r="AV448" i="1"/>
  <c r="AU448" i="1"/>
  <c r="AT448" i="1"/>
  <c r="AO448" i="1"/>
  <c r="AN448" i="1"/>
  <c r="AC448" i="1"/>
  <c r="AB448" i="1"/>
  <c r="Y448" i="1"/>
  <c r="S448" i="1"/>
  <c r="K448" i="1"/>
  <c r="J448" i="1"/>
  <c r="C448" i="1"/>
  <c r="EV447" i="1"/>
  <c r="EU447" i="1"/>
  <c r="ET447" i="1"/>
  <c r="EG447" i="1"/>
  <c r="EC447" i="1"/>
  <c r="DQ447" i="1"/>
  <c r="DK447" i="1"/>
  <c r="DH447" i="1"/>
  <c r="DD447" i="1"/>
  <c r="CW447" i="1"/>
  <c r="CP447" i="1"/>
  <c r="CL447" i="1"/>
  <c r="CG447" i="1"/>
  <c r="CB447" i="1"/>
  <c r="BW447" i="1"/>
  <c r="BV447" i="1"/>
  <c r="BQ447" i="1"/>
  <c r="BP447" i="1"/>
  <c r="BO447" i="1"/>
  <c r="BJ447" i="1"/>
  <c r="BI447" i="1"/>
  <c r="BH447" i="1"/>
  <c r="BC447" i="1"/>
  <c r="BB447" i="1"/>
  <c r="BA447" i="1"/>
  <c r="AV447" i="1"/>
  <c r="AU447" i="1"/>
  <c r="AT447" i="1"/>
  <c r="AO447" i="1"/>
  <c r="AN447" i="1"/>
  <c r="AC447" i="1"/>
  <c r="AB447" i="1"/>
  <c r="Y447" i="1"/>
  <c r="S447" i="1"/>
  <c r="K447" i="1"/>
  <c r="J447" i="1"/>
  <c r="C447" i="1"/>
  <c r="EV446" i="1"/>
  <c r="EU446" i="1"/>
  <c r="ET446" i="1"/>
  <c r="EG446" i="1"/>
  <c r="EC446" i="1"/>
  <c r="DQ446" i="1"/>
  <c r="DK446" i="1"/>
  <c r="DH446" i="1"/>
  <c r="DD446" i="1"/>
  <c r="CW446" i="1"/>
  <c r="CP446" i="1"/>
  <c r="CL446" i="1"/>
  <c r="CG446" i="1"/>
  <c r="CB446" i="1"/>
  <c r="BW446" i="1"/>
  <c r="BV446" i="1"/>
  <c r="BQ446" i="1"/>
  <c r="BP446" i="1"/>
  <c r="BO446" i="1"/>
  <c r="BJ446" i="1"/>
  <c r="BI446" i="1"/>
  <c r="BH446" i="1"/>
  <c r="BC446" i="1"/>
  <c r="BB446" i="1"/>
  <c r="BA446" i="1"/>
  <c r="AV446" i="1"/>
  <c r="AU446" i="1"/>
  <c r="AT446" i="1"/>
  <c r="AO446" i="1"/>
  <c r="AN446" i="1"/>
  <c r="AC446" i="1"/>
  <c r="AB446" i="1"/>
  <c r="Y446" i="1"/>
  <c r="S446" i="1"/>
  <c r="K446" i="1"/>
  <c r="J446" i="1"/>
  <c r="C446" i="1"/>
  <c r="EV445" i="1"/>
  <c r="EU445" i="1"/>
  <c r="ET445" i="1"/>
  <c r="EG445" i="1"/>
  <c r="EC445" i="1"/>
  <c r="DQ445" i="1"/>
  <c r="DK445" i="1"/>
  <c r="DH445" i="1"/>
  <c r="DD445" i="1"/>
  <c r="CW445" i="1"/>
  <c r="CP445" i="1"/>
  <c r="CL445" i="1"/>
  <c r="CG445" i="1"/>
  <c r="CB445" i="1"/>
  <c r="BW445" i="1"/>
  <c r="BV445" i="1"/>
  <c r="BQ445" i="1"/>
  <c r="BP445" i="1"/>
  <c r="BO445" i="1"/>
  <c r="BJ445" i="1"/>
  <c r="BI445" i="1"/>
  <c r="BH445" i="1"/>
  <c r="BC445" i="1"/>
  <c r="BB445" i="1"/>
  <c r="BA445" i="1"/>
  <c r="AV445" i="1"/>
  <c r="AU445" i="1"/>
  <c r="AT445" i="1"/>
  <c r="AO445" i="1"/>
  <c r="AN445" i="1"/>
  <c r="AC445" i="1"/>
  <c r="AB445" i="1"/>
  <c r="Y445" i="1"/>
  <c r="S445" i="1"/>
  <c r="K445" i="1"/>
  <c r="J445" i="1"/>
  <c r="C445" i="1"/>
  <c r="EV444" i="1"/>
  <c r="EU444" i="1"/>
  <c r="ET444" i="1"/>
  <c r="EG444" i="1"/>
  <c r="EC444" i="1"/>
  <c r="DQ444" i="1"/>
  <c r="DK444" i="1"/>
  <c r="DH444" i="1"/>
  <c r="DD444" i="1"/>
  <c r="CW444" i="1"/>
  <c r="CP444" i="1"/>
  <c r="CL444" i="1"/>
  <c r="CG444" i="1"/>
  <c r="CB444" i="1"/>
  <c r="BW444" i="1"/>
  <c r="BV444" i="1"/>
  <c r="BQ444" i="1"/>
  <c r="BP444" i="1"/>
  <c r="BO444" i="1"/>
  <c r="BJ444" i="1"/>
  <c r="BI444" i="1"/>
  <c r="BH444" i="1"/>
  <c r="BC444" i="1"/>
  <c r="BB444" i="1"/>
  <c r="BA444" i="1"/>
  <c r="AV444" i="1"/>
  <c r="AU444" i="1"/>
  <c r="AT444" i="1"/>
  <c r="AO444" i="1"/>
  <c r="AN444" i="1"/>
  <c r="AC444" i="1"/>
  <c r="AB444" i="1"/>
  <c r="Y444" i="1"/>
  <c r="S444" i="1"/>
  <c r="K444" i="1"/>
  <c r="J444" i="1"/>
  <c r="C444" i="1"/>
  <c r="EV443" i="1"/>
  <c r="EU443" i="1"/>
  <c r="ET443" i="1"/>
  <c r="EC443" i="1"/>
  <c r="DY443" i="1"/>
  <c r="DQ443" i="1"/>
  <c r="DK443" i="1"/>
  <c r="DH443" i="1"/>
  <c r="DD443" i="1"/>
  <c r="CW443" i="1"/>
  <c r="CP443" i="1"/>
  <c r="CL443" i="1"/>
  <c r="CG443" i="1"/>
  <c r="CB443" i="1"/>
  <c r="BW443" i="1"/>
  <c r="BV443" i="1"/>
  <c r="BQ443" i="1"/>
  <c r="BP443" i="1"/>
  <c r="BO443" i="1"/>
  <c r="BJ443" i="1"/>
  <c r="BI443" i="1"/>
  <c r="BH443" i="1"/>
  <c r="BC443" i="1"/>
  <c r="BB443" i="1"/>
  <c r="BA443" i="1"/>
  <c r="AV443" i="1"/>
  <c r="AU443" i="1"/>
  <c r="AT443" i="1"/>
  <c r="AO443" i="1"/>
  <c r="AN443" i="1"/>
  <c r="AJ443" i="1"/>
  <c r="AC443" i="1"/>
  <c r="Y443" i="1"/>
  <c r="S443" i="1"/>
  <c r="K443" i="1"/>
  <c r="J443" i="1"/>
  <c r="C443" i="1"/>
  <c r="EV442" i="1"/>
  <c r="EU442" i="1"/>
  <c r="ET442" i="1"/>
  <c r="EG442" i="1"/>
  <c r="EC442" i="1"/>
  <c r="DQ442" i="1"/>
  <c r="DK442" i="1"/>
  <c r="DH442" i="1"/>
  <c r="DD442" i="1"/>
  <c r="CW442" i="1"/>
  <c r="CP442" i="1"/>
  <c r="CL442" i="1"/>
  <c r="CG442" i="1"/>
  <c r="CB442" i="1"/>
  <c r="BW442" i="1"/>
  <c r="BV442" i="1"/>
  <c r="BQ442" i="1"/>
  <c r="BP442" i="1"/>
  <c r="BO442" i="1"/>
  <c r="BJ442" i="1"/>
  <c r="BI442" i="1"/>
  <c r="BH442" i="1"/>
  <c r="BC442" i="1"/>
  <c r="BB442" i="1"/>
  <c r="BA442" i="1"/>
  <c r="AV442" i="1"/>
  <c r="AU442" i="1"/>
  <c r="AT442" i="1"/>
  <c r="AO442" i="1"/>
  <c r="AN442" i="1"/>
  <c r="AC442" i="1"/>
  <c r="AB442" i="1"/>
  <c r="Y442" i="1"/>
  <c r="S442" i="1"/>
  <c r="K442" i="1"/>
  <c r="J442" i="1"/>
  <c r="C442" i="1"/>
  <c r="EV441" i="1"/>
  <c r="EU441" i="1"/>
  <c r="ET441" i="1"/>
  <c r="EG441" i="1"/>
  <c r="EC441" i="1"/>
  <c r="DQ441" i="1"/>
  <c r="DK441" i="1"/>
  <c r="DH441" i="1"/>
  <c r="DD441" i="1"/>
  <c r="CW441" i="1"/>
  <c r="CP441" i="1"/>
  <c r="CL441" i="1"/>
  <c r="CG441" i="1"/>
  <c r="CB441" i="1"/>
  <c r="BW441" i="1"/>
  <c r="BV441" i="1"/>
  <c r="BQ441" i="1"/>
  <c r="BP441" i="1"/>
  <c r="BO441" i="1"/>
  <c r="BJ441" i="1"/>
  <c r="BI441" i="1"/>
  <c r="BH441" i="1"/>
  <c r="BC441" i="1"/>
  <c r="BB441" i="1"/>
  <c r="BA441" i="1"/>
  <c r="AV441" i="1"/>
  <c r="AU441" i="1"/>
  <c r="AT441" i="1"/>
  <c r="AO441" i="1"/>
  <c r="AN441" i="1"/>
  <c r="AC441" i="1"/>
  <c r="AB441" i="1"/>
  <c r="Y441" i="1"/>
  <c r="S441" i="1"/>
  <c r="K441" i="1"/>
  <c r="J441" i="1"/>
  <c r="C441" i="1"/>
  <c r="EV440" i="1"/>
  <c r="EU440" i="1"/>
  <c r="ET440" i="1"/>
  <c r="EG440" i="1"/>
  <c r="EC440" i="1"/>
  <c r="DQ440" i="1"/>
  <c r="DK440" i="1"/>
  <c r="DH440" i="1"/>
  <c r="DD440" i="1"/>
  <c r="CW440" i="1"/>
  <c r="CP440" i="1"/>
  <c r="CL440" i="1"/>
  <c r="CG440" i="1"/>
  <c r="CB440" i="1"/>
  <c r="BW440" i="1"/>
  <c r="BV440" i="1"/>
  <c r="BQ440" i="1"/>
  <c r="BP440" i="1"/>
  <c r="BO440" i="1"/>
  <c r="BJ440" i="1"/>
  <c r="BI440" i="1"/>
  <c r="BH440" i="1"/>
  <c r="BC440" i="1"/>
  <c r="BB440" i="1"/>
  <c r="BA440" i="1"/>
  <c r="AV440" i="1"/>
  <c r="AU440" i="1"/>
  <c r="AT440" i="1"/>
  <c r="AO440" i="1"/>
  <c r="AN440" i="1"/>
  <c r="AC440" i="1"/>
  <c r="AB440" i="1"/>
  <c r="Y440" i="1"/>
  <c r="S440" i="1"/>
  <c r="K440" i="1"/>
  <c r="J440" i="1"/>
  <c r="C440" i="1"/>
  <c r="EV439" i="1"/>
  <c r="EU439" i="1"/>
  <c r="ET439" i="1"/>
  <c r="EG439" i="1"/>
  <c r="EC439" i="1"/>
  <c r="DY439" i="1"/>
  <c r="DQ439" i="1"/>
  <c r="DK439" i="1"/>
  <c r="DH439" i="1"/>
  <c r="DD439" i="1"/>
  <c r="CW439" i="1"/>
  <c r="CP439" i="1"/>
  <c r="CL439" i="1"/>
  <c r="CG439" i="1"/>
  <c r="CB439" i="1"/>
  <c r="BW439" i="1"/>
  <c r="BV439" i="1"/>
  <c r="BQ439" i="1"/>
  <c r="BP439" i="1"/>
  <c r="BO439" i="1"/>
  <c r="BJ439" i="1"/>
  <c r="BI439" i="1"/>
  <c r="BH439" i="1"/>
  <c r="BC439" i="1"/>
  <c r="BB439" i="1"/>
  <c r="BA439" i="1"/>
  <c r="AV439" i="1"/>
  <c r="AU439" i="1"/>
  <c r="AT439" i="1"/>
  <c r="AO439" i="1"/>
  <c r="AN439" i="1"/>
  <c r="AJ439" i="1"/>
  <c r="AC439" i="1"/>
  <c r="AB439" i="1"/>
  <c r="Y439" i="1"/>
  <c r="S439" i="1"/>
  <c r="K439" i="1"/>
  <c r="J439" i="1"/>
  <c r="C439" i="1"/>
  <c r="EV438" i="1"/>
  <c r="EU438" i="1"/>
  <c r="ET438" i="1"/>
  <c r="EG438" i="1"/>
  <c r="EC438" i="1"/>
  <c r="DQ438" i="1"/>
  <c r="DK438" i="1"/>
  <c r="DH438" i="1"/>
  <c r="DD438" i="1"/>
  <c r="CW438" i="1"/>
  <c r="CP438" i="1"/>
  <c r="CL438" i="1"/>
  <c r="CG438" i="1"/>
  <c r="CB438" i="1"/>
  <c r="BW438" i="1"/>
  <c r="BV438" i="1"/>
  <c r="BQ438" i="1"/>
  <c r="BP438" i="1"/>
  <c r="BO438" i="1"/>
  <c r="BJ438" i="1"/>
  <c r="BI438" i="1"/>
  <c r="BH438" i="1"/>
  <c r="BC438" i="1"/>
  <c r="BB438" i="1"/>
  <c r="BA438" i="1"/>
  <c r="AV438" i="1"/>
  <c r="AU438" i="1"/>
  <c r="AT438" i="1"/>
  <c r="AO438" i="1"/>
  <c r="AN438" i="1"/>
  <c r="AC438" i="1"/>
  <c r="AB438" i="1"/>
  <c r="Y438" i="1"/>
  <c r="S438" i="1"/>
  <c r="K438" i="1"/>
  <c r="J438" i="1"/>
  <c r="C438" i="1"/>
  <c r="EV437" i="1"/>
  <c r="EU437" i="1"/>
  <c r="ET437" i="1"/>
  <c r="EC437" i="1"/>
  <c r="DY437" i="1"/>
  <c r="DQ437" i="1"/>
  <c r="DK437" i="1"/>
  <c r="DH437" i="1"/>
  <c r="DD437" i="1"/>
  <c r="CW437" i="1"/>
  <c r="CP437" i="1"/>
  <c r="CL437" i="1"/>
  <c r="CG437" i="1"/>
  <c r="CB437" i="1"/>
  <c r="BW437" i="1"/>
  <c r="BV437" i="1"/>
  <c r="BQ437" i="1"/>
  <c r="BP437" i="1"/>
  <c r="BO437" i="1"/>
  <c r="BJ437" i="1"/>
  <c r="BI437" i="1"/>
  <c r="BH437" i="1"/>
  <c r="BC437" i="1"/>
  <c r="BB437" i="1"/>
  <c r="BA437" i="1"/>
  <c r="AV437" i="1"/>
  <c r="AU437" i="1"/>
  <c r="AT437" i="1"/>
  <c r="AO437" i="1"/>
  <c r="AN437" i="1"/>
  <c r="AJ437" i="1"/>
  <c r="AC437" i="1"/>
  <c r="Y437" i="1"/>
  <c r="S437" i="1"/>
  <c r="K437" i="1"/>
  <c r="J437" i="1"/>
  <c r="C437" i="1"/>
  <c r="EV436" i="1"/>
  <c r="EU436" i="1"/>
  <c r="ET436" i="1"/>
  <c r="EC436" i="1"/>
  <c r="DQ436" i="1"/>
  <c r="DK436" i="1"/>
  <c r="DH436" i="1"/>
  <c r="DD436" i="1"/>
  <c r="CW436" i="1"/>
  <c r="CP436" i="1"/>
  <c r="CL436" i="1"/>
  <c r="CG436" i="1"/>
  <c r="CB436" i="1"/>
  <c r="BW436" i="1"/>
  <c r="BV436" i="1"/>
  <c r="BQ436" i="1"/>
  <c r="BP436" i="1"/>
  <c r="BO436" i="1"/>
  <c r="BJ436" i="1"/>
  <c r="BI436" i="1"/>
  <c r="BH436" i="1"/>
  <c r="BC436" i="1"/>
  <c r="BB436" i="1"/>
  <c r="BA436" i="1"/>
  <c r="AV436" i="1"/>
  <c r="AU436" i="1"/>
  <c r="AT436" i="1"/>
  <c r="AO436" i="1"/>
  <c r="AN436" i="1"/>
  <c r="AC436" i="1"/>
  <c r="Y436" i="1"/>
  <c r="S436" i="1"/>
  <c r="K436" i="1"/>
  <c r="J436" i="1"/>
  <c r="C436" i="1"/>
  <c r="EV435" i="1"/>
  <c r="EU435" i="1"/>
  <c r="ET435" i="1"/>
  <c r="EG435" i="1"/>
  <c r="EC435" i="1"/>
  <c r="DQ435" i="1"/>
  <c r="DK435" i="1"/>
  <c r="DH435" i="1"/>
  <c r="DD435" i="1"/>
  <c r="CW435" i="1"/>
  <c r="CP435" i="1"/>
  <c r="CL435" i="1"/>
  <c r="CG435" i="1"/>
  <c r="CB435" i="1"/>
  <c r="BW435" i="1"/>
  <c r="BV435" i="1"/>
  <c r="BQ435" i="1"/>
  <c r="BP435" i="1"/>
  <c r="BO435" i="1"/>
  <c r="BJ435" i="1"/>
  <c r="BI435" i="1"/>
  <c r="BH435" i="1"/>
  <c r="BC435" i="1"/>
  <c r="BB435" i="1"/>
  <c r="BA435" i="1"/>
  <c r="AV435" i="1"/>
  <c r="AU435" i="1"/>
  <c r="AT435" i="1"/>
  <c r="AO435" i="1"/>
  <c r="AN435" i="1"/>
  <c r="AC435" i="1"/>
  <c r="AB435" i="1"/>
  <c r="Y435" i="1"/>
  <c r="S435" i="1"/>
  <c r="K435" i="1"/>
  <c r="J435" i="1"/>
  <c r="C435" i="1"/>
  <c r="EV434" i="1"/>
  <c r="EU434" i="1"/>
  <c r="ET434" i="1"/>
  <c r="EG434" i="1"/>
  <c r="EC434" i="1"/>
  <c r="DQ434" i="1"/>
  <c r="DK434" i="1"/>
  <c r="DH434" i="1"/>
  <c r="DD434" i="1"/>
  <c r="CW434" i="1"/>
  <c r="CP434" i="1"/>
  <c r="CL434" i="1"/>
  <c r="CG434" i="1"/>
  <c r="CB434" i="1"/>
  <c r="BW434" i="1"/>
  <c r="BV434" i="1"/>
  <c r="BQ434" i="1"/>
  <c r="BP434" i="1"/>
  <c r="BO434" i="1"/>
  <c r="BJ434" i="1"/>
  <c r="BI434" i="1"/>
  <c r="BH434" i="1"/>
  <c r="BC434" i="1"/>
  <c r="BB434" i="1"/>
  <c r="BA434" i="1"/>
  <c r="AV434" i="1"/>
  <c r="AU434" i="1"/>
  <c r="AT434" i="1"/>
  <c r="AO434" i="1"/>
  <c r="AN434" i="1"/>
  <c r="AC434" i="1"/>
  <c r="AB434" i="1"/>
  <c r="Y434" i="1"/>
  <c r="S434" i="1"/>
  <c r="K434" i="1"/>
  <c r="J434" i="1"/>
  <c r="C434" i="1"/>
  <c r="EV433" i="1"/>
  <c r="EU433" i="1"/>
  <c r="ET433" i="1"/>
  <c r="EG433" i="1"/>
  <c r="EC433" i="1"/>
  <c r="DY433" i="1"/>
  <c r="DQ433" i="1"/>
  <c r="DK433" i="1"/>
  <c r="DH433" i="1"/>
  <c r="DD433" i="1"/>
  <c r="CW433" i="1"/>
  <c r="CP433" i="1"/>
  <c r="CL433" i="1"/>
  <c r="CG433" i="1"/>
  <c r="CB433" i="1"/>
  <c r="BW433" i="1"/>
  <c r="BV433" i="1"/>
  <c r="BQ433" i="1"/>
  <c r="BP433" i="1"/>
  <c r="BO433" i="1"/>
  <c r="BJ433" i="1"/>
  <c r="BI433" i="1"/>
  <c r="BH433" i="1"/>
  <c r="BC433" i="1"/>
  <c r="BB433" i="1"/>
  <c r="BA433" i="1"/>
  <c r="AV433" i="1"/>
  <c r="AU433" i="1"/>
  <c r="AT433" i="1"/>
  <c r="AO433" i="1"/>
  <c r="AN433" i="1"/>
  <c r="AJ433" i="1"/>
  <c r="AC433" i="1"/>
  <c r="AB433" i="1"/>
  <c r="Y433" i="1"/>
  <c r="S433" i="1"/>
  <c r="K433" i="1"/>
  <c r="J433" i="1"/>
  <c r="C433" i="1"/>
  <c r="EV432" i="1"/>
  <c r="EU432" i="1"/>
  <c r="ET432" i="1"/>
  <c r="EG432" i="1"/>
  <c r="EC432" i="1"/>
  <c r="DQ432" i="1"/>
  <c r="DK432" i="1"/>
  <c r="DH432" i="1"/>
  <c r="DD432" i="1"/>
  <c r="CW432" i="1"/>
  <c r="CP432" i="1"/>
  <c r="CL432" i="1"/>
  <c r="CG432" i="1"/>
  <c r="CB432" i="1"/>
  <c r="BW432" i="1"/>
  <c r="BV432" i="1"/>
  <c r="BQ432" i="1"/>
  <c r="BP432" i="1"/>
  <c r="BO432" i="1"/>
  <c r="BJ432" i="1"/>
  <c r="BI432" i="1"/>
  <c r="BH432" i="1"/>
  <c r="BC432" i="1"/>
  <c r="BB432" i="1"/>
  <c r="BA432" i="1"/>
  <c r="AV432" i="1"/>
  <c r="AU432" i="1"/>
  <c r="AT432" i="1"/>
  <c r="AO432" i="1"/>
  <c r="AN432" i="1"/>
  <c r="AC432" i="1"/>
  <c r="AB432" i="1"/>
  <c r="Y432" i="1"/>
  <c r="S432" i="1"/>
  <c r="K432" i="1"/>
  <c r="J432" i="1"/>
  <c r="C432" i="1"/>
  <c r="EV431" i="1"/>
  <c r="EU431" i="1"/>
  <c r="ET431" i="1"/>
  <c r="EG431" i="1"/>
  <c r="EC431" i="1"/>
  <c r="DQ431" i="1"/>
  <c r="DK431" i="1"/>
  <c r="DH431" i="1"/>
  <c r="DD431" i="1"/>
  <c r="CW431" i="1"/>
  <c r="CP431" i="1"/>
  <c r="CL431" i="1"/>
  <c r="CG431" i="1"/>
  <c r="CB431" i="1"/>
  <c r="BW431" i="1"/>
  <c r="BV431" i="1"/>
  <c r="BQ431" i="1"/>
  <c r="BP431" i="1"/>
  <c r="BO431" i="1"/>
  <c r="BJ431" i="1"/>
  <c r="BI431" i="1"/>
  <c r="BH431" i="1"/>
  <c r="BC431" i="1"/>
  <c r="BB431" i="1"/>
  <c r="BA431" i="1"/>
  <c r="AV431" i="1"/>
  <c r="AU431" i="1"/>
  <c r="AT431" i="1"/>
  <c r="AO431" i="1"/>
  <c r="AN431" i="1"/>
  <c r="AC431" i="1"/>
  <c r="AB431" i="1"/>
  <c r="Y431" i="1"/>
  <c r="S431" i="1"/>
  <c r="K431" i="1"/>
  <c r="J431" i="1"/>
  <c r="C431" i="1"/>
  <c r="EV430" i="1"/>
  <c r="EU430" i="1"/>
  <c r="ET430" i="1"/>
  <c r="EG430" i="1"/>
  <c r="EC430" i="1"/>
  <c r="DY430" i="1"/>
  <c r="DQ430" i="1"/>
  <c r="DK430" i="1"/>
  <c r="DH430" i="1"/>
  <c r="DD430" i="1"/>
  <c r="CW430" i="1"/>
  <c r="CP430" i="1"/>
  <c r="CL430" i="1"/>
  <c r="CG430" i="1"/>
  <c r="CB430" i="1"/>
  <c r="BW430" i="1"/>
  <c r="BV430" i="1"/>
  <c r="BQ430" i="1"/>
  <c r="BP430" i="1"/>
  <c r="BO430" i="1"/>
  <c r="BJ430" i="1"/>
  <c r="BI430" i="1"/>
  <c r="BH430" i="1"/>
  <c r="BC430" i="1"/>
  <c r="BB430" i="1"/>
  <c r="BA430" i="1"/>
  <c r="AV430" i="1"/>
  <c r="AU430" i="1"/>
  <c r="AT430" i="1"/>
  <c r="AO430" i="1"/>
  <c r="AN430" i="1"/>
  <c r="AJ430" i="1"/>
  <c r="AC430" i="1"/>
  <c r="AB430" i="1"/>
  <c r="Y430" i="1"/>
  <c r="S430" i="1"/>
  <c r="K430" i="1"/>
  <c r="J430" i="1"/>
  <c r="C430" i="1"/>
  <c r="EV429" i="1"/>
  <c r="EU429" i="1"/>
  <c r="ET429" i="1"/>
  <c r="EG429" i="1"/>
  <c r="EC429" i="1"/>
  <c r="DQ429" i="1"/>
  <c r="DK429" i="1"/>
  <c r="DH429" i="1"/>
  <c r="DD429" i="1"/>
  <c r="CW429" i="1"/>
  <c r="CP429" i="1"/>
  <c r="CL429" i="1"/>
  <c r="CG429" i="1"/>
  <c r="CB429" i="1"/>
  <c r="BW429" i="1"/>
  <c r="BV429" i="1"/>
  <c r="BQ429" i="1"/>
  <c r="BP429" i="1"/>
  <c r="BO429" i="1"/>
  <c r="BJ429" i="1"/>
  <c r="BI429" i="1"/>
  <c r="BH429" i="1"/>
  <c r="BC429" i="1"/>
  <c r="BB429" i="1"/>
  <c r="BA429" i="1"/>
  <c r="AV429" i="1"/>
  <c r="AU429" i="1"/>
  <c r="AT429" i="1"/>
  <c r="AO429" i="1"/>
  <c r="AN429" i="1"/>
  <c r="AC429" i="1"/>
  <c r="AB429" i="1"/>
  <c r="Y429" i="1"/>
  <c r="S429" i="1"/>
  <c r="K429" i="1"/>
  <c r="J429" i="1"/>
  <c r="C429" i="1"/>
  <c r="EV428" i="1"/>
  <c r="EU428" i="1"/>
  <c r="ET428" i="1"/>
  <c r="EG428" i="1"/>
  <c r="EC428" i="1"/>
  <c r="DQ428" i="1"/>
  <c r="DK428" i="1"/>
  <c r="DH428" i="1"/>
  <c r="DD428" i="1"/>
  <c r="CW428" i="1"/>
  <c r="CP428" i="1"/>
  <c r="CL428" i="1"/>
  <c r="CG428" i="1"/>
  <c r="CB428" i="1"/>
  <c r="BW428" i="1"/>
  <c r="BV428" i="1"/>
  <c r="BQ428" i="1"/>
  <c r="BP428" i="1"/>
  <c r="BO428" i="1"/>
  <c r="BJ428" i="1"/>
  <c r="BI428" i="1"/>
  <c r="BH428" i="1"/>
  <c r="BC428" i="1"/>
  <c r="BB428" i="1"/>
  <c r="BA428" i="1"/>
  <c r="AV428" i="1"/>
  <c r="AU428" i="1"/>
  <c r="AT428" i="1"/>
  <c r="AO428" i="1"/>
  <c r="AN428" i="1"/>
  <c r="AC428" i="1"/>
  <c r="AB428" i="1"/>
  <c r="Y428" i="1"/>
  <c r="S428" i="1"/>
  <c r="K428" i="1"/>
  <c r="J428" i="1"/>
  <c r="C428" i="1"/>
  <c r="EV427" i="1"/>
  <c r="EU427" i="1"/>
  <c r="ET427" i="1"/>
  <c r="EG427" i="1"/>
  <c r="EC427" i="1"/>
  <c r="DY427" i="1"/>
  <c r="DQ427" i="1"/>
  <c r="DK427" i="1"/>
  <c r="DH427" i="1"/>
  <c r="DD427" i="1"/>
  <c r="CW427" i="1"/>
  <c r="CP427" i="1"/>
  <c r="CL427" i="1"/>
  <c r="CG427" i="1"/>
  <c r="CB427" i="1"/>
  <c r="BW427" i="1"/>
  <c r="BV427" i="1"/>
  <c r="BQ427" i="1"/>
  <c r="BP427" i="1"/>
  <c r="BO427" i="1"/>
  <c r="BJ427" i="1"/>
  <c r="BI427" i="1"/>
  <c r="BH427" i="1"/>
  <c r="BC427" i="1"/>
  <c r="BB427" i="1"/>
  <c r="BA427" i="1"/>
  <c r="AV427" i="1"/>
  <c r="AU427" i="1"/>
  <c r="AT427" i="1"/>
  <c r="AO427" i="1"/>
  <c r="AN427" i="1"/>
  <c r="AJ427" i="1"/>
  <c r="AC427" i="1"/>
  <c r="AB427" i="1"/>
  <c r="Y427" i="1"/>
  <c r="S427" i="1"/>
  <c r="K427" i="1"/>
  <c r="J427" i="1"/>
  <c r="C427" i="1"/>
  <c r="EV426" i="1"/>
  <c r="EU426" i="1"/>
  <c r="ET426" i="1"/>
  <c r="EG426" i="1"/>
  <c r="EC426" i="1"/>
  <c r="DQ426" i="1"/>
  <c r="DK426" i="1"/>
  <c r="DH426" i="1"/>
  <c r="DD426" i="1"/>
  <c r="CW426" i="1"/>
  <c r="CP426" i="1"/>
  <c r="CL426" i="1"/>
  <c r="CG426" i="1"/>
  <c r="CB426" i="1"/>
  <c r="BW426" i="1"/>
  <c r="BV426" i="1"/>
  <c r="BQ426" i="1"/>
  <c r="BP426" i="1"/>
  <c r="BO426" i="1"/>
  <c r="BJ426" i="1"/>
  <c r="BI426" i="1"/>
  <c r="BH426" i="1"/>
  <c r="BC426" i="1"/>
  <c r="BB426" i="1"/>
  <c r="BA426" i="1"/>
  <c r="AV426" i="1"/>
  <c r="AU426" i="1"/>
  <c r="AT426" i="1"/>
  <c r="AO426" i="1"/>
  <c r="AN426" i="1"/>
  <c r="AC426" i="1"/>
  <c r="AB426" i="1"/>
  <c r="Y426" i="1"/>
  <c r="S426" i="1"/>
  <c r="K426" i="1"/>
  <c r="J426" i="1"/>
  <c r="C426" i="1"/>
  <c r="EV425" i="1"/>
  <c r="EU425" i="1"/>
  <c r="ET425" i="1"/>
  <c r="EC425" i="1"/>
  <c r="DQ425" i="1"/>
  <c r="DK425" i="1"/>
  <c r="DH425" i="1"/>
  <c r="DD425" i="1"/>
  <c r="CW425" i="1"/>
  <c r="CP425" i="1"/>
  <c r="CL425" i="1"/>
  <c r="CG425" i="1"/>
  <c r="CB425" i="1"/>
  <c r="BW425" i="1"/>
  <c r="BV425" i="1"/>
  <c r="BQ425" i="1"/>
  <c r="BP425" i="1"/>
  <c r="BO425" i="1"/>
  <c r="BJ425" i="1"/>
  <c r="BI425" i="1"/>
  <c r="BH425" i="1"/>
  <c r="BC425" i="1"/>
  <c r="BB425" i="1"/>
  <c r="BA425" i="1"/>
  <c r="AV425" i="1"/>
  <c r="AU425" i="1"/>
  <c r="AT425" i="1"/>
  <c r="AO425" i="1"/>
  <c r="AN425" i="1"/>
  <c r="AC425" i="1"/>
  <c r="Y425" i="1"/>
  <c r="S425" i="1"/>
  <c r="K425" i="1"/>
  <c r="J425" i="1"/>
  <c r="C425" i="1"/>
  <c r="EV424" i="1"/>
  <c r="EU424" i="1"/>
  <c r="ET424" i="1"/>
  <c r="EC424" i="1"/>
  <c r="DQ424" i="1"/>
  <c r="DK424" i="1"/>
  <c r="DH424" i="1"/>
  <c r="DD424" i="1"/>
  <c r="CW424" i="1"/>
  <c r="CP424" i="1"/>
  <c r="CL424" i="1"/>
  <c r="CG424" i="1"/>
  <c r="CB424" i="1"/>
  <c r="BW424" i="1"/>
  <c r="BV424" i="1"/>
  <c r="BQ424" i="1"/>
  <c r="BP424" i="1"/>
  <c r="BO424" i="1"/>
  <c r="BJ424" i="1"/>
  <c r="BI424" i="1"/>
  <c r="BH424" i="1"/>
  <c r="BC424" i="1"/>
  <c r="BB424" i="1"/>
  <c r="BA424" i="1"/>
  <c r="AV424" i="1"/>
  <c r="AU424" i="1"/>
  <c r="AT424" i="1"/>
  <c r="AO424" i="1"/>
  <c r="AN424" i="1"/>
  <c r="AC424" i="1"/>
  <c r="Y424" i="1"/>
  <c r="S424" i="1"/>
  <c r="K424" i="1"/>
  <c r="J424" i="1"/>
  <c r="C424" i="1"/>
  <c r="EV423" i="1"/>
  <c r="EU423" i="1"/>
  <c r="ET423" i="1"/>
  <c r="EG423" i="1"/>
  <c r="EC423" i="1"/>
  <c r="DY423" i="1"/>
  <c r="DQ423" i="1"/>
  <c r="DK423" i="1"/>
  <c r="DH423" i="1"/>
  <c r="DD423" i="1"/>
  <c r="CW423" i="1"/>
  <c r="CP423" i="1"/>
  <c r="CL423" i="1"/>
  <c r="CG423" i="1"/>
  <c r="CB423" i="1"/>
  <c r="BW423" i="1"/>
  <c r="BV423" i="1"/>
  <c r="BQ423" i="1"/>
  <c r="BP423" i="1"/>
  <c r="BO423" i="1"/>
  <c r="BJ423" i="1"/>
  <c r="BI423" i="1"/>
  <c r="BH423" i="1"/>
  <c r="BC423" i="1"/>
  <c r="BB423" i="1"/>
  <c r="BA423" i="1"/>
  <c r="AV423" i="1"/>
  <c r="AU423" i="1"/>
  <c r="AT423" i="1"/>
  <c r="AO423" i="1"/>
  <c r="AN423" i="1"/>
  <c r="AJ423" i="1"/>
  <c r="AC423" i="1"/>
  <c r="AB423" i="1"/>
  <c r="Y423" i="1"/>
  <c r="S423" i="1"/>
  <c r="K423" i="1"/>
  <c r="J423" i="1"/>
  <c r="C423" i="1"/>
  <c r="EV422" i="1"/>
  <c r="EU422" i="1"/>
  <c r="ET422" i="1"/>
  <c r="EG422" i="1"/>
  <c r="EC422" i="1"/>
  <c r="DQ422" i="1"/>
  <c r="DK422" i="1"/>
  <c r="DH422" i="1"/>
  <c r="DD422" i="1"/>
  <c r="CW422" i="1"/>
  <c r="CP422" i="1"/>
  <c r="CL422" i="1"/>
  <c r="CG422" i="1"/>
  <c r="CB422" i="1"/>
  <c r="BW422" i="1"/>
  <c r="BV422" i="1"/>
  <c r="BQ422" i="1"/>
  <c r="BP422" i="1"/>
  <c r="BO422" i="1"/>
  <c r="BJ422" i="1"/>
  <c r="BI422" i="1"/>
  <c r="BH422" i="1"/>
  <c r="BC422" i="1"/>
  <c r="BB422" i="1"/>
  <c r="BA422" i="1"/>
  <c r="AV422" i="1"/>
  <c r="AU422" i="1"/>
  <c r="AT422" i="1"/>
  <c r="AO422" i="1"/>
  <c r="AN422" i="1"/>
  <c r="AC422" i="1"/>
  <c r="AB422" i="1"/>
  <c r="Y422" i="1"/>
  <c r="S422" i="1"/>
  <c r="K422" i="1"/>
  <c r="J422" i="1"/>
  <c r="C422" i="1"/>
  <c r="EV421" i="1"/>
  <c r="EU421" i="1"/>
  <c r="ET421" i="1"/>
  <c r="EG421" i="1"/>
  <c r="EC421" i="1"/>
  <c r="DQ421" i="1"/>
  <c r="DK421" i="1"/>
  <c r="DH421" i="1"/>
  <c r="DD421" i="1"/>
  <c r="CW421" i="1"/>
  <c r="CP421" i="1"/>
  <c r="CL421" i="1"/>
  <c r="CG421" i="1"/>
  <c r="CB421" i="1"/>
  <c r="BW421" i="1"/>
  <c r="BV421" i="1"/>
  <c r="BQ421" i="1"/>
  <c r="BP421" i="1"/>
  <c r="BO421" i="1"/>
  <c r="BJ421" i="1"/>
  <c r="BI421" i="1"/>
  <c r="BH421" i="1"/>
  <c r="BC421" i="1"/>
  <c r="BB421" i="1"/>
  <c r="BA421" i="1"/>
  <c r="AV421" i="1"/>
  <c r="AU421" i="1"/>
  <c r="AT421" i="1"/>
  <c r="AO421" i="1"/>
  <c r="AN421" i="1"/>
  <c r="AC421" i="1"/>
  <c r="AB421" i="1"/>
  <c r="Y421" i="1"/>
  <c r="S421" i="1"/>
  <c r="K421" i="1"/>
  <c r="J421" i="1"/>
  <c r="C421" i="1"/>
  <c r="EV420" i="1"/>
  <c r="EU420" i="1"/>
  <c r="ET420" i="1"/>
  <c r="EG420" i="1"/>
  <c r="EC420" i="1"/>
  <c r="DQ420" i="1"/>
  <c r="DK420" i="1"/>
  <c r="DH420" i="1"/>
  <c r="DD420" i="1"/>
  <c r="CW420" i="1"/>
  <c r="CP420" i="1"/>
  <c r="CL420" i="1"/>
  <c r="CG420" i="1"/>
  <c r="CB420" i="1"/>
  <c r="BW420" i="1"/>
  <c r="BV420" i="1"/>
  <c r="BQ420" i="1"/>
  <c r="BP420" i="1"/>
  <c r="BO420" i="1"/>
  <c r="BJ420" i="1"/>
  <c r="BI420" i="1"/>
  <c r="BH420" i="1"/>
  <c r="BC420" i="1"/>
  <c r="BB420" i="1"/>
  <c r="BA420" i="1"/>
  <c r="AV420" i="1"/>
  <c r="AU420" i="1"/>
  <c r="AT420" i="1"/>
  <c r="AO420" i="1"/>
  <c r="AN420" i="1"/>
  <c r="AC420" i="1"/>
  <c r="AB420" i="1"/>
  <c r="Y420" i="1"/>
  <c r="S420" i="1"/>
  <c r="K420" i="1"/>
  <c r="J420" i="1"/>
  <c r="C420" i="1"/>
  <c r="EV419" i="1"/>
  <c r="EU419" i="1"/>
  <c r="ET419" i="1"/>
  <c r="EC419" i="1"/>
  <c r="DQ419" i="1"/>
  <c r="DK419" i="1"/>
  <c r="DH419" i="1"/>
  <c r="DD419" i="1"/>
  <c r="CW419" i="1"/>
  <c r="CP419" i="1"/>
  <c r="CL419" i="1"/>
  <c r="CG419" i="1"/>
  <c r="CB419" i="1"/>
  <c r="BW419" i="1"/>
  <c r="BV419" i="1"/>
  <c r="BQ419" i="1"/>
  <c r="BP419" i="1"/>
  <c r="BO419" i="1"/>
  <c r="BJ419" i="1"/>
  <c r="BI419" i="1"/>
  <c r="BH419" i="1"/>
  <c r="BC419" i="1"/>
  <c r="BB419" i="1"/>
  <c r="BA419" i="1"/>
  <c r="AV419" i="1"/>
  <c r="AU419" i="1"/>
  <c r="AT419" i="1"/>
  <c r="AO419" i="1"/>
  <c r="AN419" i="1"/>
  <c r="AC419" i="1"/>
  <c r="Y419" i="1"/>
  <c r="S419" i="1"/>
  <c r="K419" i="1"/>
  <c r="J419" i="1"/>
  <c r="C419" i="1"/>
  <c r="EV418" i="1"/>
  <c r="EU418" i="1"/>
  <c r="ET418" i="1"/>
  <c r="EC418" i="1"/>
  <c r="DQ418" i="1"/>
  <c r="DK418" i="1"/>
  <c r="DH418" i="1"/>
  <c r="DD418" i="1"/>
  <c r="CW418" i="1"/>
  <c r="CP418" i="1"/>
  <c r="CL418" i="1"/>
  <c r="CG418" i="1"/>
  <c r="CB418" i="1"/>
  <c r="BW418" i="1"/>
  <c r="BV418" i="1"/>
  <c r="BQ418" i="1"/>
  <c r="BP418" i="1"/>
  <c r="BO418" i="1"/>
  <c r="BJ418" i="1"/>
  <c r="BI418" i="1"/>
  <c r="BH418" i="1"/>
  <c r="BC418" i="1"/>
  <c r="BB418" i="1"/>
  <c r="BA418" i="1"/>
  <c r="AV418" i="1"/>
  <c r="AU418" i="1"/>
  <c r="AT418" i="1"/>
  <c r="AO418" i="1"/>
  <c r="AN418" i="1"/>
  <c r="AC418" i="1"/>
  <c r="Y418" i="1"/>
  <c r="S418" i="1"/>
  <c r="K418" i="1"/>
  <c r="J418" i="1"/>
  <c r="C418" i="1"/>
  <c r="EV417" i="1"/>
  <c r="EU417" i="1"/>
  <c r="ET417" i="1"/>
  <c r="EC417" i="1"/>
  <c r="DQ417" i="1"/>
  <c r="DK417" i="1"/>
  <c r="DH417" i="1"/>
  <c r="DD417" i="1"/>
  <c r="CW417" i="1"/>
  <c r="CP417" i="1"/>
  <c r="CL417" i="1"/>
  <c r="CG417" i="1"/>
  <c r="CB417" i="1"/>
  <c r="BW417" i="1"/>
  <c r="BV417" i="1"/>
  <c r="BQ417" i="1"/>
  <c r="BP417" i="1"/>
  <c r="BO417" i="1"/>
  <c r="BJ417" i="1"/>
  <c r="BI417" i="1"/>
  <c r="BH417" i="1"/>
  <c r="BC417" i="1"/>
  <c r="BB417" i="1"/>
  <c r="BA417" i="1"/>
  <c r="AV417" i="1"/>
  <c r="AU417" i="1"/>
  <c r="AT417" i="1"/>
  <c r="AO417" i="1"/>
  <c r="AN417" i="1"/>
  <c r="AC417" i="1"/>
  <c r="Y417" i="1"/>
  <c r="S417" i="1"/>
  <c r="K417" i="1"/>
  <c r="J417" i="1"/>
  <c r="C417" i="1"/>
  <c r="EV416" i="1"/>
  <c r="EU416" i="1"/>
  <c r="ET416" i="1"/>
  <c r="EC416" i="1"/>
  <c r="DQ416" i="1"/>
  <c r="DK416" i="1"/>
  <c r="DH416" i="1"/>
  <c r="DD416" i="1"/>
  <c r="CW416" i="1"/>
  <c r="CP416" i="1"/>
  <c r="CL416" i="1"/>
  <c r="CG416" i="1"/>
  <c r="CB416" i="1"/>
  <c r="BW416" i="1"/>
  <c r="BV416" i="1"/>
  <c r="BQ416" i="1"/>
  <c r="BP416" i="1"/>
  <c r="BO416" i="1"/>
  <c r="BJ416" i="1"/>
  <c r="BI416" i="1"/>
  <c r="BH416" i="1"/>
  <c r="BC416" i="1"/>
  <c r="BB416" i="1"/>
  <c r="BA416" i="1"/>
  <c r="AV416" i="1"/>
  <c r="AU416" i="1"/>
  <c r="AT416" i="1"/>
  <c r="AO416" i="1"/>
  <c r="AN416" i="1"/>
  <c r="AC416" i="1"/>
  <c r="Y416" i="1"/>
  <c r="S416" i="1"/>
  <c r="K416" i="1"/>
  <c r="J416" i="1"/>
  <c r="C416" i="1"/>
  <c r="EV415" i="1"/>
  <c r="EU415" i="1"/>
  <c r="ET415" i="1"/>
  <c r="EG415" i="1"/>
  <c r="EC415" i="1"/>
  <c r="DQ415" i="1"/>
  <c r="DK415" i="1"/>
  <c r="DH415" i="1"/>
  <c r="DD415" i="1"/>
  <c r="CW415" i="1"/>
  <c r="CP415" i="1"/>
  <c r="CL415" i="1"/>
  <c r="CG415" i="1"/>
  <c r="CB415" i="1"/>
  <c r="BW415" i="1"/>
  <c r="BV415" i="1"/>
  <c r="BQ415" i="1"/>
  <c r="BP415" i="1"/>
  <c r="BO415" i="1"/>
  <c r="BJ415" i="1"/>
  <c r="BI415" i="1"/>
  <c r="BH415" i="1"/>
  <c r="BC415" i="1"/>
  <c r="BB415" i="1"/>
  <c r="BA415" i="1"/>
  <c r="AV415" i="1"/>
  <c r="AU415" i="1"/>
  <c r="AT415" i="1"/>
  <c r="AO415" i="1"/>
  <c r="AN415" i="1"/>
  <c r="AC415" i="1"/>
  <c r="AB415" i="1"/>
  <c r="Y415" i="1"/>
  <c r="S415" i="1"/>
  <c r="K415" i="1"/>
  <c r="J415" i="1"/>
  <c r="C415" i="1"/>
  <c r="EV414" i="1"/>
  <c r="EU414" i="1"/>
  <c r="ET414" i="1"/>
  <c r="EG414" i="1"/>
  <c r="EC414" i="1"/>
  <c r="DQ414" i="1"/>
  <c r="DK414" i="1"/>
  <c r="DH414" i="1"/>
  <c r="DD414" i="1"/>
  <c r="CW414" i="1"/>
  <c r="CP414" i="1"/>
  <c r="CL414" i="1"/>
  <c r="CG414" i="1"/>
  <c r="CB414" i="1"/>
  <c r="BW414" i="1"/>
  <c r="BV414" i="1"/>
  <c r="BQ414" i="1"/>
  <c r="BP414" i="1"/>
  <c r="BO414" i="1"/>
  <c r="BJ414" i="1"/>
  <c r="BI414" i="1"/>
  <c r="BH414" i="1"/>
  <c r="BC414" i="1"/>
  <c r="BB414" i="1"/>
  <c r="BA414" i="1"/>
  <c r="AV414" i="1"/>
  <c r="AU414" i="1"/>
  <c r="AT414" i="1"/>
  <c r="AO414" i="1"/>
  <c r="AN414" i="1"/>
  <c r="AC414" i="1"/>
  <c r="AB414" i="1"/>
  <c r="Y414" i="1"/>
  <c r="S414" i="1"/>
  <c r="K414" i="1"/>
  <c r="J414" i="1"/>
  <c r="C414" i="1"/>
  <c r="EV413" i="1"/>
  <c r="EU413" i="1"/>
  <c r="ET413" i="1"/>
  <c r="EG413" i="1"/>
  <c r="EC413" i="1"/>
  <c r="DQ413" i="1"/>
  <c r="DK413" i="1"/>
  <c r="DH413" i="1"/>
  <c r="DD413" i="1"/>
  <c r="CW413" i="1"/>
  <c r="CP413" i="1"/>
  <c r="CL413" i="1"/>
  <c r="CG413" i="1"/>
  <c r="CB413" i="1"/>
  <c r="BW413" i="1"/>
  <c r="BV413" i="1"/>
  <c r="BQ413" i="1"/>
  <c r="BP413" i="1"/>
  <c r="BO413" i="1"/>
  <c r="BJ413" i="1"/>
  <c r="BI413" i="1"/>
  <c r="BH413" i="1"/>
  <c r="BC413" i="1"/>
  <c r="BB413" i="1"/>
  <c r="BA413" i="1"/>
  <c r="AV413" i="1"/>
  <c r="AU413" i="1"/>
  <c r="AT413" i="1"/>
  <c r="AO413" i="1"/>
  <c r="AN413" i="1"/>
  <c r="AC413" i="1"/>
  <c r="AB413" i="1"/>
  <c r="Y413" i="1"/>
  <c r="S413" i="1"/>
  <c r="K413" i="1"/>
  <c r="J413" i="1"/>
  <c r="C413" i="1"/>
  <c r="EV412" i="1"/>
  <c r="EU412" i="1"/>
  <c r="ET412" i="1"/>
  <c r="EG412" i="1"/>
  <c r="EC412" i="1"/>
  <c r="DY412" i="1"/>
  <c r="DQ412" i="1"/>
  <c r="DK412" i="1"/>
  <c r="DH412" i="1"/>
  <c r="DD412" i="1"/>
  <c r="CW412" i="1"/>
  <c r="CP412" i="1"/>
  <c r="CL412" i="1"/>
  <c r="CG412" i="1"/>
  <c r="CB412" i="1"/>
  <c r="BW412" i="1"/>
  <c r="BV412" i="1"/>
  <c r="BQ412" i="1"/>
  <c r="BP412" i="1"/>
  <c r="BO412" i="1"/>
  <c r="BJ412" i="1"/>
  <c r="BI412" i="1"/>
  <c r="BH412" i="1"/>
  <c r="BC412" i="1"/>
  <c r="BB412" i="1"/>
  <c r="BA412" i="1"/>
  <c r="AV412" i="1"/>
  <c r="AU412" i="1"/>
  <c r="AT412" i="1"/>
  <c r="AO412" i="1"/>
  <c r="AN412" i="1"/>
  <c r="AJ412" i="1"/>
  <c r="AC412" i="1"/>
  <c r="AB412" i="1"/>
  <c r="Y412" i="1"/>
  <c r="S412" i="1"/>
  <c r="K412" i="1"/>
  <c r="J412" i="1"/>
  <c r="C412" i="1"/>
  <c r="EV411" i="1"/>
  <c r="EU411" i="1"/>
  <c r="ET411" i="1"/>
  <c r="EC411" i="1"/>
  <c r="DQ411" i="1"/>
  <c r="DK411" i="1"/>
  <c r="DH411" i="1"/>
  <c r="DD411" i="1"/>
  <c r="CW411" i="1"/>
  <c r="CP411" i="1"/>
  <c r="CL411" i="1"/>
  <c r="CG411" i="1"/>
  <c r="CB411" i="1"/>
  <c r="BW411" i="1"/>
  <c r="BV411" i="1"/>
  <c r="BQ411" i="1"/>
  <c r="BP411" i="1"/>
  <c r="BO411" i="1"/>
  <c r="BJ411" i="1"/>
  <c r="BI411" i="1"/>
  <c r="BH411" i="1"/>
  <c r="BC411" i="1"/>
  <c r="BB411" i="1"/>
  <c r="BA411" i="1"/>
  <c r="AV411" i="1"/>
  <c r="AU411" i="1"/>
  <c r="AT411" i="1"/>
  <c r="AO411" i="1"/>
  <c r="AN411" i="1"/>
  <c r="AC411" i="1"/>
  <c r="Y411" i="1"/>
  <c r="S411" i="1"/>
  <c r="K411" i="1"/>
  <c r="J411" i="1"/>
  <c r="C411" i="1"/>
  <c r="EV410" i="1"/>
  <c r="EU410" i="1"/>
  <c r="ET410" i="1"/>
  <c r="EG410" i="1"/>
  <c r="EC410" i="1"/>
  <c r="DQ410" i="1"/>
  <c r="DK410" i="1"/>
  <c r="DH410" i="1"/>
  <c r="DD410" i="1"/>
  <c r="CW410" i="1"/>
  <c r="Y410" i="1"/>
  <c r="K410" i="1"/>
  <c r="J410" i="1"/>
  <c r="C410" i="1"/>
  <c r="EV409" i="1"/>
  <c r="EU409" i="1"/>
  <c r="ET409" i="1"/>
  <c r="EG409" i="1"/>
  <c r="EC409" i="1"/>
  <c r="DQ409" i="1"/>
  <c r="DK409" i="1"/>
  <c r="DH409" i="1"/>
  <c r="DD409" i="1"/>
  <c r="CW409" i="1"/>
  <c r="CP409" i="1"/>
  <c r="CL409" i="1"/>
  <c r="CG409" i="1"/>
  <c r="CB409" i="1"/>
  <c r="BW409" i="1"/>
  <c r="BV409" i="1"/>
  <c r="BQ409" i="1"/>
  <c r="BP409" i="1"/>
  <c r="BO409" i="1"/>
  <c r="BJ409" i="1"/>
  <c r="BI409" i="1"/>
  <c r="BH409" i="1"/>
  <c r="BC409" i="1"/>
  <c r="BB409" i="1"/>
  <c r="BA409" i="1"/>
  <c r="AV409" i="1"/>
  <c r="AU409" i="1"/>
  <c r="AT409" i="1"/>
  <c r="AO409" i="1"/>
  <c r="AN409" i="1"/>
  <c r="AC409" i="1"/>
  <c r="AB409" i="1"/>
  <c r="Y409" i="1"/>
  <c r="S409" i="1"/>
  <c r="K409" i="1"/>
  <c r="J409" i="1"/>
  <c r="C409" i="1"/>
  <c r="C408" i="1"/>
  <c r="EV407" i="1"/>
  <c r="EU407" i="1"/>
  <c r="ET407" i="1"/>
  <c r="EG407" i="1"/>
  <c r="EC407" i="1"/>
  <c r="DY407" i="1"/>
  <c r="DQ407" i="1"/>
  <c r="DK407" i="1"/>
  <c r="DH407" i="1"/>
  <c r="DD407" i="1"/>
  <c r="CW407" i="1"/>
  <c r="CP407" i="1"/>
  <c r="CL407" i="1"/>
  <c r="CG407" i="1"/>
  <c r="CB407" i="1"/>
  <c r="BW407" i="1"/>
  <c r="BV407" i="1"/>
  <c r="BQ407" i="1"/>
  <c r="BP407" i="1"/>
  <c r="BO407" i="1"/>
  <c r="BJ407" i="1"/>
  <c r="BI407" i="1"/>
  <c r="BH407" i="1"/>
  <c r="BC407" i="1"/>
  <c r="BB407" i="1"/>
  <c r="BA407" i="1"/>
  <c r="AV407" i="1"/>
  <c r="AU407" i="1"/>
  <c r="AT407" i="1"/>
  <c r="AO407" i="1"/>
  <c r="AN407" i="1"/>
  <c r="AJ407" i="1"/>
  <c r="AC407" i="1"/>
  <c r="AB407" i="1"/>
  <c r="Y407" i="1"/>
  <c r="S407" i="1"/>
  <c r="K407" i="1"/>
  <c r="J407" i="1"/>
  <c r="C407" i="1"/>
  <c r="EV406" i="1"/>
  <c r="EU406" i="1"/>
  <c r="ET406" i="1"/>
  <c r="EG406" i="1"/>
  <c r="EC406" i="1"/>
  <c r="DQ406" i="1"/>
  <c r="DK406" i="1"/>
  <c r="DH406" i="1"/>
  <c r="DD406" i="1"/>
  <c r="CW406" i="1"/>
  <c r="CP406" i="1"/>
  <c r="CL406" i="1"/>
  <c r="CG406" i="1"/>
  <c r="CB406" i="1"/>
  <c r="BW406" i="1"/>
  <c r="BV406" i="1"/>
  <c r="BQ406" i="1"/>
  <c r="BP406" i="1"/>
  <c r="BO406" i="1"/>
  <c r="BJ406" i="1"/>
  <c r="BI406" i="1"/>
  <c r="BH406" i="1"/>
  <c r="BC406" i="1"/>
  <c r="BB406" i="1"/>
  <c r="BA406" i="1"/>
  <c r="AV406" i="1"/>
  <c r="AU406" i="1"/>
  <c r="AT406" i="1"/>
  <c r="AO406" i="1"/>
  <c r="AN406" i="1"/>
  <c r="AC406" i="1"/>
  <c r="AB406" i="1"/>
  <c r="Y406" i="1"/>
  <c r="S406" i="1"/>
  <c r="K406" i="1"/>
  <c r="J406" i="1"/>
  <c r="C406" i="1"/>
  <c r="EV405" i="1"/>
  <c r="EU405" i="1"/>
  <c r="ET405" i="1"/>
  <c r="EG405" i="1"/>
  <c r="EC405" i="1"/>
  <c r="DY405" i="1"/>
  <c r="DQ405" i="1"/>
  <c r="DK405" i="1"/>
  <c r="DH405" i="1"/>
  <c r="DD405" i="1"/>
  <c r="CW405" i="1"/>
  <c r="CP405" i="1"/>
  <c r="CL405" i="1"/>
  <c r="CG405" i="1"/>
  <c r="CB405" i="1"/>
  <c r="BW405" i="1"/>
  <c r="BV405" i="1"/>
  <c r="BQ405" i="1"/>
  <c r="BP405" i="1"/>
  <c r="BO405" i="1"/>
  <c r="BJ405" i="1"/>
  <c r="BI405" i="1"/>
  <c r="BH405" i="1"/>
  <c r="BC405" i="1"/>
  <c r="BB405" i="1"/>
  <c r="BA405" i="1"/>
  <c r="AV405" i="1"/>
  <c r="AU405" i="1"/>
  <c r="AT405" i="1"/>
  <c r="AO405" i="1"/>
  <c r="AN405" i="1"/>
  <c r="AJ405" i="1"/>
  <c r="AC405" i="1"/>
  <c r="AB405" i="1"/>
  <c r="Y405" i="1"/>
  <c r="S405" i="1"/>
  <c r="K405" i="1"/>
  <c r="J405" i="1"/>
  <c r="C405" i="1"/>
  <c r="EV404" i="1"/>
  <c r="EU404" i="1"/>
  <c r="ET404" i="1"/>
  <c r="EC404" i="1"/>
  <c r="DQ404" i="1"/>
  <c r="DK404" i="1"/>
  <c r="DH404" i="1"/>
  <c r="DD404" i="1"/>
  <c r="CW404" i="1"/>
  <c r="CP404" i="1"/>
  <c r="CL404" i="1"/>
  <c r="CG404" i="1"/>
  <c r="CB404" i="1"/>
  <c r="BW404" i="1"/>
  <c r="BV404" i="1"/>
  <c r="BQ404" i="1"/>
  <c r="BP404" i="1"/>
  <c r="BO404" i="1"/>
  <c r="BJ404" i="1"/>
  <c r="BI404" i="1"/>
  <c r="BH404" i="1"/>
  <c r="BC404" i="1"/>
  <c r="BB404" i="1"/>
  <c r="BA404" i="1"/>
  <c r="AV404" i="1"/>
  <c r="AU404" i="1"/>
  <c r="AT404" i="1"/>
  <c r="AO404" i="1"/>
  <c r="AN404" i="1"/>
  <c r="AC404" i="1"/>
  <c r="Y404" i="1"/>
  <c r="S404" i="1"/>
  <c r="K404" i="1"/>
  <c r="J404" i="1"/>
  <c r="C404" i="1"/>
  <c r="EV403" i="1"/>
  <c r="EU403" i="1"/>
  <c r="ET403" i="1"/>
  <c r="EG403" i="1"/>
  <c r="EC403" i="1"/>
  <c r="DQ403" i="1"/>
  <c r="DK403" i="1"/>
  <c r="DH403" i="1"/>
  <c r="DD403" i="1"/>
  <c r="CW403" i="1"/>
  <c r="CP403" i="1"/>
  <c r="CL403" i="1"/>
  <c r="CG403" i="1"/>
  <c r="CB403" i="1"/>
  <c r="BW403" i="1"/>
  <c r="BV403" i="1"/>
  <c r="BQ403" i="1"/>
  <c r="BP403" i="1"/>
  <c r="BO403" i="1"/>
  <c r="BJ403" i="1"/>
  <c r="BI403" i="1"/>
  <c r="BH403" i="1"/>
  <c r="BC403" i="1"/>
  <c r="BB403" i="1"/>
  <c r="BA403" i="1"/>
  <c r="AV403" i="1"/>
  <c r="AU403" i="1"/>
  <c r="AT403" i="1"/>
  <c r="AO403" i="1"/>
  <c r="AN403" i="1"/>
  <c r="AC403" i="1"/>
  <c r="AB403" i="1"/>
  <c r="Y403" i="1"/>
  <c r="S403" i="1"/>
  <c r="K403" i="1"/>
  <c r="J403" i="1"/>
  <c r="C403" i="1"/>
  <c r="EV402" i="1"/>
  <c r="EU402" i="1"/>
  <c r="ET402" i="1"/>
  <c r="EG402" i="1"/>
  <c r="EC402" i="1"/>
  <c r="DQ402" i="1"/>
  <c r="DK402" i="1"/>
  <c r="DH402" i="1"/>
  <c r="DD402" i="1"/>
  <c r="CW402" i="1"/>
  <c r="CP402" i="1"/>
  <c r="CL402" i="1"/>
  <c r="CG402" i="1"/>
  <c r="CB402" i="1"/>
  <c r="BW402" i="1"/>
  <c r="BV402" i="1"/>
  <c r="BQ402" i="1"/>
  <c r="BP402" i="1"/>
  <c r="BO402" i="1"/>
  <c r="BJ402" i="1"/>
  <c r="BI402" i="1"/>
  <c r="BH402" i="1"/>
  <c r="BC402" i="1"/>
  <c r="BB402" i="1"/>
  <c r="BA402" i="1"/>
  <c r="AV402" i="1"/>
  <c r="AU402" i="1"/>
  <c r="AT402" i="1"/>
  <c r="AO402" i="1"/>
  <c r="AN402" i="1"/>
  <c r="AC402" i="1"/>
  <c r="AB402" i="1"/>
  <c r="Y402" i="1"/>
  <c r="S402" i="1"/>
  <c r="K402" i="1"/>
  <c r="J402" i="1"/>
  <c r="C402" i="1"/>
  <c r="EV401" i="1"/>
  <c r="EU401" i="1"/>
  <c r="ET401" i="1"/>
  <c r="EG401" i="1"/>
  <c r="EC401" i="1"/>
  <c r="DQ401" i="1"/>
  <c r="DK401" i="1"/>
  <c r="DH401" i="1"/>
  <c r="DD401" i="1"/>
  <c r="CW401" i="1"/>
  <c r="CP401" i="1"/>
  <c r="CL401" i="1"/>
  <c r="CG401" i="1"/>
  <c r="CB401" i="1"/>
  <c r="BW401" i="1"/>
  <c r="BV401" i="1"/>
  <c r="BQ401" i="1"/>
  <c r="BP401" i="1"/>
  <c r="BO401" i="1"/>
  <c r="BJ401" i="1"/>
  <c r="BI401" i="1"/>
  <c r="BH401" i="1"/>
  <c r="BC401" i="1"/>
  <c r="BB401" i="1"/>
  <c r="BA401" i="1"/>
  <c r="AV401" i="1"/>
  <c r="AU401" i="1"/>
  <c r="AT401" i="1"/>
  <c r="AO401" i="1"/>
  <c r="AN401" i="1"/>
  <c r="AC401" i="1"/>
  <c r="AB401" i="1"/>
  <c r="Y401" i="1"/>
  <c r="S401" i="1"/>
  <c r="K401" i="1"/>
  <c r="J401" i="1"/>
  <c r="C401" i="1"/>
  <c r="EV400" i="1"/>
  <c r="EU400" i="1"/>
  <c r="ET400" i="1"/>
  <c r="EG400" i="1"/>
  <c r="EC400" i="1"/>
  <c r="DQ400" i="1"/>
  <c r="DK400" i="1"/>
  <c r="DH400" i="1"/>
  <c r="DD400" i="1"/>
  <c r="CW400" i="1"/>
  <c r="CP400" i="1"/>
  <c r="CL400" i="1"/>
  <c r="CG400" i="1"/>
  <c r="CB400" i="1"/>
  <c r="BW400" i="1"/>
  <c r="BV400" i="1"/>
  <c r="BQ400" i="1"/>
  <c r="BP400" i="1"/>
  <c r="BO400" i="1"/>
  <c r="BJ400" i="1"/>
  <c r="BI400" i="1"/>
  <c r="BH400" i="1"/>
  <c r="BC400" i="1"/>
  <c r="BB400" i="1"/>
  <c r="BA400" i="1"/>
  <c r="AV400" i="1"/>
  <c r="AU400" i="1"/>
  <c r="AT400" i="1"/>
  <c r="AO400" i="1"/>
  <c r="AN400" i="1"/>
  <c r="AC400" i="1"/>
  <c r="AB400" i="1"/>
  <c r="Y400" i="1"/>
  <c r="S400" i="1"/>
  <c r="K400" i="1"/>
  <c r="J400" i="1"/>
  <c r="C400" i="1"/>
  <c r="EV399" i="1"/>
  <c r="EU399" i="1"/>
  <c r="ET399" i="1"/>
  <c r="EC399" i="1"/>
  <c r="DQ399" i="1"/>
  <c r="DK399" i="1"/>
  <c r="DH399" i="1"/>
  <c r="DD399" i="1"/>
  <c r="CW399" i="1"/>
  <c r="CP399" i="1"/>
  <c r="CL399" i="1"/>
  <c r="CG399" i="1"/>
  <c r="CB399" i="1"/>
  <c r="BW399" i="1"/>
  <c r="BV399" i="1"/>
  <c r="BQ399" i="1"/>
  <c r="BP399" i="1"/>
  <c r="BO399" i="1"/>
  <c r="BJ399" i="1"/>
  <c r="BI399" i="1"/>
  <c r="BH399" i="1"/>
  <c r="BC399" i="1"/>
  <c r="BB399" i="1"/>
  <c r="BA399" i="1"/>
  <c r="AV399" i="1"/>
  <c r="AU399" i="1"/>
  <c r="AT399" i="1"/>
  <c r="AO399" i="1"/>
  <c r="AN399" i="1"/>
  <c r="AC399" i="1"/>
  <c r="Y399" i="1"/>
  <c r="S399" i="1"/>
  <c r="K399" i="1"/>
  <c r="J399" i="1"/>
  <c r="C399" i="1"/>
  <c r="EV398" i="1"/>
  <c r="EU398" i="1"/>
  <c r="ET398" i="1"/>
  <c r="EG398" i="1"/>
  <c r="EC398" i="1"/>
  <c r="DQ398" i="1"/>
  <c r="DK398" i="1"/>
  <c r="DH398" i="1"/>
  <c r="DD398" i="1"/>
  <c r="CW398" i="1"/>
  <c r="CP398" i="1"/>
  <c r="CL398" i="1"/>
  <c r="CG398" i="1"/>
  <c r="CB398" i="1"/>
  <c r="BW398" i="1"/>
  <c r="BV398" i="1"/>
  <c r="BQ398" i="1"/>
  <c r="BP398" i="1"/>
  <c r="BO398" i="1"/>
  <c r="BJ398" i="1"/>
  <c r="BI398" i="1"/>
  <c r="BH398" i="1"/>
  <c r="BC398" i="1"/>
  <c r="BB398" i="1"/>
  <c r="BA398" i="1"/>
  <c r="AV398" i="1"/>
  <c r="AU398" i="1"/>
  <c r="AT398" i="1"/>
  <c r="AO398" i="1"/>
  <c r="AN398" i="1"/>
  <c r="AC398" i="1"/>
  <c r="AB398" i="1"/>
  <c r="Y398" i="1"/>
  <c r="S398" i="1"/>
  <c r="K398" i="1"/>
  <c r="J398" i="1"/>
  <c r="C398" i="1"/>
  <c r="EV397" i="1"/>
  <c r="EU397" i="1"/>
  <c r="ET397" i="1"/>
  <c r="EC397" i="1"/>
  <c r="DQ397" i="1"/>
  <c r="DK397" i="1"/>
  <c r="DH397" i="1"/>
  <c r="DD397" i="1"/>
  <c r="CW397" i="1"/>
  <c r="CP397" i="1"/>
  <c r="CL397" i="1"/>
  <c r="CG397" i="1"/>
  <c r="CB397" i="1"/>
  <c r="BW397" i="1"/>
  <c r="BV397" i="1"/>
  <c r="BQ397" i="1"/>
  <c r="BP397" i="1"/>
  <c r="BO397" i="1"/>
  <c r="BJ397" i="1"/>
  <c r="BI397" i="1"/>
  <c r="BH397" i="1"/>
  <c r="BC397" i="1"/>
  <c r="BB397" i="1"/>
  <c r="BA397" i="1"/>
  <c r="AV397" i="1"/>
  <c r="AU397" i="1"/>
  <c r="AT397" i="1"/>
  <c r="AO397" i="1"/>
  <c r="AN397" i="1"/>
  <c r="AC397" i="1"/>
  <c r="Y397" i="1"/>
  <c r="S397" i="1"/>
  <c r="K397" i="1"/>
  <c r="J397" i="1"/>
  <c r="C397" i="1"/>
  <c r="EV396" i="1"/>
  <c r="EU396" i="1"/>
  <c r="ET396" i="1"/>
  <c r="EG396" i="1"/>
  <c r="EC396" i="1"/>
  <c r="DQ396" i="1"/>
  <c r="DK396" i="1"/>
  <c r="DH396" i="1"/>
  <c r="DD396" i="1"/>
  <c r="CW396" i="1"/>
  <c r="Y396" i="1"/>
  <c r="K396" i="1"/>
  <c r="J396" i="1"/>
  <c r="C396" i="1"/>
  <c r="EV395" i="1"/>
  <c r="EU395" i="1"/>
  <c r="ET395" i="1"/>
  <c r="EG395" i="1"/>
  <c r="EC395" i="1"/>
  <c r="DQ395" i="1"/>
  <c r="DK395" i="1"/>
  <c r="DH395" i="1"/>
  <c r="DD395" i="1"/>
  <c r="CW395" i="1"/>
  <c r="CP395" i="1"/>
  <c r="CL395" i="1"/>
  <c r="CG395" i="1"/>
  <c r="CB395" i="1"/>
  <c r="BW395" i="1"/>
  <c r="BV395" i="1"/>
  <c r="BQ395" i="1"/>
  <c r="BP395" i="1"/>
  <c r="BO395" i="1"/>
  <c r="BJ395" i="1"/>
  <c r="BI395" i="1"/>
  <c r="BH395" i="1"/>
  <c r="BC395" i="1"/>
  <c r="BB395" i="1"/>
  <c r="BA395" i="1"/>
  <c r="AV395" i="1"/>
  <c r="AU395" i="1"/>
  <c r="AT395" i="1"/>
  <c r="AO395" i="1"/>
  <c r="AN395" i="1"/>
  <c r="AC395" i="1"/>
  <c r="AB395" i="1"/>
  <c r="Y395" i="1"/>
  <c r="S395" i="1"/>
  <c r="K395" i="1"/>
  <c r="J395" i="1"/>
  <c r="C395" i="1"/>
  <c r="EV394" i="1"/>
  <c r="EU394" i="1"/>
  <c r="ET394" i="1"/>
  <c r="EC394" i="1"/>
  <c r="DQ394" i="1"/>
  <c r="DK394" i="1"/>
  <c r="DH394" i="1"/>
  <c r="DD394" i="1"/>
  <c r="CW394" i="1"/>
  <c r="CP394" i="1"/>
  <c r="CL394" i="1"/>
  <c r="CG394" i="1"/>
  <c r="CB394" i="1"/>
  <c r="BW394" i="1"/>
  <c r="BV394" i="1"/>
  <c r="BQ394" i="1"/>
  <c r="BP394" i="1"/>
  <c r="BO394" i="1"/>
  <c r="BJ394" i="1"/>
  <c r="BI394" i="1"/>
  <c r="BH394" i="1"/>
  <c r="BC394" i="1"/>
  <c r="BB394" i="1"/>
  <c r="BA394" i="1"/>
  <c r="AV394" i="1"/>
  <c r="AU394" i="1"/>
  <c r="AT394" i="1"/>
  <c r="AO394" i="1"/>
  <c r="AN394" i="1"/>
  <c r="AC394" i="1"/>
  <c r="Y394" i="1"/>
  <c r="S394" i="1"/>
  <c r="K394" i="1"/>
  <c r="J394" i="1"/>
  <c r="C394" i="1"/>
  <c r="EV393" i="1"/>
  <c r="EU393" i="1"/>
  <c r="ET393" i="1"/>
  <c r="EG393" i="1"/>
  <c r="EC393" i="1"/>
  <c r="DQ393" i="1"/>
  <c r="DK393" i="1"/>
  <c r="DH393" i="1"/>
  <c r="DD393" i="1"/>
  <c r="CW393" i="1"/>
  <c r="CP393" i="1"/>
  <c r="CL393" i="1"/>
  <c r="CG393" i="1"/>
  <c r="CB393" i="1"/>
  <c r="BW393" i="1"/>
  <c r="BV393" i="1"/>
  <c r="BQ393" i="1"/>
  <c r="BP393" i="1"/>
  <c r="BO393" i="1"/>
  <c r="BJ393" i="1"/>
  <c r="BI393" i="1"/>
  <c r="BH393" i="1"/>
  <c r="BC393" i="1"/>
  <c r="BB393" i="1"/>
  <c r="BA393" i="1"/>
  <c r="AV393" i="1"/>
  <c r="AU393" i="1"/>
  <c r="AT393" i="1"/>
  <c r="AO393" i="1"/>
  <c r="AN393" i="1"/>
  <c r="AC393" i="1"/>
  <c r="AB393" i="1"/>
  <c r="Y393" i="1"/>
  <c r="S393" i="1"/>
  <c r="K393" i="1"/>
  <c r="J393" i="1"/>
  <c r="C393" i="1"/>
  <c r="EV392" i="1"/>
  <c r="EU392" i="1"/>
  <c r="ET392" i="1"/>
  <c r="EC392" i="1"/>
  <c r="DQ392" i="1"/>
  <c r="DK392" i="1"/>
  <c r="DH392" i="1"/>
  <c r="DD392" i="1"/>
  <c r="CW392" i="1"/>
  <c r="CP392" i="1"/>
  <c r="CL392" i="1"/>
  <c r="CG392" i="1"/>
  <c r="CB392" i="1"/>
  <c r="BW392" i="1"/>
  <c r="BV392" i="1"/>
  <c r="BQ392" i="1"/>
  <c r="BP392" i="1"/>
  <c r="BO392" i="1"/>
  <c r="BJ392" i="1"/>
  <c r="BI392" i="1"/>
  <c r="BH392" i="1"/>
  <c r="BC392" i="1"/>
  <c r="BB392" i="1"/>
  <c r="BA392" i="1"/>
  <c r="AV392" i="1"/>
  <c r="AU392" i="1"/>
  <c r="AT392" i="1"/>
  <c r="AO392" i="1"/>
  <c r="AN392" i="1"/>
  <c r="AC392" i="1"/>
  <c r="Y392" i="1"/>
  <c r="S392" i="1"/>
  <c r="K392" i="1"/>
  <c r="J392" i="1"/>
  <c r="C392" i="1"/>
  <c r="EV391" i="1"/>
  <c r="EU391" i="1"/>
  <c r="ET391" i="1"/>
  <c r="EG391" i="1"/>
  <c r="EC391" i="1"/>
  <c r="DQ391" i="1"/>
  <c r="DK391" i="1"/>
  <c r="DH391" i="1"/>
  <c r="DD391" i="1"/>
  <c r="CW391" i="1"/>
  <c r="CP391" i="1"/>
  <c r="CL391" i="1"/>
  <c r="CG391" i="1"/>
  <c r="CB391" i="1"/>
  <c r="BW391" i="1"/>
  <c r="BV391" i="1"/>
  <c r="BQ391" i="1"/>
  <c r="BP391" i="1"/>
  <c r="BO391" i="1"/>
  <c r="BJ391" i="1"/>
  <c r="BI391" i="1"/>
  <c r="BH391" i="1"/>
  <c r="BC391" i="1"/>
  <c r="BB391" i="1"/>
  <c r="BA391" i="1"/>
  <c r="AV391" i="1"/>
  <c r="AU391" i="1"/>
  <c r="AT391" i="1"/>
  <c r="AO391" i="1"/>
  <c r="AN391" i="1"/>
  <c r="AC391" i="1"/>
  <c r="AB391" i="1"/>
  <c r="Y391" i="1"/>
  <c r="S391" i="1"/>
  <c r="K391" i="1"/>
  <c r="J391" i="1"/>
  <c r="C391" i="1"/>
  <c r="EV390" i="1"/>
  <c r="EU390" i="1"/>
  <c r="ET390" i="1"/>
  <c r="EG390" i="1"/>
  <c r="EC390" i="1"/>
  <c r="DQ390" i="1"/>
  <c r="DK390" i="1"/>
  <c r="DH390" i="1"/>
  <c r="DD390" i="1"/>
  <c r="CW390" i="1"/>
  <c r="CP390" i="1"/>
  <c r="CL390" i="1"/>
  <c r="CG390" i="1"/>
  <c r="CB390" i="1"/>
  <c r="BW390" i="1"/>
  <c r="BV390" i="1"/>
  <c r="BQ390" i="1"/>
  <c r="BP390" i="1"/>
  <c r="BO390" i="1"/>
  <c r="BJ390" i="1"/>
  <c r="BI390" i="1"/>
  <c r="BH390" i="1"/>
  <c r="BC390" i="1"/>
  <c r="BB390" i="1"/>
  <c r="BA390" i="1"/>
  <c r="AV390" i="1"/>
  <c r="AU390" i="1"/>
  <c r="AT390" i="1"/>
  <c r="AO390" i="1"/>
  <c r="AN390" i="1"/>
  <c r="AC390" i="1"/>
  <c r="AB390" i="1"/>
  <c r="Y390" i="1"/>
  <c r="S390" i="1"/>
  <c r="K390" i="1"/>
  <c r="J390" i="1"/>
  <c r="C390" i="1"/>
  <c r="EV389" i="1"/>
  <c r="EU389" i="1"/>
  <c r="ET389" i="1"/>
  <c r="EG389" i="1"/>
  <c r="EC389" i="1"/>
  <c r="DQ389" i="1"/>
  <c r="DK389" i="1"/>
  <c r="DH389" i="1"/>
  <c r="DD389" i="1"/>
  <c r="CW389" i="1"/>
  <c r="CP389" i="1"/>
  <c r="CL389" i="1"/>
  <c r="CG389" i="1"/>
  <c r="CB389" i="1"/>
  <c r="BW389" i="1"/>
  <c r="BV389" i="1"/>
  <c r="BQ389" i="1"/>
  <c r="BP389" i="1"/>
  <c r="BO389" i="1"/>
  <c r="BJ389" i="1"/>
  <c r="BI389" i="1"/>
  <c r="BH389" i="1"/>
  <c r="BC389" i="1"/>
  <c r="BB389" i="1"/>
  <c r="BA389" i="1"/>
  <c r="AV389" i="1"/>
  <c r="AU389" i="1"/>
  <c r="AT389" i="1"/>
  <c r="AO389" i="1"/>
  <c r="AN389" i="1"/>
  <c r="AC389" i="1"/>
  <c r="AB389" i="1"/>
  <c r="Y389" i="1"/>
  <c r="S389" i="1"/>
  <c r="K389" i="1"/>
  <c r="J389" i="1"/>
  <c r="C389" i="1"/>
  <c r="EV388" i="1"/>
  <c r="EU388" i="1"/>
  <c r="ET388" i="1"/>
  <c r="EG388" i="1"/>
  <c r="EC388" i="1"/>
  <c r="DQ388" i="1"/>
  <c r="DK388" i="1"/>
  <c r="DH388" i="1"/>
  <c r="DD388" i="1"/>
  <c r="CW388" i="1"/>
  <c r="CP388" i="1"/>
  <c r="CL388" i="1"/>
  <c r="CG388" i="1"/>
  <c r="CB388" i="1"/>
  <c r="BW388" i="1"/>
  <c r="BV388" i="1"/>
  <c r="BQ388" i="1"/>
  <c r="BP388" i="1"/>
  <c r="BO388" i="1"/>
  <c r="BJ388" i="1"/>
  <c r="BI388" i="1"/>
  <c r="BH388" i="1"/>
  <c r="BC388" i="1"/>
  <c r="BB388" i="1"/>
  <c r="BA388" i="1"/>
  <c r="AV388" i="1"/>
  <c r="AU388" i="1"/>
  <c r="AT388" i="1"/>
  <c r="AO388" i="1"/>
  <c r="AN388" i="1"/>
  <c r="AC388" i="1"/>
  <c r="AB388" i="1"/>
  <c r="Y388" i="1"/>
  <c r="S388" i="1"/>
  <c r="K388" i="1"/>
  <c r="J388" i="1"/>
  <c r="C388" i="1"/>
  <c r="EV387" i="1"/>
  <c r="EU387" i="1"/>
  <c r="ET387" i="1"/>
  <c r="EG387" i="1"/>
  <c r="EC387" i="1"/>
  <c r="DY387" i="1"/>
  <c r="DQ387" i="1"/>
  <c r="DK387" i="1"/>
  <c r="DH387" i="1"/>
  <c r="DD387" i="1"/>
  <c r="CW387" i="1"/>
  <c r="CP387" i="1"/>
  <c r="CL387" i="1"/>
  <c r="CG387" i="1"/>
  <c r="CB387" i="1"/>
  <c r="BW387" i="1"/>
  <c r="BV387" i="1"/>
  <c r="BQ387" i="1"/>
  <c r="BP387" i="1"/>
  <c r="BO387" i="1"/>
  <c r="BJ387" i="1"/>
  <c r="BI387" i="1"/>
  <c r="BH387" i="1"/>
  <c r="BC387" i="1"/>
  <c r="BB387" i="1"/>
  <c r="BA387" i="1"/>
  <c r="AV387" i="1"/>
  <c r="AU387" i="1"/>
  <c r="AT387" i="1"/>
  <c r="AO387" i="1"/>
  <c r="AN387" i="1"/>
  <c r="AJ387" i="1"/>
  <c r="AC387" i="1"/>
  <c r="AB387" i="1"/>
  <c r="Y387" i="1"/>
  <c r="S387" i="1"/>
  <c r="K387" i="1"/>
  <c r="J387" i="1"/>
  <c r="C387" i="1"/>
  <c r="EV386" i="1"/>
  <c r="EU386" i="1"/>
  <c r="ET386" i="1"/>
  <c r="EG386" i="1"/>
  <c r="EC386" i="1"/>
  <c r="DQ386" i="1"/>
  <c r="DK386" i="1"/>
  <c r="DH386" i="1"/>
  <c r="DD386" i="1"/>
  <c r="CW386" i="1"/>
  <c r="CP386" i="1"/>
  <c r="CL386" i="1"/>
  <c r="CG386" i="1"/>
  <c r="CB386" i="1"/>
  <c r="BW386" i="1"/>
  <c r="BV386" i="1"/>
  <c r="BQ386" i="1"/>
  <c r="BP386" i="1"/>
  <c r="BO386" i="1"/>
  <c r="BJ386" i="1"/>
  <c r="BI386" i="1"/>
  <c r="BH386" i="1"/>
  <c r="BC386" i="1"/>
  <c r="BB386" i="1"/>
  <c r="BA386" i="1"/>
  <c r="AV386" i="1"/>
  <c r="AU386" i="1"/>
  <c r="AT386" i="1"/>
  <c r="AO386" i="1"/>
  <c r="AN386" i="1"/>
  <c r="AC386" i="1"/>
  <c r="AB386" i="1"/>
  <c r="Y386" i="1"/>
  <c r="S386" i="1"/>
  <c r="K386" i="1"/>
  <c r="J386" i="1"/>
  <c r="C386" i="1"/>
  <c r="EV385" i="1"/>
  <c r="EU385" i="1"/>
  <c r="ET385" i="1"/>
  <c r="EG385" i="1"/>
  <c r="EC385" i="1"/>
  <c r="DQ385" i="1"/>
  <c r="DK385" i="1"/>
  <c r="DH385" i="1"/>
  <c r="DD385" i="1"/>
  <c r="CW385" i="1"/>
  <c r="CP385" i="1"/>
  <c r="CL385" i="1"/>
  <c r="CG385" i="1"/>
  <c r="CB385" i="1"/>
  <c r="BW385" i="1"/>
  <c r="BV385" i="1"/>
  <c r="BQ385" i="1"/>
  <c r="BP385" i="1"/>
  <c r="BO385" i="1"/>
  <c r="BJ385" i="1"/>
  <c r="BI385" i="1"/>
  <c r="BH385" i="1"/>
  <c r="BC385" i="1"/>
  <c r="BB385" i="1"/>
  <c r="BA385" i="1"/>
  <c r="AV385" i="1"/>
  <c r="AU385" i="1"/>
  <c r="AT385" i="1"/>
  <c r="AO385" i="1"/>
  <c r="AN385" i="1"/>
  <c r="AC385" i="1"/>
  <c r="AB385" i="1"/>
  <c r="Y385" i="1"/>
  <c r="S385" i="1"/>
  <c r="K385" i="1"/>
  <c r="J385" i="1"/>
  <c r="C385" i="1"/>
  <c r="EV384" i="1"/>
  <c r="EU384" i="1"/>
  <c r="ET384" i="1"/>
  <c r="EG384" i="1"/>
  <c r="EC384" i="1"/>
  <c r="DQ384" i="1"/>
  <c r="DK384" i="1"/>
  <c r="DH384" i="1"/>
  <c r="DD384" i="1"/>
  <c r="CW384" i="1"/>
  <c r="CP384" i="1"/>
  <c r="CL384" i="1"/>
  <c r="CG384" i="1"/>
  <c r="CB384" i="1"/>
  <c r="BW384" i="1"/>
  <c r="BV384" i="1"/>
  <c r="BQ384" i="1"/>
  <c r="BP384" i="1"/>
  <c r="BO384" i="1"/>
  <c r="BJ384" i="1"/>
  <c r="BI384" i="1"/>
  <c r="BH384" i="1"/>
  <c r="BC384" i="1"/>
  <c r="BB384" i="1"/>
  <c r="BA384" i="1"/>
  <c r="AV384" i="1"/>
  <c r="AU384" i="1"/>
  <c r="AT384" i="1"/>
  <c r="AO384" i="1"/>
  <c r="AN384" i="1"/>
  <c r="AC384" i="1"/>
  <c r="AB384" i="1"/>
  <c r="Y384" i="1"/>
  <c r="S384" i="1"/>
  <c r="K384" i="1"/>
  <c r="J384" i="1"/>
  <c r="C384" i="1"/>
  <c r="EV383" i="1"/>
  <c r="EU383" i="1"/>
  <c r="ET383" i="1"/>
  <c r="EG383" i="1"/>
  <c r="EC383" i="1"/>
  <c r="DY383" i="1"/>
  <c r="DQ383" i="1"/>
  <c r="DK383" i="1"/>
  <c r="DH383" i="1"/>
  <c r="DD383" i="1"/>
  <c r="CW383" i="1"/>
  <c r="CP383" i="1"/>
  <c r="CL383" i="1"/>
  <c r="CG383" i="1"/>
  <c r="CB383" i="1"/>
  <c r="BW383" i="1"/>
  <c r="BV383" i="1"/>
  <c r="BQ383" i="1"/>
  <c r="BP383" i="1"/>
  <c r="BO383" i="1"/>
  <c r="BJ383" i="1"/>
  <c r="BI383" i="1"/>
  <c r="BH383" i="1"/>
  <c r="BC383" i="1"/>
  <c r="BB383" i="1"/>
  <c r="BA383" i="1"/>
  <c r="AV383" i="1"/>
  <c r="AU383" i="1"/>
  <c r="AT383" i="1"/>
  <c r="AO383" i="1"/>
  <c r="AN383" i="1"/>
  <c r="AJ383" i="1"/>
  <c r="AC383" i="1"/>
  <c r="AB383" i="1"/>
  <c r="Y383" i="1"/>
  <c r="S383" i="1"/>
  <c r="K383" i="1"/>
  <c r="J383" i="1"/>
  <c r="C383" i="1"/>
  <c r="EV382" i="1"/>
  <c r="EU382" i="1"/>
  <c r="ET382" i="1"/>
  <c r="EG382" i="1"/>
  <c r="EC382" i="1"/>
  <c r="DQ382" i="1"/>
  <c r="DK382" i="1"/>
  <c r="DH382" i="1"/>
  <c r="DD382" i="1"/>
  <c r="CW382" i="1"/>
  <c r="CP382" i="1"/>
  <c r="CL382" i="1"/>
  <c r="CG382" i="1"/>
  <c r="CB382" i="1"/>
  <c r="BW382" i="1"/>
  <c r="BV382" i="1"/>
  <c r="BQ382" i="1"/>
  <c r="BP382" i="1"/>
  <c r="BO382" i="1"/>
  <c r="BJ382" i="1"/>
  <c r="BI382" i="1"/>
  <c r="BH382" i="1"/>
  <c r="BC382" i="1"/>
  <c r="BB382" i="1"/>
  <c r="BA382" i="1"/>
  <c r="AV382" i="1"/>
  <c r="AU382" i="1"/>
  <c r="AT382" i="1"/>
  <c r="AO382" i="1"/>
  <c r="AN382" i="1"/>
  <c r="AC382" i="1"/>
  <c r="AB382" i="1"/>
  <c r="Y382" i="1"/>
  <c r="S382" i="1"/>
  <c r="K382" i="1"/>
  <c r="J382" i="1"/>
  <c r="C382" i="1"/>
  <c r="EV381" i="1"/>
  <c r="EU381" i="1"/>
  <c r="ET381" i="1"/>
  <c r="EG381" i="1"/>
  <c r="EC381" i="1"/>
  <c r="DQ381" i="1"/>
  <c r="DK381" i="1"/>
  <c r="DH381" i="1"/>
  <c r="DD381" i="1"/>
  <c r="CW381" i="1"/>
  <c r="CP381" i="1"/>
  <c r="CL381" i="1"/>
  <c r="CG381" i="1"/>
  <c r="CB381" i="1"/>
  <c r="BW381" i="1"/>
  <c r="BV381" i="1"/>
  <c r="BQ381" i="1"/>
  <c r="BP381" i="1"/>
  <c r="BO381" i="1"/>
  <c r="BJ381" i="1"/>
  <c r="BI381" i="1"/>
  <c r="BH381" i="1"/>
  <c r="BC381" i="1"/>
  <c r="BB381" i="1"/>
  <c r="BA381" i="1"/>
  <c r="AV381" i="1"/>
  <c r="AU381" i="1"/>
  <c r="AT381" i="1"/>
  <c r="AO381" i="1"/>
  <c r="AN381" i="1"/>
  <c r="AC381" i="1"/>
  <c r="AB381" i="1"/>
  <c r="Y381" i="1"/>
  <c r="S381" i="1"/>
  <c r="K381" i="1"/>
  <c r="J381" i="1"/>
  <c r="C381" i="1"/>
  <c r="C380" i="1"/>
  <c r="EV379" i="1"/>
  <c r="EU379" i="1"/>
  <c r="ET379" i="1"/>
  <c r="EG379" i="1"/>
  <c r="EC379" i="1"/>
  <c r="DQ379" i="1"/>
  <c r="DK379" i="1"/>
  <c r="DH379" i="1"/>
  <c r="DD379" i="1"/>
  <c r="CW379" i="1"/>
  <c r="CP379" i="1"/>
  <c r="CL379" i="1"/>
  <c r="CG379" i="1"/>
  <c r="CB379" i="1"/>
  <c r="BW379" i="1"/>
  <c r="BV379" i="1"/>
  <c r="BQ379" i="1"/>
  <c r="BP379" i="1"/>
  <c r="BO379" i="1"/>
  <c r="BJ379" i="1"/>
  <c r="BI379" i="1"/>
  <c r="BH379" i="1"/>
  <c r="BC379" i="1"/>
  <c r="BB379" i="1"/>
  <c r="BA379" i="1"/>
  <c r="AV379" i="1"/>
  <c r="AU379" i="1"/>
  <c r="AT379" i="1"/>
  <c r="AO379" i="1"/>
  <c r="AN379" i="1"/>
  <c r="AC379" i="1"/>
  <c r="AB379" i="1"/>
  <c r="Y379" i="1"/>
  <c r="S379" i="1"/>
  <c r="K379" i="1"/>
  <c r="J379" i="1"/>
  <c r="C379" i="1"/>
  <c r="EV378" i="1"/>
  <c r="EU378" i="1"/>
  <c r="ET378" i="1"/>
  <c r="EG378" i="1"/>
  <c r="EC378" i="1"/>
  <c r="DQ378" i="1"/>
  <c r="DK378" i="1"/>
  <c r="DH378" i="1"/>
  <c r="DD378" i="1"/>
  <c r="CW378" i="1"/>
  <c r="CP378" i="1"/>
  <c r="CL378" i="1"/>
  <c r="CG378" i="1"/>
  <c r="CB378" i="1"/>
  <c r="BW378" i="1"/>
  <c r="BV378" i="1"/>
  <c r="BQ378" i="1"/>
  <c r="BP378" i="1"/>
  <c r="BO378" i="1"/>
  <c r="BJ378" i="1"/>
  <c r="BI378" i="1"/>
  <c r="BH378" i="1"/>
  <c r="BC378" i="1"/>
  <c r="BB378" i="1"/>
  <c r="BA378" i="1"/>
  <c r="AV378" i="1"/>
  <c r="AU378" i="1"/>
  <c r="AT378" i="1"/>
  <c r="AO378" i="1"/>
  <c r="AN378" i="1"/>
  <c r="AC378" i="1"/>
  <c r="AB378" i="1"/>
  <c r="Y378" i="1"/>
  <c r="S378" i="1"/>
  <c r="K378" i="1"/>
  <c r="J378" i="1"/>
  <c r="C378" i="1"/>
  <c r="EV377" i="1"/>
  <c r="EU377" i="1"/>
  <c r="ET377" i="1"/>
  <c r="EG377" i="1"/>
  <c r="EC377" i="1"/>
  <c r="DY377" i="1"/>
  <c r="DQ377" i="1"/>
  <c r="DK377" i="1"/>
  <c r="DH377" i="1"/>
  <c r="DD377" i="1"/>
  <c r="CW377" i="1"/>
  <c r="CP377" i="1"/>
  <c r="CL377" i="1"/>
  <c r="CG377" i="1"/>
  <c r="CB377" i="1"/>
  <c r="BW377" i="1"/>
  <c r="BV377" i="1"/>
  <c r="BQ377" i="1"/>
  <c r="BP377" i="1"/>
  <c r="BO377" i="1"/>
  <c r="BJ377" i="1"/>
  <c r="BI377" i="1"/>
  <c r="BH377" i="1"/>
  <c r="BC377" i="1"/>
  <c r="BB377" i="1"/>
  <c r="BA377" i="1"/>
  <c r="AV377" i="1"/>
  <c r="AU377" i="1"/>
  <c r="AT377" i="1"/>
  <c r="AO377" i="1"/>
  <c r="AN377" i="1"/>
  <c r="AJ377" i="1"/>
  <c r="AC377" i="1"/>
  <c r="AB377" i="1"/>
  <c r="Y377" i="1"/>
  <c r="S377" i="1"/>
  <c r="K377" i="1"/>
  <c r="J377" i="1"/>
  <c r="C377" i="1"/>
  <c r="EV376" i="1"/>
  <c r="EU376" i="1"/>
  <c r="ET376" i="1"/>
  <c r="EG376" i="1"/>
  <c r="EC376" i="1"/>
  <c r="DQ376" i="1"/>
  <c r="DK376" i="1"/>
  <c r="DH376" i="1"/>
  <c r="DD376" i="1"/>
  <c r="CW376" i="1"/>
  <c r="CP376" i="1"/>
  <c r="CL376" i="1"/>
  <c r="CG376" i="1"/>
  <c r="CB376" i="1"/>
  <c r="BW376" i="1"/>
  <c r="BV376" i="1"/>
  <c r="BQ376" i="1"/>
  <c r="BP376" i="1"/>
  <c r="BO376" i="1"/>
  <c r="BJ376" i="1"/>
  <c r="BI376" i="1"/>
  <c r="BH376" i="1"/>
  <c r="BC376" i="1"/>
  <c r="BB376" i="1"/>
  <c r="BA376" i="1"/>
  <c r="AV376" i="1"/>
  <c r="AU376" i="1"/>
  <c r="AT376" i="1"/>
  <c r="AO376" i="1"/>
  <c r="AN376" i="1"/>
  <c r="AC376" i="1"/>
  <c r="AB376" i="1"/>
  <c r="Y376" i="1"/>
  <c r="S376" i="1"/>
  <c r="K376" i="1"/>
  <c r="J376" i="1"/>
  <c r="C376" i="1"/>
  <c r="EV375" i="1"/>
  <c r="EU375" i="1"/>
  <c r="ET375" i="1"/>
  <c r="EG375" i="1"/>
  <c r="EC375" i="1"/>
  <c r="DQ375" i="1"/>
  <c r="DK375" i="1"/>
  <c r="DH375" i="1"/>
  <c r="DD375" i="1"/>
  <c r="CW375" i="1"/>
  <c r="CP375" i="1"/>
  <c r="CL375" i="1"/>
  <c r="CG375" i="1"/>
  <c r="CB375" i="1"/>
  <c r="BW375" i="1"/>
  <c r="BV375" i="1"/>
  <c r="BQ375" i="1"/>
  <c r="BP375" i="1"/>
  <c r="BO375" i="1"/>
  <c r="BJ375" i="1"/>
  <c r="BI375" i="1"/>
  <c r="BH375" i="1"/>
  <c r="BC375" i="1"/>
  <c r="BB375" i="1"/>
  <c r="BA375" i="1"/>
  <c r="AV375" i="1"/>
  <c r="AU375" i="1"/>
  <c r="AT375" i="1"/>
  <c r="AO375" i="1"/>
  <c r="AN375" i="1"/>
  <c r="AC375" i="1"/>
  <c r="AB375" i="1"/>
  <c r="Y375" i="1"/>
  <c r="S375" i="1"/>
  <c r="K375" i="1"/>
  <c r="J375" i="1"/>
  <c r="C375" i="1"/>
  <c r="EV374" i="1"/>
  <c r="EU374" i="1"/>
  <c r="ET374" i="1"/>
  <c r="EG374" i="1"/>
  <c r="EC374" i="1"/>
  <c r="DQ374" i="1"/>
  <c r="DK374" i="1"/>
  <c r="DH374" i="1"/>
  <c r="DD374" i="1"/>
  <c r="CW374" i="1"/>
  <c r="CP374" i="1"/>
  <c r="CL374" i="1"/>
  <c r="CG374" i="1"/>
  <c r="CB374" i="1"/>
  <c r="BW374" i="1"/>
  <c r="BV374" i="1"/>
  <c r="BQ374" i="1"/>
  <c r="BP374" i="1"/>
  <c r="BO374" i="1"/>
  <c r="BJ374" i="1"/>
  <c r="BI374" i="1"/>
  <c r="BH374" i="1"/>
  <c r="BC374" i="1"/>
  <c r="BB374" i="1"/>
  <c r="BA374" i="1"/>
  <c r="AV374" i="1"/>
  <c r="AU374" i="1"/>
  <c r="AT374" i="1"/>
  <c r="AO374" i="1"/>
  <c r="AN374" i="1"/>
  <c r="AC374" i="1"/>
  <c r="AB374" i="1"/>
  <c r="Y374" i="1"/>
  <c r="S374" i="1"/>
  <c r="K374" i="1"/>
  <c r="J374" i="1"/>
  <c r="C374" i="1"/>
  <c r="EV373" i="1"/>
  <c r="EU373" i="1"/>
  <c r="ET373" i="1"/>
  <c r="EC373" i="1"/>
  <c r="DY373" i="1"/>
  <c r="DQ373" i="1"/>
  <c r="DK373" i="1"/>
  <c r="DH373" i="1"/>
  <c r="DD373" i="1"/>
  <c r="CW373" i="1"/>
  <c r="CP373" i="1"/>
  <c r="CL373" i="1"/>
  <c r="CG373" i="1"/>
  <c r="CB373" i="1"/>
  <c r="BW373" i="1"/>
  <c r="BV373" i="1"/>
  <c r="BQ373" i="1"/>
  <c r="BP373" i="1"/>
  <c r="BO373" i="1"/>
  <c r="BJ373" i="1"/>
  <c r="BI373" i="1"/>
  <c r="BH373" i="1"/>
  <c r="BC373" i="1"/>
  <c r="BB373" i="1"/>
  <c r="BA373" i="1"/>
  <c r="AV373" i="1"/>
  <c r="AU373" i="1"/>
  <c r="AT373" i="1"/>
  <c r="AO373" i="1"/>
  <c r="AN373" i="1"/>
  <c r="AJ373" i="1"/>
  <c r="AC373" i="1"/>
  <c r="Y373" i="1"/>
  <c r="S373" i="1"/>
  <c r="K373" i="1"/>
  <c r="J373" i="1"/>
  <c r="C373" i="1"/>
  <c r="EV372" i="1"/>
  <c r="EU372" i="1"/>
  <c r="ET372" i="1"/>
  <c r="EG372" i="1"/>
  <c r="EC372" i="1"/>
  <c r="DY372" i="1"/>
  <c r="DQ372" i="1"/>
  <c r="DK372" i="1"/>
  <c r="DH372" i="1"/>
  <c r="DD372" i="1"/>
  <c r="CW372" i="1"/>
  <c r="CP372" i="1"/>
  <c r="CL372" i="1"/>
  <c r="CG372" i="1"/>
  <c r="CB372" i="1"/>
  <c r="BW372" i="1"/>
  <c r="BV372" i="1"/>
  <c r="BQ372" i="1"/>
  <c r="BP372" i="1"/>
  <c r="BO372" i="1"/>
  <c r="BJ372" i="1"/>
  <c r="BI372" i="1"/>
  <c r="BH372" i="1"/>
  <c r="BC372" i="1"/>
  <c r="BB372" i="1"/>
  <c r="BA372" i="1"/>
  <c r="AV372" i="1"/>
  <c r="AU372" i="1"/>
  <c r="AT372" i="1"/>
  <c r="AO372" i="1"/>
  <c r="AN372" i="1"/>
  <c r="AJ372" i="1"/>
  <c r="AC372" i="1"/>
  <c r="AB372" i="1"/>
  <c r="Y372" i="1"/>
  <c r="S372" i="1"/>
  <c r="K372" i="1"/>
  <c r="J372" i="1"/>
  <c r="C372" i="1"/>
  <c r="EV371" i="1"/>
  <c r="EU371" i="1"/>
  <c r="ET371" i="1"/>
  <c r="EG371" i="1"/>
  <c r="EC371" i="1"/>
  <c r="DQ371" i="1"/>
  <c r="DK371" i="1"/>
  <c r="DH371" i="1"/>
  <c r="DD371" i="1"/>
  <c r="CW371" i="1"/>
  <c r="CP371" i="1"/>
  <c r="CL371" i="1"/>
  <c r="CG371" i="1"/>
  <c r="CB371" i="1"/>
  <c r="BW371" i="1"/>
  <c r="BV371" i="1"/>
  <c r="BQ371" i="1"/>
  <c r="BP371" i="1"/>
  <c r="BO371" i="1"/>
  <c r="BJ371" i="1"/>
  <c r="BI371" i="1"/>
  <c r="BH371" i="1"/>
  <c r="BC371" i="1"/>
  <c r="BB371" i="1"/>
  <c r="BA371" i="1"/>
  <c r="AV371" i="1"/>
  <c r="AU371" i="1"/>
  <c r="AT371" i="1"/>
  <c r="AO371" i="1"/>
  <c r="AN371" i="1"/>
  <c r="AC371" i="1"/>
  <c r="AB371" i="1"/>
  <c r="Y371" i="1"/>
  <c r="S371" i="1"/>
  <c r="K371" i="1"/>
  <c r="J371" i="1"/>
  <c r="C371" i="1"/>
  <c r="EV370" i="1"/>
  <c r="EU370" i="1"/>
  <c r="ET370" i="1"/>
  <c r="EG370" i="1"/>
  <c r="EC370" i="1"/>
  <c r="DQ370" i="1"/>
  <c r="DK370" i="1"/>
  <c r="DH370" i="1"/>
  <c r="DD370" i="1"/>
  <c r="CW370" i="1"/>
  <c r="CP370" i="1"/>
  <c r="CL370" i="1"/>
  <c r="CG370" i="1"/>
  <c r="CB370" i="1"/>
  <c r="BW370" i="1"/>
  <c r="BV370" i="1"/>
  <c r="BQ370" i="1"/>
  <c r="BP370" i="1"/>
  <c r="BO370" i="1"/>
  <c r="BJ370" i="1"/>
  <c r="BI370" i="1"/>
  <c r="BH370" i="1"/>
  <c r="BC370" i="1"/>
  <c r="BB370" i="1"/>
  <c r="BA370" i="1"/>
  <c r="AV370" i="1"/>
  <c r="AU370" i="1"/>
  <c r="AT370" i="1"/>
  <c r="AO370" i="1"/>
  <c r="AN370" i="1"/>
  <c r="AC370" i="1"/>
  <c r="AB370" i="1"/>
  <c r="Y370" i="1"/>
  <c r="S370" i="1"/>
  <c r="K370" i="1"/>
  <c r="J370" i="1"/>
  <c r="C370" i="1"/>
  <c r="EV369" i="1"/>
  <c r="EU369" i="1"/>
  <c r="ET369" i="1"/>
  <c r="EG369" i="1"/>
  <c r="EC369" i="1"/>
  <c r="DQ369" i="1"/>
  <c r="DK369" i="1"/>
  <c r="DH369" i="1"/>
  <c r="DD369" i="1"/>
  <c r="CW369" i="1"/>
  <c r="CP369" i="1"/>
  <c r="CL369" i="1"/>
  <c r="CG369" i="1"/>
  <c r="CB369" i="1"/>
  <c r="BW369" i="1"/>
  <c r="BV369" i="1"/>
  <c r="BQ369" i="1"/>
  <c r="BP369" i="1"/>
  <c r="BO369" i="1"/>
  <c r="BJ369" i="1"/>
  <c r="BI369" i="1"/>
  <c r="BH369" i="1"/>
  <c r="BC369" i="1"/>
  <c r="BB369" i="1"/>
  <c r="BA369" i="1"/>
  <c r="AV369" i="1"/>
  <c r="AU369" i="1"/>
  <c r="AT369" i="1"/>
  <c r="AO369" i="1"/>
  <c r="AN369" i="1"/>
  <c r="AC369" i="1"/>
  <c r="AB369" i="1"/>
  <c r="Y369" i="1"/>
  <c r="S369" i="1"/>
  <c r="K369" i="1"/>
  <c r="J369" i="1"/>
  <c r="C369" i="1"/>
  <c r="EV368" i="1"/>
  <c r="EU368" i="1"/>
  <c r="ET368" i="1"/>
  <c r="EG368" i="1"/>
  <c r="EC368" i="1"/>
  <c r="DQ368" i="1"/>
  <c r="DK368" i="1"/>
  <c r="DH368" i="1"/>
  <c r="DD368" i="1"/>
  <c r="CW368" i="1"/>
  <c r="CP368" i="1"/>
  <c r="CL368" i="1"/>
  <c r="CG368" i="1"/>
  <c r="CB368" i="1"/>
  <c r="BW368" i="1"/>
  <c r="BV368" i="1"/>
  <c r="BQ368" i="1"/>
  <c r="BP368" i="1"/>
  <c r="BO368" i="1"/>
  <c r="BJ368" i="1"/>
  <c r="BI368" i="1"/>
  <c r="BH368" i="1"/>
  <c r="BC368" i="1"/>
  <c r="BB368" i="1"/>
  <c r="BA368" i="1"/>
  <c r="AV368" i="1"/>
  <c r="AU368" i="1"/>
  <c r="AT368" i="1"/>
  <c r="AO368" i="1"/>
  <c r="AN368" i="1"/>
  <c r="AC368" i="1"/>
  <c r="AB368" i="1"/>
  <c r="Y368" i="1"/>
  <c r="S368" i="1"/>
  <c r="K368" i="1"/>
  <c r="J368" i="1"/>
  <c r="C368" i="1"/>
  <c r="EV367" i="1"/>
  <c r="EU367" i="1"/>
  <c r="ET367" i="1"/>
  <c r="EG367" i="1"/>
  <c r="EC367" i="1"/>
  <c r="DQ367" i="1"/>
  <c r="DK367" i="1"/>
  <c r="DH367" i="1"/>
  <c r="DD367" i="1"/>
  <c r="CW367" i="1"/>
  <c r="CP367" i="1"/>
  <c r="CL367" i="1"/>
  <c r="CG367" i="1"/>
  <c r="CB367" i="1"/>
  <c r="BW367" i="1"/>
  <c r="BV367" i="1"/>
  <c r="BQ367" i="1"/>
  <c r="BP367" i="1"/>
  <c r="BO367" i="1"/>
  <c r="BJ367" i="1"/>
  <c r="BI367" i="1"/>
  <c r="BH367" i="1"/>
  <c r="BC367" i="1"/>
  <c r="BB367" i="1"/>
  <c r="BA367" i="1"/>
  <c r="AV367" i="1"/>
  <c r="AU367" i="1"/>
  <c r="AT367" i="1"/>
  <c r="AO367" i="1"/>
  <c r="AN367" i="1"/>
  <c r="AC367" i="1"/>
  <c r="AB367" i="1"/>
  <c r="Y367" i="1"/>
  <c r="S367" i="1"/>
  <c r="K367" i="1"/>
  <c r="J367" i="1"/>
  <c r="C367" i="1"/>
  <c r="EV366" i="1"/>
  <c r="EU366" i="1"/>
  <c r="ET366" i="1"/>
  <c r="EC366" i="1"/>
  <c r="DQ366" i="1"/>
  <c r="DK366" i="1"/>
  <c r="DH366" i="1"/>
  <c r="DD366" i="1"/>
  <c r="CW366" i="1"/>
  <c r="CP366" i="1"/>
  <c r="CL366" i="1"/>
  <c r="CG366" i="1"/>
  <c r="CB366" i="1"/>
  <c r="BW366" i="1"/>
  <c r="BV366" i="1"/>
  <c r="BQ366" i="1"/>
  <c r="BP366" i="1"/>
  <c r="BO366" i="1"/>
  <c r="BJ366" i="1"/>
  <c r="BI366" i="1"/>
  <c r="BH366" i="1"/>
  <c r="BC366" i="1"/>
  <c r="BB366" i="1"/>
  <c r="BA366" i="1"/>
  <c r="AV366" i="1"/>
  <c r="AU366" i="1"/>
  <c r="AT366" i="1"/>
  <c r="AO366" i="1"/>
  <c r="AN366" i="1"/>
  <c r="AC366" i="1"/>
  <c r="Y366" i="1"/>
  <c r="S366" i="1"/>
  <c r="K366" i="1"/>
  <c r="J366" i="1"/>
  <c r="C366" i="1"/>
  <c r="EV365" i="1"/>
  <c r="EU365" i="1"/>
  <c r="ET365" i="1"/>
  <c r="EG365" i="1"/>
  <c r="EC365" i="1"/>
  <c r="DQ365" i="1"/>
  <c r="DK365" i="1"/>
  <c r="DH365" i="1"/>
  <c r="DD365" i="1"/>
  <c r="CW365" i="1"/>
  <c r="CP365" i="1"/>
  <c r="CL365" i="1"/>
  <c r="CG365" i="1"/>
  <c r="CB365" i="1"/>
  <c r="BW365" i="1"/>
  <c r="BV365" i="1"/>
  <c r="BQ365" i="1"/>
  <c r="BP365" i="1"/>
  <c r="BO365" i="1"/>
  <c r="BJ365" i="1"/>
  <c r="BI365" i="1"/>
  <c r="BH365" i="1"/>
  <c r="BC365" i="1"/>
  <c r="BB365" i="1"/>
  <c r="BA365" i="1"/>
  <c r="AV365" i="1"/>
  <c r="AU365" i="1"/>
  <c r="AT365" i="1"/>
  <c r="AO365" i="1"/>
  <c r="AN365" i="1"/>
  <c r="AC365" i="1"/>
  <c r="AB365" i="1"/>
  <c r="Y365" i="1"/>
  <c r="S365" i="1"/>
  <c r="K365" i="1"/>
  <c r="J365" i="1"/>
  <c r="C365" i="1"/>
  <c r="EV364" i="1"/>
  <c r="EU364" i="1"/>
  <c r="ET364" i="1"/>
  <c r="EG364" i="1"/>
  <c r="EC364" i="1"/>
  <c r="DY364" i="1"/>
  <c r="DQ364" i="1"/>
  <c r="DK364" i="1"/>
  <c r="DH364" i="1"/>
  <c r="DD364" i="1"/>
  <c r="CW364" i="1"/>
  <c r="CP364" i="1"/>
  <c r="CL364" i="1"/>
  <c r="CG364" i="1"/>
  <c r="CB364" i="1"/>
  <c r="BW364" i="1"/>
  <c r="BV364" i="1"/>
  <c r="BQ364" i="1"/>
  <c r="BP364" i="1"/>
  <c r="BO364" i="1"/>
  <c r="BJ364" i="1"/>
  <c r="BI364" i="1"/>
  <c r="BH364" i="1"/>
  <c r="BC364" i="1"/>
  <c r="BB364" i="1"/>
  <c r="BA364" i="1"/>
  <c r="AV364" i="1"/>
  <c r="AU364" i="1"/>
  <c r="AT364" i="1"/>
  <c r="AO364" i="1"/>
  <c r="AN364" i="1"/>
  <c r="AJ364" i="1"/>
  <c r="AC364" i="1"/>
  <c r="AB364" i="1"/>
  <c r="Y364" i="1"/>
  <c r="S364" i="1"/>
  <c r="K364" i="1"/>
  <c r="J364" i="1"/>
  <c r="C364" i="1"/>
  <c r="EV363" i="1"/>
  <c r="EU363" i="1"/>
  <c r="ET363" i="1"/>
  <c r="EC363" i="1"/>
  <c r="DQ363" i="1"/>
  <c r="DK363" i="1"/>
  <c r="DH363" i="1"/>
  <c r="DD363" i="1"/>
  <c r="CW363" i="1"/>
  <c r="CP363" i="1"/>
  <c r="CL363" i="1"/>
  <c r="CG363" i="1"/>
  <c r="CB363" i="1"/>
  <c r="BQ363" i="1"/>
  <c r="BP363" i="1"/>
  <c r="BO363" i="1"/>
  <c r="BJ363" i="1"/>
  <c r="BI363" i="1"/>
  <c r="BH363" i="1"/>
  <c r="BC363" i="1"/>
  <c r="BB363" i="1"/>
  <c r="BA363" i="1"/>
  <c r="AV363" i="1"/>
  <c r="AU363" i="1"/>
  <c r="AT363" i="1"/>
  <c r="AO363" i="1"/>
  <c r="AN363" i="1"/>
  <c r="AC363" i="1"/>
  <c r="Y363" i="1"/>
  <c r="S363" i="1"/>
  <c r="K363" i="1"/>
  <c r="J363" i="1"/>
  <c r="C363" i="1"/>
  <c r="EV362" i="1"/>
  <c r="EU362" i="1"/>
  <c r="ET362" i="1"/>
  <c r="EG362" i="1"/>
  <c r="EC362" i="1"/>
  <c r="DQ362" i="1"/>
  <c r="DK362" i="1"/>
  <c r="DH362" i="1"/>
  <c r="DD362" i="1"/>
  <c r="CW362" i="1"/>
  <c r="CP362" i="1"/>
  <c r="CL362" i="1"/>
  <c r="CG362" i="1"/>
  <c r="CB362" i="1"/>
  <c r="BW362" i="1"/>
  <c r="BV362" i="1"/>
  <c r="BQ362" i="1"/>
  <c r="BP362" i="1"/>
  <c r="BO362" i="1"/>
  <c r="BJ362" i="1"/>
  <c r="BI362" i="1"/>
  <c r="BH362" i="1"/>
  <c r="BC362" i="1"/>
  <c r="BB362" i="1"/>
  <c r="BA362" i="1"/>
  <c r="AV362" i="1"/>
  <c r="AU362" i="1"/>
  <c r="AT362" i="1"/>
  <c r="AO362" i="1"/>
  <c r="AN362" i="1"/>
  <c r="AC362" i="1"/>
  <c r="AB362" i="1"/>
  <c r="Y362" i="1"/>
  <c r="S362" i="1"/>
  <c r="K362" i="1"/>
  <c r="J362" i="1"/>
  <c r="C362" i="1"/>
  <c r="C361" i="1"/>
  <c r="C360" i="1"/>
  <c r="EV359" i="1"/>
  <c r="EU359" i="1"/>
  <c r="ET359" i="1"/>
  <c r="EC359" i="1"/>
  <c r="DQ359" i="1"/>
  <c r="DK359" i="1"/>
  <c r="DH359" i="1"/>
  <c r="DD359" i="1"/>
  <c r="CW359" i="1"/>
  <c r="CP359" i="1"/>
  <c r="CL359" i="1"/>
  <c r="CG359" i="1"/>
  <c r="CB359" i="1"/>
  <c r="BW359" i="1"/>
  <c r="BV359" i="1"/>
  <c r="BQ359" i="1"/>
  <c r="BP359" i="1"/>
  <c r="BO359" i="1"/>
  <c r="BJ359" i="1"/>
  <c r="BI359" i="1"/>
  <c r="BH359" i="1"/>
  <c r="BC359" i="1"/>
  <c r="BB359" i="1"/>
  <c r="BA359" i="1"/>
  <c r="AV359" i="1"/>
  <c r="AU359" i="1"/>
  <c r="AT359" i="1"/>
  <c r="AO359" i="1"/>
  <c r="AN359" i="1"/>
  <c r="AC359" i="1"/>
  <c r="Y359" i="1"/>
  <c r="S359" i="1"/>
  <c r="K359" i="1"/>
  <c r="J359" i="1"/>
  <c r="C359" i="1"/>
  <c r="EV358" i="1"/>
  <c r="EU358" i="1"/>
  <c r="ET358" i="1"/>
  <c r="EC358" i="1"/>
  <c r="DQ358" i="1"/>
  <c r="DK358" i="1"/>
  <c r="DH358" i="1"/>
  <c r="DD358" i="1"/>
  <c r="CW358" i="1"/>
  <c r="CP358" i="1"/>
  <c r="CL358" i="1"/>
  <c r="CG358" i="1"/>
  <c r="CB358" i="1"/>
  <c r="BW358" i="1"/>
  <c r="BV358" i="1"/>
  <c r="BQ358" i="1"/>
  <c r="BP358" i="1"/>
  <c r="BO358" i="1"/>
  <c r="BJ358" i="1"/>
  <c r="BI358" i="1"/>
  <c r="BH358" i="1"/>
  <c r="BC358" i="1"/>
  <c r="BB358" i="1"/>
  <c r="BA358" i="1"/>
  <c r="AV358" i="1"/>
  <c r="AU358" i="1"/>
  <c r="AT358" i="1"/>
  <c r="AO358" i="1"/>
  <c r="AN358" i="1"/>
  <c r="AC358" i="1"/>
  <c r="Y358" i="1"/>
  <c r="S358" i="1"/>
  <c r="K358" i="1"/>
  <c r="J358" i="1"/>
  <c r="C358" i="1"/>
  <c r="EV357" i="1"/>
  <c r="EU357" i="1"/>
  <c r="ET357" i="1"/>
  <c r="EG357" i="1"/>
  <c r="EC357" i="1"/>
  <c r="DQ357" i="1"/>
  <c r="DK357" i="1"/>
  <c r="DH357" i="1"/>
  <c r="DD357" i="1"/>
  <c r="CW357" i="1"/>
  <c r="CP357" i="1"/>
  <c r="CL357" i="1"/>
  <c r="CG357" i="1"/>
  <c r="CB357" i="1"/>
  <c r="BW357" i="1"/>
  <c r="BV357" i="1"/>
  <c r="BQ357" i="1"/>
  <c r="BP357" i="1"/>
  <c r="BO357" i="1"/>
  <c r="BJ357" i="1"/>
  <c r="BI357" i="1"/>
  <c r="BH357" i="1"/>
  <c r="BC357" i="1"/>
  <c r="BB357" i="1"/>
  <c r="BA357" i="1"/>
  <c r="AV357" i="1"/>
  <c r="AU357" i="1"/>
  <c r="AT357" i="1"/>
  <c r="AO357" i="1"/>
  <c r="AN357" i="1"/>
  <c r="AC357" i="1"/>
  <c r="AB357" i="1"/>
  <c r="Y357" i="1"/>
  <c r="S357" i="1"/>
  <c r="K357" i="1"/>
  <c r="J357" i="1"/>
  <c r="C357" i="1"/>
  <c r="EV356" i="1"/>
  <c r="EU356" i="1"/>
  <c r="ET356" i="1"/>
  <c r="EC356" i="1"/>
  <c r="DQ356" i="1"/>
  <c r="DK356" i="1"/>
  <c r="DH356" i="1"/>
  <c r="DD356" i="1"/>
  <c r="CW356" i="1"/>
  <c r="CP356" i="1"/>
  <c r="CL356" i="1"/>
  <c r="CG356" i="1"/>
  <c r="CB356" i="1"/>
  <c r="BW356" i="1"/>
  <c r="BV356" i="1"/>
  <c r="BQ356" i="1"/>
  <c r="BP356" i="1"/>
  <c r="BO356" i="1"/>
  <c r="BJ356" i="1"/>
  <c r="BI356" i="1"/>
  <c r="BH356" i="1"/>
  <c r="BC356" i="1"/>
  <c r="BB356" i="1"/>
  <c r="BA356" i="1"/>
  <c r="AV356" i="1"/>
  <c r="AU356" i="1"/>
  <c r="AT356" i="1"/>
  <c r="AO356" i="1"/>
  <c r="AN356" i="1"/>
  <c r="AC356" i="1"/>
  <c r="Y356" i="1"/>
  <c r="S356" i="1"/>
  <c r="K356" i="1"/>
  <c r="J356" i="1"/>
  <c r="C356" i="1"/>
  <c r="EV355" i="1"/>
  <c r="EU355" i="1"/>
  <c r="ET355" i="1"/>
  <c r="EG355" i="1"/>
  <c r="EC355" i="1"/>
  <c r="DQ355" i="1"/>
  <c r="DK355" i="1"/>
  <c r="DH355" i="1"/>
  <c r="DD355" i="1"/>
  <c r="CW355" i="1"/>
  <c r="CP355" i="1"/>
  <c r="CL355" i="1"/>
  <c r="CG355" i="1"/>
  <c r="CB355" i="1"/>
  <c r="BW355" i="1"/>
  <c r="BV355" i="1"/>
  <c r="BQ355" i="1"/>
  <c r="BP355" i="1"/>
  <c r="BO355" i="1"/>
  <c r="BJ355" i="1"/>
  <c r="BI355" i="1"/>
  <c r="BH355" i="1"/>
  <c r="BC355" i="1"/>
  <c r="BB355" i="1"/>
  <c r="BA355" i="1"/>
  <c r="AV355" i="1"/>
  <c r="AU355" i="1"/>
  <c r="AT355" i="1"/>
  <c r="AO355" i="1"/>
  <c r="AN355" i="1"/>
  <c r="AC355" i="1"/>
  <c r="AB355" i="1"/>
  <c r="Y355" i="1"/>
  <c r="S355" i="1"/>
  <c r="K355" i="1"/>
  <c r="J355" i="1"/>
  <c r="C355" i="1"/>
  <c r="EV354" i="1"/>
  <c r="EU354" i="1"/>
  <c r="ET354" i="1"/>
  <c r="EC354" i="1"/>
  <c r="DY354" i="1"/>
  <c r="DQ354" i="1"/>
  <c r="DK354" i="1"/>
  <c r="DH354" i="1"/>
  <c r="DD354" i="1"/>
  <c r="CW354" i="1"/>
  <c r="CP354" i="1"/>
  <c r="CL354" i="1"/>
  <c r="CG354" i="1"/>
  <c r="CB354" i="1"/>
  <c r="BW354" i="1"/>
  <c r="BV354" i="1"/>
  <c r="BQ354" i="1"/>
  <c r="BP354" i="1"/>
  <c r="BO354" i="1"/>
  <c r="BJ354" i="1"/>
  <c r="BI354" i="1"/>
  <c r="BH354" i="1"/>
  <c r="BC354" i="1"/>
  <c r="BB354" i="1"/>
  <c r="BA354" i="1"/>
  <c r="AV354" i="1"/>
  <c r="AU354" i="1"/>
  <c r="AT354" i="1"/>
  <c r="AO354" i="1"/>
  <c r="AN354" i="1"/>
  <c r="AJ354" i="1"/>
  <c r="AC354" i="1"/>
  <c r="Y354" i="1"/>
  <c r="S354" i="1"/>
  <c r="K354" i="1"/>
  <c r="J354" i="1"/>
  <c r="C354" i="1"/>
  <c r="C353" i="1"/>
  <c r="EV352" i="1"/>
  <c r="EU352" i="1"/>
  <c r="ET352" i="1"/>
  <c r="EG352" i="1"/>
  <c r="EC352" i="1"/>
  <c r="DQ352" i="1"/>
  <c r="DK352" i="1"/>
  <c r="DH352" i="1"/>
  <c r="DD352" i="1"/>
  <c r="CW352" i="1"/>
  <c r="CP352" i="1"/>
  <c r="CL352" i="1"/>
  <c r="CG352" i="1"/>
  <c r="CB352" i="1"/>
  <c r="BW352" i="1"/>
  <c r="BV352" i="1"/>
  <c r="BQ352" i="1"/>
  <c r="BP352" i="1"/>
  <c r="BO352" i="1"/>
  <c r="BJ352" i="1"/>
  <c r="BI352" i="1"/>
  <c r="BH352" i="1"/>
  <c r="BC352" i="1"/>
  <c r="BB352" i="1"/>
  <c r="BA352" i="1"/>
  <c r="AV352" i="1"/>
  <c r="AU352" i="1"/>
  <c r="AT352" i="1"/>
  <c r="AO352" i="1"/>
  <c r="AN352" i="1"/>
  <c r="AC352" i="1"/>
  <c r="AB352" i="1"/>
  <c r="Y352" i="1"/>
  <c r="S352" i="1"/>
  <c r="K352" i="1"/>
  <c r="J352" i="1"/>
  <c r="C352" i="1"/>
  <c r="EV351" i="1"/>
  <c r="EU351" i="1"/>
  <c r="ET351" i="1"/>
  <c r="EC351" i="1"/>
  <c r="DY351" i="1"/>
  <c r="DQ351" i="1"/>
  <c r="DK351" i="1"/>
  <c r="DH351" i="1"/>
  <c r="DD351" i="1"/>
  <c r="CW351" i="1"/>
  <c r="CP351" i="1"/>
  <c r="CL351" i="1"/>
  <c r="CG351" i="1"/>
  <c r="CB351" i="1"/>
  <c r="BW351" i="1"/>
  <c r="BV351" i="1"/>
  <c r="BQ351" i="1"/>
  <c r="BP351" i="1"/>
  <c r="BO351" i="1"/>
  <c r="BJ351" i="1"/>
  <c r="BI351" i="1"/>
  <c r="BH351" i="1"/>
  <c r="BC351" i="1"/>
  <c r="BB351" i="1"/>
  <c r="BA351" i="1"/>
  <c r="AV351" i="1"/>
  <c r="AU351" i="1"/>
  <c r="AT351" i="1"/>
  <c r="AO351" i="1"/>
  <c r="AN351" i="1"/>
  <c r="AJ351" i="1"/>
  <c r="AC351" i="1"/>
  <c r="Y351" i="1"/>
  <c r="S351" i="1"/>
  <c r="K351" i="1"/>
  <c r="J351" i="1"/>
  <c r="C351" i="1"/>
  <c r="EV350" i="1"/>
  <c r="EU350" i="1"/>
  <c r="ET350" i="1"/>
  <c r="EG350" i="1"/>
  <c r="EC350" i="1"/>
  <c r="DY350" i="1"/>
  <c r="DQ350" i="1"/>
  <c r="DK350" i="1"/>
  <c r="DH350" i="1"/>
  <c r="DD350" i="1"/>
  <c r="CW350" i="1"/>
  <c r="CP350" i="1"/>
  <c r="CL350" i="1"/>
  <c r="CG350" i="1"/>
  <c r="CB350" i="1"/>
  <c r="BW350" i="1"/>
  <c r="BV350" i="1"/>
  <c r="BQ350" i="1"/>
  <c r="BP350" i="1"/>
  <c r="BO350" i="1"/>
  <c r="BJ350" i="1"/>
  <c r="BI350" i="1"/>
  <c r="BH350" i="1"/>
  <c r="BC350" i="1"/>
  <c r="BB350" i="1"/>
  <c r="BA350" i="1"/>
  <c r="AV350" i="1"/>
  <c r="AU350" i="1"/>
  <c r="AT350" i="1"/>
  <c r="AO350" i="1"/>
  <c r="AN350" i="1"/>
  <c r="AJ350" i="1"/>
  <c r="AC350" i="1"/>
  <c r="AB350" i="1"/>
  <c r="Y350" i="1"/>
  <c r="S350" i="1"/>
  <c r="K350" i="1"/>
  <c r="J350" i="1"/>
  <c r="C350" i="1"/>
  <c r="EV349" i="1"/>
  <c r="EU349" i="1"/>
  <c r="ET349" i="1"/>
  <c r="EC349" i="1"/>
  <c r="DQ349" i="1"/>
  <c r="DK349" i="1"/>
  <c r="DH349" i="1"/>
  <c r="DD349" i="1"/>
  <c r="CW349" i="1"/>
  <c r="CP349" i="1"/>
  <c r="CL349" i="1"/>
  <c r="CG349" i="1"/>
  <c r="CB349" i="1"/>
  <c r="BW349" i="1"/>
  <c r="BV349" i="1"/>
  <c r="BQ349" i="1"/>
  <c r="BP349" i="1"/>
  <c r="BO349" i="1"/>
  <c r="BJ349" i="1"/>
  <c r="BI349" i="1"/>
  <c r="BH349" i="1"/>
  <c r="BC349" i="1"/>
  <c r="BB349" i="1"/>
  <c r="BA349" i="1"/>
  <c r="AV349" i="1"/>
  <c r="AU349" i="1"/>
  <c r="AT349" i="1"/>
  <c r="AO349" i="1"/>
  <c r="AN349" i="1"/>
  <c r="AC349" i="1"/>
  <c r="Y349" i="1"/>
  <c r="S349" i="1"/>
  <c r="K349" i="1"/>
  <c r="J349" i="1"/>
  <c r="C349" i="1"/>
  <c r="EV348" i="1"/>
  <c r="EU348" i="1"/>
  <c r="ET348" i="1"/>
  <c r="EG348" i="1"/>
  <c r="EC348" i="1"/>
  <c r="DY348" i="1"/>
  <c r="DQ348" i="1"/>
  <c r="DK348" i="1"/>
  <c r="DH348" i="1"/>
  <c r="DD348" i="1"/>
  <c r="CW348" i="1"/>
  <c r="CP348" i="1"/>
  <c r="CL348" i="1"/>
  <c r="CG348" i="1"/>
  <c r="CB348" i="1"/>
  <c r="BW348" i="1"/>
  <c r="BV348" i="1"/>
  <c r="BQ348" i="1"/>
  <c r="BP348" i="1"/>
  <c r="BO348" i="1"/>
  <c r="BJ348" i="1"/>
  <c r="BI348" i="1"/>
  <c r="BH348" i="1"/>
  <c r="BC348" i="1"/>
  <c r="BB348" i="1"/>
  <c r="BA348" i="1"/>
  <c r="AV348" i="1"/>
  <c r="AU348" i="1"/>
  <c r="AT348" i="1"/>
  <c r="AO348" i="1"/>
  <c r="AN348" i="1"/>
  <c r="AJ348" i="1"/>
  <c r="AC348" i="1"/>
  <c r="AB348" i="1"/>
  <c r="Y348" i="1"/>
  <c r="S348" i="1"/>
  <c r="K348" i="1"/>
  <c r="J348" i="1"/>
  <c r="C348" i="1"/>
  <c r="EV347" i="1"/>
  <c r="EU347" i="1"/>
  <c r="ET347" i="1"/>
  <c r="EG347" i="1"/>
  <c r="EC347" i="1"/>
  <c r="DQ347" i="1"/>
  <c r="DK347" i="1"/>
  <c r="DH347" i="1"/>
  <c r="DD347" i="1"/>
  <c r="CW347" i="1"/>
  <c r="CP347" i="1"/>
  <c r="CL347" i="1"/>
  <c r="CG347" i="1"/>
  <c r="CB347" i="1"/>
  <c r="BW347" i="1"/>
  <c r="BV347" i="1"/>
  <c r="BQ347" i="1"/>
  <c r="BP347" i="1"/>
  <c r="BO347" i="1"/>
  <c r="BJ347" i="1"/>
  <c r="BI347" i="1"/>
  <c r="BH347" i="1"/>
  <c r="BC347" i="1"/>
  <c r="BB347" i="1"/>
  <c r="BA347" i="1"/>
  <c r="AV347" i="1"/>
  <c r="AU347" i="1"/>
  <c r="AT347" i="1"/>
  <c r="AO347" i="1"/>
  <c r="AN347" i="1"/>
  <c r="AC347" i="1"/>
  <c r="AB347" i="1"/>
  <c r="Y347" i="1"/>
  <c r="S347" i="1"/>
  <c r="K347" i="1"/>
  <c r="J347" i="1"/>
  <c r="C347" i="1"/>
  <c r="EV346" i="1"/>
  <c r="EU346" i="1"/>
  <c r="ET346" i="1"/>
  <c r="EC346" i="1"/>
  <c r="DY346" i="1"/>
  <c r="DQ346" i="1"/>
  <c r="DK346" i="1"/>
  <c r="DH346" i="1"/>
  <c r="DD346" i="1"/>
  <c r="CW346" i="1"/>
  <c r="CP346" i="1"/>
  <c r="CL346" i="1"/>
  <c r="CG346" i="1"/>
  <c r="CB346" i="1"/>
  <c r="BW346" i="1"/>
  <c r="BV346" i="1"/>
  <c r="BQ346" i="1"/>
  <c r="BP346" i="1"/>
  <c r="BO346" i="1"/>
  <c r="BJ346" i="1"/>
  <c r="BI346" i="1"/>
  <c r="BH346" i="1"/>
  <c r="BC346" i="1"/>
  <c r="BB346" i="1"/>
  <c r="BA346" i="1"/>
  <c r="AV346" i="1"/>
  <c r="AU346" i="1"/>
  <c r="AT346" i="1"/>
  <c r="AO346" i="1"/>
  <c r="AN346" i="1"/>
  <c r="AJ346" i="1"/>
  <c r="AC346" i="1"/>
  <c r="Y346" i="1"/>
  <c r="S346" i="1"/>
  <c r="K346" i="1"/>
  <c r="J346" i="1"/>
  <c r="C346" i="1"/>
  <c r="C345" i="1"/>
  <c r="EV344" i="1"/>
  <c r="EU344" i="1"/>
  <c r="ET344" i="1"/>
  <c r="EG344" i="1"/>
  <c r="EC344" i="1"/>
  <c r="DQ344" i="1"/>
  <c r="DK344" i="1"/>
  <c r="DH344" i="1"/>
  <c r="DD344" i="1"/>
  <c r="CW344" i="1"/>
  <c r="CP344" i="1"/>
  <c r="CL344" i="1"/>
  <c r="CG344" i="1"/>
  <c r="CB344" i="1"/>
  <c r="BW344" i="1"/>
  <c r="BV344" i="1"/>
  <c r="BQ344" i="1"/>
  <c r="BP344" i="1"/>
  <c r="BO344" i="1"/>
  <c r="BJ344" i="1"/>
  <c r="BI344" i="1"/>
  <c r="BH344" i="1"/>
  <c r="BC344" i="1"/>
  <c r="BB344" i="1"/>
  <c r="BA344" i="1"/>
  <c r="AV344" i="1"/>
  <c r="AU344" i="1"/>
  <c r="AT344" i="1"/>
  <c r="AO344" i="1"/>
  <c r="AN344" i="1"/>
  <c r="AC344" i="1"/>
  <c r="AB344" i="1"/>
  <c r="Y344" i="1"/>
  <c r="S344" i="1"/>
  <c r="K344" i="1"/>
  <c r="J344" i="1"/>
  <c r="C344" i="1"/>
  <c r="EV343" i="1"/>
  <c r="EU343" i="1"/>
  <c r="ET343" i="1"/>
  <c r="EG343" i="1"/>
  <c r="EC343" i="1"/>
  <c r="DQ343" i="1"/>
  <c r="DK343" i="1"/>
  <c r="DH343" i="1"/>
  <c r="DD343" i="1"/>
  <c r="CW343" i="1"/>
  <c r="CP343" i="1"/>
  <c r="CL343" i="1"/>
  <c r="CG343" i="1"/>
  <c r="CB343" i="1"/>
  <c r="BW343" i="1"/>
  <c r="BV343" i="1"/>
  <c r="BQ343" i="1"/>
  <c r="BP343" i="1"/>
  <c r="BO343" i="1"/>
  <c r="BJ343" i="1"/>
  <c r="BI343" i="1"/>
  <c r="BH343" i="1"/>
  <c r="BC343" i="1"/>
  <c r="BB343" i="1"/>
  <c r="BA343" i="1"/>
  <c r="AV343" i="1"/>
  <c r="AU343" i="1"/>
  <c r="AT343" i="1"/>
  <c r="AO343" i="1"/>
  <c r="AN343" i="1"/>
  <c r="AC343" i="1"/>
  <c r="AB343" i="1"/>
  <c r="Y343" i="1"/>
  <c r="S343" i="1"/>
  <c r="K343" i="1"/>
  <c r="J343" i="1"/>
  <c r="C343" i="1"/>
  <c r="C342" i="1"/>
  <c r="C341" i="1"/>
  <c r="EV340" i="1"/>
  <c r="EU340" i="1"/>
  <c r="ET340" i="1"/>
  <c r="EG340" i="1"/>
  <c r="EC340" i="1"/>
  <c r="DQ340" i="1"/>
  <c r="DK340" i="1"/>
  <c r="DH340" i="1"/>
  <c r="DD340" i="1"/>
  <c r="CW340" i="1"/>
  <c r="CP340" i="1"/>
  <c r="CL340" i="1"/>
  <c r="CG340" i="1"/>
  <c r="CB340" i="1"/>
  <c r="BW340" i="1"/>
  <c r="BV340" i="1"/>
  <c r="BQ340" i="1"/>
  <c r="BP340" i="1"/>
  <c r="BO340" i="1"/>
  <c r="BJ340" i="1"/>
  <c r="BI340" i="1"/>
  <c r="BH340" i="1"/>
  <c r="BC340" i="1"/>
  <c r="BB340" i="1"/>
  <c r="BA340" i="1"/>
  <c r="AV340" i="1"/>
  <c r="AU340" i="1"/>
  <c r="AT340" i="1"/>
  <c r="AO340" i="1"/>
  <c r="AN340" i="1"/>
  <c r="AC340" i="1"/>
  <c r="AB340" i="1"/>
  <c r="Y340" i="1"/>
  <c r="S340" i="1"/>
  <c r="K340" i="1"/>
  <c r="J340" i="1"/>
  <c r="C340" i="1"/>
  <c r="EV339" i="1"/>
  <c r="EU339" i="1"/>
  <c r="ET339" i="1"/>
  <c r="EC339" i="1"/>
  <c r="DQ339" i="1"/>
  <c r="DK339" i="1"/>
  <c r="DH339" i="1"/>
  <c r="DD339" i="1"/>
  <c r="CW339" i="1"/>
  <c r="CP339" i="1"/>
  <c r="CL339" i="1"/>
  <c r="CG339" i="1"/>
  <c r="CB339" i="1"/>
  <c r="BW339" i="1"/>
  <c r="BV339" i="1"/>
  <c r="BQ339" i="1"/>
  <c r="BP339" i="1"/>
  <c r="BO339" i="1"/>
  <c r="BJ339" i="1"/>
  <c r="BI339" i="1"/>
  <c r="BH339" i="1"/>
  <c r="BC339" i="1"/>
  <c r="BB339" i="1"/>
  <c r="BA339" i="1"/>
  <c r="AV339" i="1"/>
  <c r="AU339" i="1"/>
  <c r="AT339" i="1"/>
  <c r="AO339" i="1"/>
  <c r="AN339" i="1"/>
  <c r="AC339" i="1"/>
  <c r="Y339" i="1"/>
  <c r="S339" i="1"/>
  <c r="K339" i="1"/>
  <c r="J339" i="1"/>
  <c r="C339" i="1"/>
  <c r="EV338" i="1"/>
  <c r="EU338" i="1"/>
  <c r="ET338" i="1"/>
  <c r="EG338" i="1"/>
  <c r="EC338" i="1"/>
  <c r="DQ338" i="1"/>
  <c r="DK338" i="1"/>
  <c r="DH338" i="1"/>
  <c r="DD338" i="1"/>
  <c r="CW338" i="1"/>
  <c r="CP338" i="1"/>
  <c r="CL338" i="1"/>
  <c r="CG338" i="1"/>
  <c r="CB338" i="1"/>
  <c r="BW338" i="1"/>
  <c r="BV338" i="1"/>
  <c r="BQ338" i="1"/>
  <c r="BP338" i="1"/>
  <c r="BO338" i="1"/>
  <c r="BJ338" i="1"/>
  <c r="BI338" i="1"/>
  <c r="BH338" i="1"/>
  <c r="BC338" i="1"/>
  <c r="BB338" i="1"/>
  <c r="BA338" i="1"/>
  <c r="AV338" i="1"/>
  <c r="AU338" i="1"/>
  <c r="AT338" i="1"/>
  <c r="AO338" i="1"/>
  <c r="AN338" i="1"/>
  <c r="AC338" i="1"/>
  <c r="AB338" i="1"/>
  <c r="Y338" i="1"/>
  <c r="S338" i="1"/>
  <c r="K338" i="1"/>
  <c r="J338" i="1"/>
  <c r="C338" i="1"/>
  <c r="EV337" i="1"/>
  <c r="EU337" i="1"/>
  <c r="ET337" i="1"/>
  <c r="EC337" i="1"/>
  <c r="DQ337" i="1"/>
  <c r="DK337" i="1"/>
  <c r="DH337" i="1"/>
  <c r="DD337" i="1"/>
  <c r="CW337" i="1"/>
  <c r="CP337" i="1"/>
  <c r="CL337" i="1"/>
  <c r="CG337" i="1"/>
  <c r="CB337" i="1"/>
  <c r="BW337" i="1"/>
  <c r="BV337" i="1"/>
  <c r="BQ337" i="1"/>
  <c r="BP337" i="1"/>
  <c r="BO337" i="1"/>
  <c r="BJ337" i="1"/>
  <c r="BI337" i="1"/>
  <c r="BH337" i="1"/>
  <c r="BC337" i="1"/>
  <c r="BB337" i="1"/>
  <c r="BA337" i="1"/>
  <c r="AV337" i="1"/>
  <c r="AU337" i="1"/>
  <c r="AT337" i="1"/>
  <c r="AO337" i="1"/>
  <c r="AN337" i="1"/>
  <c r="AC337" i="1"/>
  <c r="Y337" i="1"/>
  <c r="S337" i="1"/>
  <c r="K337" i="1"/>
  <c r="J337" i="1"/>
  <c r="C337" i="1"/>
  <c r="EV336" i="1"/>
  <c r="EU336" i="1"/>
  <c r="ET336" i="1"/>
  <c r="EC336" i="1"/>
  <c r="DQ336" i="1"/>
  <c r="DK336" i="1"/>
  <c r="DH336" i="1"/>
  <c r="DD336" i="1"/>
  <c r="CW336" i="1"/>
  <c r="CP336" i="1"/>
  <c r="CL336" i="1"/>
  <c r="CG336" i="1"/>
  <c r="CB336" i="1"/>
  <c r="BW336" i="1"/>
  <c r="BV336" i="1"/>
  <c r="BQ336" i="1"/>
  <c r="BP336" i="1"/>
  <c r="BO336" i="1"/>
  <c r="BJ336" i="1"/>
  <c r="BI336" i="1"/>
  <c r="BH336" i="1"/>
  <c r="BC336" i="1"/>
  <c r="BB336" i="1"/>
  <c r="BA336" i="1"/>
  <c r="AV336" i="1"/>
  <c r="AU336" i="1"/>
  <c r="AT336" i="1"/>
  <c r="AO336" i="1"/>
  <c r="AN336" i="1"/>
  <c r="AC336" i="1"/>
  <c r="Y336" i="1"/>
  <c r="S336" i="1"/>
  <c r="K336" i="1"/>
  <c r="J336" i="1"/>
  <c r="C336" i="1"/>
  <c r="EV335" i="1"/>
  <c r="EU335" i="1"/>
  <c r="ET335" i="1"/>
  <c r="EG335" i="1"/>
  <c r="EC335" i="1"/>
  <c r="DQ335" i="1"/>
  <c r="DK335" i="1"/>
  <c r="DH335" i="1"/>
  <c r="DD335" i="1"/>
  <c r="CW335" i="1"/>
  <c r="CP335" i="1"/>
  <c r="CL335" i="1"/>
  <c r="CG335" i="1"/>
  <c r="CB335" i="1"/>
  <c r="BW335" i="1"/>
  <c r="BV335" i="1"/>
  <c r="BQ335" i="1"/>
  <c r="BP335" i="1"/>
  <c r="BO335" i="1"/>
  <c r="BJ335" i="1"/>
  <c r="BI335" i="1"/>
  <c r="BH335" i="1"/>
  <c r="BC335" i="1"/>
  <c r="BB335" i="1"/>
  <c r="BA335" i="1"/>
  <c r="AV335" i="1"/>
  <c r="AU335" i="1"/>
  <c r="AT335" i="1"/>
  <c r="AO335" i="1"/>
  <c r="AN335" i="1"/>
  <c r="AC335" i="1"/>
  <c r="AB335" i="1"/>
  <c r="Y335" i="1"/>
  <c r="S335" i="1"/>
  <c r="K335" i="1"/>
  <c r="J335" i="1"/>
  <c r="C335" i="1"/>
  <c r="EV334" i="1"/>
  <c r="EU334" i="1"/>
  <c r="ET334" i="1"/>
  <c r="EC334" i="1"/>
  <c r="DQ334" i="1"/>
  <c r="DK334" i="1"/>
  <c r="DH334" i="1"/>
  <c r="DD334" i="1"/>
  <c r="CW334" i="1"/>
  <c r="CP334" i="1"/>
  <c r="CL334" i="1"/>
  <c r="CG334" i="1"/>
  <c r="CB334" i="1"/>
  <c r="BW334" i="1"/>
  <c r="BV334" i="1"/>
  <c r="BQ334" i="1"/>
  <c r="BP334" i="1"/>
  <c r="BO334" i="1"/>
  <c r="BJ334" i="1"/>
  <c r="BI334" i="1"/>
  <c r="BH334" i="1"/>
  <c r="BC334" i="1"/>
  <c r="BB334" i="1"/>
  <c r="BA334" i="1"/>
  <c r="AV334" i="1"/>
  <c r="AU334" i="1"/>
  <c r="AT334" i="1"/>
  <c r="AO334" i="1"/>
  <c r="AN334" i="1"/>
  <c r="AC334" i="1"/>
  <c r="K334" i="1"/>
  <c r="J334" i="1"/>
  <c r="C334" i="1"/>
  <c r="EV333" i="1"/>
  <c r="EU333" i="1"/>
  <c r="ET333" i="1"/>
  <c r="EC333" i="1"/>
  <c r="DY333" i="1"/>
  <c r="DQ333" i="1"/>
  <c r="DK333" i="1"/>
  <c r="DH333" i="1"/>
  <c r="DD333" i="1"/>
  <c r="CW333" i="1"/>
  <c r="CP333" i="1"/>
  <c r="CL333" i="1"/>
  <c r="CG333" i="1"/>
  <c r="CB333" i="1"/>
  <c r="BW333" i="1"/>
  <c r="BV333" i="1"/>
  <c r="BQ333" i="1"/>
  <c r="BP333" i="1"/>
  <c r="BO333" i="1"/>
  <c r="BJ333" i="1"/>
  <c r="BI333" i="1"/>
  <c r="BH333" i="1"/>
  <c r="BC333" i="1"/>
  <c r="BB333" i="1"/>
  <c r="BA333" i="1"/>
  <c r="AV333" i="1"/>
  <c r="AU333" i="1"/>
  <c r="AT333" i="1"/>
  <c r="AO333" i="1"/>
  <c r="AN333" i="1"/>
  <c r="AJ333" i="1"/>
  <c r="AC333" i="1"/>
  <c r="Y333" i="1"/>
  <c r="S333" i="1"/>
  <c r="K333" i="1"/>
  <c r="J333" i="1"/>
  <c r="C333" i="1"/>
  <c r="EV332" i="1"/>
  <c r="EU332" i="1"/>
  <c r="ET332" i="1"/>
  <c r="EG332" i="1"/>
  <c r="EC332" i="1"/>
  <c r="DQ332" i="1"/>
  <c r="DK332" i="1"/>
  <c r="DH332" i="1"/>
  <c r="DD332" i="1"/>
  <c r="CW332" i="1"/>
  <c r="CP332" i="1"/>
  <c r="CL332" i="1"/>
  <c r="CG332" i="1"/>
  <c r="CB332" i="1"/>
  <c r="BW332" i="1"/>
  <c r="BV332" i="1"/>
  <c r="BQ332" i="1"/>
  <c r="BP332" i="1"/>
  <c r="BO332" i="1"/>
  <c r="BJ332" i="1"/>
  <c r="BI332" i="1"/>
  <c r="BH332" i="1"/>
  <c r="BC332" i="1"/>
  <c r="BB332" i="1"/>
  <c r="BA332" i="1"/>
  <c r="AV332" i="1"/>
  <c r="AU332" i="1"/>
  <c r="AT332" i="1"/>
  <c r="AO332" i="1"/>
  <c r="AN332" i="1"/>
  <c r="AC332" i="1"/>
  <c r="AB332" i="1"/>
  <c r="Y332" i="1"/>
  <c r="S332" i="1"/>
  <c r="K332" i="1"/>
  <c r="J332" i="1"/>
  <c r="C332" i="1"/>
  <c r="EV331" i="1"/>
  <c r="EU331" i="1"/>
  <c r="ET331" i="1"/>
  <c r="EC331" i="1"/>
  <c r="DQ331" i="1"/>
  <c r="DK331" i="1"/>
  <c r="DH331" i="1"/>
  <c r="DD331" i="1"/>
  <c r="CW331" i="1"/>
  <c r="CP331" i="1"/>
  <c r="CL331" i="1"/>
  <c r="CG331" i="1"/>
  <c r="CB331" i="1"/>
  <c r="BW331" i="1"/>
  <c r="BV331" i="1"/>
  <c r="BQ331" i="1"/>
  <c r="BP331" i="1"/>
  <c r="BO331" i="1"/>
  <c r="BJ331" i="1"/>
  <c r="BI331" i="1"/>
  <c r="BH331" i="1"/>
  <c r="BC331" i="1"/>
  <c r="BB331" i="1"/>
  <c r="BA331" i="1"/>
  <c r="AV331" i="1"/>
  <c r="AU331" i="1"/>
  <c r="AT331" i="1"/>
  <c r="AO331" i="1"/>
  <c r="AN331" i="1"/>
  <c r="AC331" i="1"/>
  <c r="Y331" i="1"/>
  <c r="S331" i="1"/>
  <c r="K331" i="1"/>
  <c r="J331" i="1"/>
  <c r="C331" i="1"/>
  <c r="C330" i="1"/>
  <c r="EV329" i="1"/>
  <c r="EU329" i="1"/>
  <c r="ET329" i="1"/>
  <c r="EG329" i="1"/>
  <c r="EC329" i="1"/>
  <c r="DQ329" i="1"/>
  <c r="DK329" i="1"/>
  <c r="DH329" i="1"/>
  <c r="DD329" i="1"/>
  <c r="CW329" i="1"/>
  <c r="CP329" i="1"/>
  <c r="CL329" i="1"/>
  <c r="CG329" i="1"/>
  <c r="CB329" i="1"/>
  <c r="BW329" i="1"/>
  <c r="BV329" i="1"/>
  <c r="BQ329" i="1"/>
  <c r="BP329" i="1"/>
  <c r="BO329" i="1"/>
  <c r="BJ329" i="1"/>
  <c r="BI329" i="1"/>
  <c r="BH329" i="1"/>
  <c r="BC329" i="1"/>
  <c r="BB329" i="1"/>
  <c r="BA329" i="1"/>
  <c r="AV329" i="1"/>
  <c r="AU329" i="1"/>
  <c r="AT329" i="1"/>
  <c r="AO329" i="1"/>
  <c r="AN329" i="1"/>
  <c r="AC329" i="1"/>
  <c r="AB329" i="1"/>
  <c r="Y329" i="1"/>
  <c r="S329" i="1"/>
  <c r="K329" i="1"/>
  <c r="J329" i="1"/>
  <c r="C329" i="1"/>
  <c r="EV328" i="1"/>
  <c r="EU328" i="1"/>
  <c r="ET328" i="1"/>
  <c r="EC328" i="1"/>
  <c r="DQ328" i="1"/>
  <c r="DK328" i="1"/>
  <c r="DH328" i="1"/>
  <c r="DD328" i="1"/>
  <c r="CW328" i="1"/>
  <c r="CP328" i="1"/>
  <c r="CL328" i="1"/>
  <c r="CG328" i="1"/>
  <c r="CB328" i="1"/>
  <c r="BW328" i="1"/>
  <c r="BV328" i="1"/>
  <c r="BQ328" i="1"/>
  <c r="BP328" i="1"/>
  <c r="BO328" i="1"/>
  <c r="BJ328" i="1"/>
  <c r="BI328" i="1"/>
  <c r="BH328" i="1"/>
  <c r="BC328" i="1"/>
  <c r="BB328" i="1"/>
  <c r="BA328" i="1"/>
  <c r="AV328" i="1"/>
  <c r="AU328" i="1"/>
  <c r="AT328" i="1"/>
  <c r="AO328" i="1"/>
  <c r="AN328" i="1"/>
  <c r="AC328" i="1"/>
  <c r="Y328" i="1"/>
  <c r="S328" i="1"/>
  <c r="K328" i="1"/>
  <c r="J328" i="1"/>
  <c r="C328" i="1"/>
  <c r="EV327" i="1"/>
  <c r="EU327" i="1"/>
  <c r="ET327" i="1"/>
  <c r="EC327" i="1"/>
  <c r="DQ327" i="1"/>
  <c r="DK327" i="1"/>
  <c r="DH327" i="1"/>
  <c r="DD327" i="1"/>
  <c r="CW327" i="1"/>
  <c r="CP327" i="1"/>
  <c r="CL327" i="1"/>
  <c r="CG327" i="1"/>
  <c r="CB327" i="1"/>
  <c r="BW327" i="1"/>
  <c r="BV327" i="1"/>
  <c r="BQ327" i="1"/>
  <c r="BP327" i="1"/>
  <c r="BO327" i="1"/>
  <c r="BJ327" i="1"/>
  <c r="BI327" i="1"/>
  <c r="BH327" i="1"/>
  <c r="BC327" i="1"/>
  <c r="BB327" i="1"/>
  <c r="BA327" i="1"/>
  <c r="AV327" i="1"/>
  <c r="AU327" i="1"/>
  <c r="AT327" i="1"/>
  <c r="AO327" i="1"/>
  <c r="AN327" i="1"/>
  <c r="AC327" i="1"/>
  <c r="Y327" i="1"/>
  <c r="S327" i="1"/>
  <c r="K327" i="1"/>
  <c r="J327" i="1"/>
  <c r="C327" i="1"/>
  <c r="EV326" i="1"/>
  <c r="EU326" i="1"/>
  <c r="ET326" i="1"/>
  <c r="EC326" i="1"/>
  <c r="DQ326" i="1"/>
  <c r="DK326" i="1"/>
  <c r="DH326" i="1"/>
  <c r="DD326" i="1"/>
  <c r="CW326" i="1"/>
  <c r="CP326" i="1"/>
  <c r="CL326" i="1"/>
  <c r="CG326" i="1"/>
  <c r="CB326" i="1"/>
  <c r="BW326" i="1"/>
  <c r="BV326" i="1"/>
  <c r="BQ326" i="1"/>
  <c r="BP326" i="1"/>
  <c r="BO326" i="1"/>
  <c r="BJ326" i="1"/>
  <c r="BI326" i="1"/>
  <c r="BH326" i="1"/>
  <c r="BC326" i="1"/>
  <c r="BB326" i="1"/>
  <c r="BA326" i="1"/>
  <c r="AV326" i="1"/>
  <c r="AU326" i="1"/>
  <c r="AT326" i="1"/>
  <c r="AO326" i="1"/>
  <c r="AN326" i="1"/>
  <c r="AC326" i="1"/>
  <c r="Y326" i="1"/>
  <c r="S326" i="1"/>
  <c r="K326" i="1"/>
  <c r="J326" i="1"/>
  <c r="C326" i="1"/>
  <c r="EV325" i="1"/>
  <c r="EU325" i="1"/>
  <c r="ET325" i="1"/>
  <c r="EC325" i="1"/>
  <c r="DQ325" i="1"/>
  <c r="DK325" i="1"/>
  <c r="DH325" i="1"/>
  <c r="DD325" i="1"/>
  <c r="CW325" i="1"/>
  <c r="CP325" i="1"/>
  <c r="CL325" i="1"/>
  <c r="CG325" i="1"/>
  <c r="CB325" i="1"/>
  <c r="BW325" i="1"/>
  <c r="BV325" i="1"/>
  <c r="BQ325" i="1"/>
  <c r="BP325" i="1"/>
  <c r="BO325" i="1"/>
  <c r="BJ325" i="1"/>
  <c r="BI325" i="1"/>
  <c r="BH325" i="1"/>
  <c r="BC325" i="1"/>
  <c r="BB325" i="1"/>
  <c r="BA325" i="1"/>
  <c r="AV325" i="1"/>
  <c r="AU325" i="1"/>
  <c r="AT325" i="1"/>
  <c r="AO325" i="1"/>
  <c r="AN325" i="1"/>
  <c r="AC325" i="1"/>
  <c r="Y325" i="1"/>
  <c r="S325" i="1"/>
  <c r="K325" i="1"/>
  <c r="J325" i="1"/>
  <c r="C325" i="1"/>
  <c r="EV324" i="1"/>
  <c r="EU324" i="1"/>
  <c r="ET324" i="1"/>
  <c r="EC324" i="1"/>
  <c r="DQ324" i="1"/>
  <c r="DK324" i="1"/>
  <c r="DH324" i="1"/>
  <c r="DD324" i="1"/>
  <c r="CW324" i="1"/>
  <c r="CP324" i="1"/>
  <c r="CL324" i="1"/>
  <c r="CG324" i="1"/>
  <c r="CB324" i="1"/>
  <c r="BW324" i="1"/>
  <c r="BV324" i="1"/>
  <c r="BQ324" i="1"/>
  <c r="BP324" i="1"/>
  <c r="BO324" i="1"/>
  <c r="BJ324" i="1"/>
  <c r="BI324" i="1"/>
  <c r="BH324" i="1"/>
  <c r="BC324" i="1"/>
  <c r="BB324" i="1"/>
  <c r="BA324" i="1"/>
  <c r="AV324" i="1"/>
  <c r="AU324" i="1"/>
  <c r="AT324" i="1"/>
  <c r="AO324" i="1"/>
  <c r="AN324" i="1"/>
  <c r="AC324" i="1"/>
  <c r="Y324" i="1"/>
  <c r="S324" i="1"/>
  <c r="K324" i="1"/>
  <c r="J324" i="1"/>
  <c r="C324" i="1"/>
  <c r="EV323" i="1"/>
  <c r="EU323" i="1"/>
  <c r="ET323" i="1"/>
  <c r="EC323" i="1"/>
  <c r="DQ323" i="1"/>
  <c r="DK323" i="1"/>
  <c r="DH323" i="1"/>
  <c r="DD323" i="1"/>
  <c r="CW323" i="1"/>
  <c r="CP323" i="1"/>
  <c r="CL323" i="1"/>
  <c r="CG323" i="1"/>
  <c r="CB323" i="1"/>
  <c r="BW323" i="1"/>
  <c r="BV323" i="1"/>
  <c r="BQ323" i="1"/>
  <c r="BP323" i="1"/>
  <c r="BO323" i="1"/>
  <c r="BJ323" i="1"/>
  <c r="BI323" i="1"/>
  <c r="BH323" i="1"/>
  <c r="BC323" i="1"/>
  <c r="BB323" i="1"/>
  <c r="BA323" i="1"/>
  <c r="AV323" i="1"/>
  <c r="AU323" i="1"/>
  <c r="AT323" i="1"/>
  <c r="AO323" i="1"/>
  <c r="AN323" i="1"/>
  <c r="AC323" i="1"/>
  <c r="Y323" i="1"/>
  <c r="S323" i="1"/>
  <c r="K323" i="1"/>
  <c r="J323" i="1"/>
  <c r="C323" i="1"/>
  <c r="EV322" i="1"/>
  <c r="EU322" i="1"/>
  <c r="ET322" i="1"/>
  <c r="EG322" i="1"/>
  <c r="EC322" i="1"/>
  <c r="DQ322" i="1"/>
  <c r="DK322" i="1"/>
  <c r="DH322" i="1"/>
  <c r="DD322" i="1"/>
  <c r="CW322" i="1"/>
  <c r="CP322" i="1"/>
  <c r="CL322" i="1"/>
  <c r="CG322" i="1"/>
  <c r="CB322" i="1"/>
  <c r="BW322" i="1"/>
  <c r="BV322" i="1"/>
  <c r="BQ322" i="1"/>
  <c r="BP322" i="1"/>
  <c r="BO322" i="1"/>
  <c r="BJ322" i="1"/>
  <c r="BI322" i="1"/>
  <c r="BH322" i="1"/>
  <c r="BC322" i="1"/>
  <c r="BB322" i="1"/>
  <c r="BA322" i="1"/>
  <c r="AV322" i="1"/>
  <c r="AU322" i="1"/>
  <c r="AT322" i="1"/>
  <c r="AO322" i="1"/>
  <c r="AN322" i="1"/>
  <c r="AC322" i="1"/>
  <c r="AB322" i="1"/>
  <c r="Y322" i="1"/>
  <c r="S322" i="1"/>
  <c r="K322" i="1"/>
  <c r="J322" i="1"/>
  <c r="C322" i="1"/>
  <c r="EV321" i="1"/>
  <c r="EU321" i="1"/>
  <c r="ET321" i="1"/>
  <c r="EG321" i="1"/>
  <c r="EC321" i="1"/>
  <c r="DQ321" i="1"/>
  <c r="DK321" i="1"/>
  <c r="DH321" i="1"/>
  <c r="DD321" i="1"/>
  <c r="CW321" i="1"/>
  <c r="CP321" i="1"/>
  <c r="CL321" i="1"/>
  <c r="CG321" i="1"/>
  <c r="CB321" i="1"/>
  <c r="BW321" i="1"/>
  <c r="BV321" i="1"/>
  <c r="BQ321" i="1"/>
  <c r="BP321" i="1"/>
  <c r="BO321" i="1"/>
  <c r="BJ321" i="1"/>
  <c r="BI321" i="1"/>
  <c r="BH321" i="1"/>
  <c r="BC321" i="1"/>
  <c r="BB321" i="1"/>
  <c r="BA321" i="1"/>
  <c r="AV321" i="1"/>
  <c r="AU321" i="1"/>
  <c r="AT321" i="1"/>
  <c r="AO321" i="1"/>
  <c r="AN321" i="1"/>
  <c r="AC321" i="1"/>
  <c r="AB321" i="1"/>
  <c r="Y321" i="1"/>
  <c r="S321" i="1"/>
  <c r="K321" i="1"/>
  <c r="J321" i="1"/>
  <c r="C321" i="1"/>
  <c r="EV320" i="1"/>
  <c r="EU320" i="1"/>
  <c r="ET320" i="1"/>
  <c r="EC320" i="1"/>
  <c r="DQ320" i="1"/>
  <c r="DK320" i="1"/>
  <c r="DH320" i="1"/>
  <c r="DD320" i="1"/>
  <c r="CW320" i="1"/>
  <c r="CP320" i="1"/>
  <c r="CL320" i="1"/>
  <c r="CG320" i="1"/>
  <c r="CB320" i="1"/>
  <c r="BW320" i="1"/>
  <c r="BV320" i="1"/>
  <c r="BQ320" i="1"/>
  <c r="BP320" i="1"/>
  <c r="BO320" i="1"/>
  <c r="BJ320" i="1"/>
  <c r="BI320" i="1"/>
  <c r="BH320" i="1"/>
  <c r="BC320" i="1"/>
  <c r="BB320" i="1"/>
  <c r="BA320" i="1"/>
  <c r="AV320" i="1"/>
  <c r="AU320" i="1"/>
  <c r="AT320" i="1"/>
  <c r="AO320" i="1"/>
  <c r="AN320" i="1"/>
  <c r="AC320" i="1"/>
  <c r="Y320" i="1"/>
  <c r="S320" i="1"/>
  <c r="K320" i="1"/>
  <c r="J320" i="1"/>
  <c r="C320" i="1"/>
  <c r="EV319" i="1"/>
  <c r="EU319" i="1"/>
  <c r="ET319" i="1"/>
  <c r="EC319" i="1"/>
  <c r="DQ319" i="1"/>
  <c r="DK319" i="1"/>
  <c r="DH319" i="1"/>
  <c r="DD319" i="1"/>
  <c r="CW319" i="1"/>
  <c r="CP319" i="1"/>
  <c r="CL319" i="1"/>
  <c r="CG319" i="1"/>
  <c r="CB319" i="1"/>
  <c r="BW319" i="1"/>
  <c r="BV319" i="1"/>
  <c r="BQ319" i="1"/>
  <c r="BP319" i="1"/>
  <c r="BO319" i="1"/>
  <c r="BJ319" i="1"/>
  <c r="BI319" i="1"/>
  <c r="BH319" i="1"/>
  <c r="BC319" i="1"/>
  <c r="BB319" i="1"/>
  <c r="BA319" i="1"/>
  <c r="AV319" i="1"/>
  <c r="AU319" i="1"/>
  <c r="AT319" i="1"/>
  <c r="AO319" i="1"/>
  <c r="AN319" i="1"/>
  <c r="AC319" i="1"/>
  <c r="Y319" i="1"/>
  <c r="S319" i="1"/>
  <c r="K319" i="1"/>
  <c r="J319" i="1"/>
  <c r="C319" i="1"/>
  <c r="EV318" i="1"/>
  <c r="EU318" i="1"/>
  <c r="ET318" i="1"/>
  <c r="EC318" i="1"/>
  <c r="DY318" i="1"/>
  <c r="DQ318" i="1"/>
  <c r="DK318" i="1"/>
  <c r="DH318" i="1"/>
  <c r="DD318" i="1"/>
  <c r="CW318" i="1"/>
  <c r="CP318" i="1"/>
  <c r="CL318" i="1"/>
  <c r="CG318" i="1"/>
  <c r="CB318" i="1"/>
  <c r="BW318" i="1"/>
  <c r="BV318" i="1"/>
  <c r="BQ318" i="1"/>
  <c r="BP318" i="1"/>
  <c r="BO318" i="1"/>
  <c r="BJ318" i="1"/>
  <c r="BI318" i="1"/>
  <c r="BH318" i="1"/>
  <c r="BC318" i="1"/>
  <c r="BB318" i="1"/>
  <c r="BA318" i="1"/>
  <c r="AV318" i="1"/>
  <c r="AU318" i="1"/>
  <c r="AT318" i="1"/>
  <c r="AO318" i="1"/>
  <c r="AN318" i="1"/>
  <c r="AJ318" i="1"/>
  <c r="AC318" i="1"/>
  <c r="Y318" i="1"/>
  <c r="S318" i="1"/>
  <c r="K318" i="1"/>
  <c r="J318" i="1"/>
  <c r="C318" i="1"/>
  <c r="EV317" i="1"/>
  <c r="EU317" i="1"/>
  <c r="ET317" i="1"/>
  <c r="EG317" i="1"/>
  <c r="EC317" i="1"/>
  <c r="DQ317" i="1"/>
  <c r="DK317" i="1"/>
  <c r="DH317" i="1"/>
  <c r="DD317" i="1"/>
  <c r="CW317" i="1"/>
  <c r="CP317" i="1"/>
  <c r="CL317" i="1"/>
  <c r="CG317" i="1"/>
  <c r="CB317" i="1"/>
  <c r="BW317" i="1"/>
  <c r="BV317" i="1"/>
  <c r="BQ317" i="1"/>
  <c r="BP317" i="1"/>
  <c r="BO317" i="1"/>
  <c r="BJ317" i="1"/>
  <c r="BI317" i="1"/>
  <c r="BH317" i="1"/>
  <c r="BC317" i="1"/>
  <c r="BB317" i="1"/>
  <c r="BA317" i="1"/>
  <c r="AV317" i="1"/>
  <c r="AU317" i="1"/>
  <c r="AT317" i="1"/>
  <c r="AO317" i="1"/>
  <c r="AN317" i="1"/>
  <c r="AC317" i="1"/>
  <c r="AB317" i="1"/>
  <c r="Y317" i="1"/>
  <c r="S317" i="1"/>
  <c r="K317" i="1"/>
  <c r="J317" i="1"/>
  <c r="C317" i="1"/>
  <c r="EV316" i="1"/>
  <c r="EU316" i="1"/>
  <c r="ET316" i="1"/>
  <c r="EC316" i="1"/>
  <c r="DQ316" i="1"/>
  <c r="DK316" i="1"/>
  <c r="DH316" i="1"/>
  <c r="DD316" i="1"/>
  <c r="CW316" i="1"/>
  <c r="CP316" i="1"/>
  <c r="CL316" i="1"/>
  <c r="CG316" i="1"/>
  <c r="CB316" i="1"/>
  <c r="BW316" i="1"/>
  <c r="BV316" i="1"/>
  <c r="BQ316" i="1"/>
  <c r="BP316" i="1"/>
  <c r="BO316" i="1"/>
  <c r="BJ316" i="1"/>
  <c r="BI316" i="1"/>
  <c r="BH316" i="1"/>
  <c r="BC316" i="1"/>
  <c r="BB316" i="1"/>
  <c r="BA316" i="1"/>
  <c r="AV316" i="1"/>
  <c r="AU316" i="1"/>
  <c r="AT316" i="1"/>
  <c r="AO316" i="1"/>
  <c r="AN316" i="1"/>
  <c r="AC316" i="1"/>
  <c r="Y316" i="1"/>
  <c r="S316" i="1"/>
  <c r="K316" i="1"/>
  <c r="J316" i="1"/>
  <c r="C316" i="1"/>
  <c r="EV315" i="1"/>
  <c r="EU315" i="1"/>
  <c r="ET315" i="1"/>
  <c r="EC315" i="1"/>
  <c r="DQ315" i="1"/>
  <c r="DK315" i="1"/>
  <c r="DH315" i="1"/>
  <c r="DD315" i="1"/>
  <c r="CW315" i="1"/>
  <c r="CP315" i="1"/>
  <c r="CL315" i="1"/>
  <c r="CG315" i="1"/>
  <c r="CB315" i="1"/>
  <c r="BW315" i="1"/>
  <c r="BV315" i="1"/>
  <c r="BQ315" i="1"/>
  <c r="BP315" i="1"/>
  <c r="BO315" i="1"/>
  <c r="BJ315" i="1"/>
  <c r="BI315" i="1"/>
  <c r="BH315" i="1"/>
  <c r="BC315" i="1"/>
  <c r="BB315" i="1"/>
  <c r="BA315" i="1"/>
  <c r="AV315" i="1"/>
  <c r="AU315" i="1"/>
  <c r="AT315" i="1"/>
  <c r="AO315" i="1"/>
  <c r="AN315" i="1"/>
  <c r="AC315" i="1"/>
  <c r="Y315" i="1"/>
  <c r="S315" i="1"/>
  <c r="K315" i="1"/>
  <c r="J315" i="1"/>
  <c r="C315" i="1"/>
  <c r="EV314" i="1"/>
  <c r="EU314" i="1"/>
  <c r="ET314" i="1"/>
  <c r="EG314" i="1"/>
  <c r="EC314" i="1"/>
  <c r="DY314" i="1"/>
  <c r="DQ314" i="1"/>
  <c r="DK314" i="1"/>
  <c r="DH314" i="1"/>
  <c r="DD314" i="1"/>
  <c r="CW314" i="1"/>
  <c r="CP314" i="1"/>
  <c r="CL314" i="1"/>
  <c r="CG314" i="1"/>
  <c r="CB314" i="1"/>
  <c r="BW314" i="1"/>
  <c r="BV314" i="1"/>
  <c r="BQ314" i="1"/>
  <c r="BP314" i="1"/>
  <c r="BO314" i="1"/>
  <c r="BJ314" i="1"/>
  <c r="BI314" i="1"/>
  <c r="BH314" i="1"/>
  <c r="BC314" i="1"/>
  <c r="BB314" i="1"/>
  <c r="BA314" i="1"/>
  <c r="AV314" i="1"/>
  <c r="AU314" i="1"/>
  <c r="AT314" i="1"/>
  <c r="AO314" i="1"/>
  <c r="AN314" i="1"/>
  <c r="AJ314" i="1"/>
  <c r="AC314" i="1"/>
  <c r="AB314" i="1"/>
  <c r="Y314" i="1"/>
  <c r="S314" i="1"/>
  <c r="K314" i="1"/>
  <c r="J314" i="1"/>
  <c r="C314" i="1"/>
  <c r="EV313" i="1"/>
  <c r="EU313" i="1"/>
  <c r="ET313" i="1"/>
  <c r="EG313" i="1"/>
  <c r="EC313" i="1"/>
  <c r="DY313" i="1"/>
  <c r="DQ313" i="1"/>
  <c r="DK313" i="1"/>
  <c r="DH313" i="1"/>
  <c r="DD313" i="1"/>
  <c r="CW313" i="1"/>
  <c r="CP313" i="1"/>
  <c r="CL313" i="1"/>
  <c r="CG313" i="1"/>
  <c r="CB313" i="1"/>
  <c r="BW313" i="1"/>
  <c r="BV313" i="1"/>
  <c r="BQ313" i="1"/>
  <c r="BP313" i="1"/>
  <c r="BO313" i="1"/>
  <c r="BJ313" i="1"/>
  <c r="BI313" i="1"/>
  <c r="BH313" i="1"/>
  <c r="BC313" i="1"/>
  <c r="BB313" i="1"/>
  <c r="BA313" i="1"/>
  <c r="AV313" i="1"/>
  <c r="AU313" i="1"/>
  <c r="AT313" i="1"/>
  <c r="AO313" i="1"/>
  <c r="AN313" i="1"/>
  <c r="AJ313" i="1"/>
  <c r="AC313" i="1"/>
  <c r="AB313" i="1"/>
  <c r="Y313" i="1"/>
  <c r="S313" i="1"/>
  <c r="K313" i="1"/>
  <c r="J313" i="1"/>
  <c r="C313" i="1"/>
  <c r="EV312" i="1"/>
  <c r="EU312" i="1"/>
  <c r="ET312" i="1"/>
  <c r="EC312" i="1"/>
  <c r="DQ312" i="1"/>
  <c r="DK312" i="1"/>
  <c r="DH312" i="1"/>
  <c r="DD312" i="1"/>
  <c r="CW312" i="1"/>
  <c r="CP312" i="1"/>
  <c r="CL312" i="1"/>
  <c r="CG312" i="1"/>
  <c r="CB312" i="1"/>
  <c r="BW312" i="1"/>
  <c r="BV312" i="1"/>
  <c r="BQ312" i="1"/>
  <c r="BP312" i="1"/>
  <c r="BO312" i="1"/>
  <c r="BJ312" i="1"/>
  <c r="BI312" i="1"/>
  <c r="BH312" i="1"/>
  <c r="BC312" i="1"/>
  <c r="BB312" i="1"/>
  <c r="BA312" i="1"/>
  <c r="AV312" i="1"/>
  <c r="AU312" i="1"/>
  <c r="AT312" i="1"/>
  <c r="AO312" i="1"/>
  <c r="AN312" i="1"/>
  <c r="AC312" i="1"/>
  <c r="Y312" i="1"/>
  <c r="S312" i="1"/>
  <c r="K312" i="1"/>
  <c r="J312" i="1"/>
  <c r="C312" i="1"/>
  <c r="EV311" i="1"/>
  <c r="EU311" i="1"/>
  <c r="ET311" i="1"/>
  <c r="EG311" i="1"/>
  <c r="EC311" i="1"/>
  <c r="DQ311" i="1"/>
  <c r="DK311" i="1"/>
  <c r="DH311" i="1"/>
  <c r="DD311" i="1"/>
  <c r="CW311" i="1"/>
  <c r="CP311" i="1"/>
  <c r="CL311" i="1"/>
  <c r="CG311" i="1"/>
  <c r="CB311" i="1"/>
  <c r="BW311" i="1"/>
  <c r="BV311" i="1"/>
  <c r="BQ311" i="1"/>
  <c r="BP311" i="1"/>
  <c r="BO311" i="1"/>
  <c r="BJ311" i="1"/>
  <c r="BI311" i="1"/>
  <c r="BH311" i="1"/>
  <c r="BC311" i="1"/>
  <c r="BB311" i="1"/>
  <c r="BA311" i="1"/>
  <c r="AV311" i="1"/>
  <c r="AU311" i="1"/>
  <c r="AT311" i="1"/>
  <c r="AO311" i="1"/>
  <c r="AN311" i="1"/>
  <c r="AC311" i="1"/>
  <c r="AB311" i="1"/>
  <c r="Y311" i="1"/>
  <c r="S311" i="1"/>
  <c r="K311" i="1"/>
  <c r="J311" i="1"/>
  <c r="C311" i="1"/>
  <c r="EV310" i="1"/>
  <c r="EU310" i="1"/>
  <c r="ET310" i="1"/>
  <c r="EG310" i="1"/>
  <c r="EC310" i="1"/>
  <c r="DQ310" i="1"/>
  <c r="DK310" i="1"/>
  <c r="DH310" i="1"/>
  <c r="DD310" i="1"/>
  <c r="CW310" i="1"/>
  <c r="CP310" i="1"/>
  <c r="CL310" i="1"/>
  <c r="CG310" i="1"/>
  <c r="CB310" i="1"/>
  <c r="BW310" i="1"/>
  <c r="BV310" i="1"/>
  <c r="BQ310" i="1"/>
  <c r="BP310" i="1"/>
  <c r="BO310" i="1"/>
  <c r="BJ310" i="1"/>
  <c r="BI310" i="1"/>
  <c r="BH310" i="1"/>
  <c r="BC310" i="1"/>
  <c r="BB310" i="1"/>
  <c r="BA310" i="1"/>
  <c r="AV310" i="1"/>
  <c r="AU310" i="1"/>
  <c r="AT310" i="1"/>
  <c r="AO310" i="1"/>
  <c r="AN310" i="1"/>
  <c r="AC310" i="1"/>
  <c r="AB310" i="1"/>
  <c r="Y310" i="1"/>
  <c r="S310" i="1"/>
  <c r="K310" i="1"/>
  <c r="J310" i="1"/>
  <c r="C310" i="1"/>
  <c r="EV309" i="1"/>
  <c r="EU309" i="1"/>
  <c r="ET309" i="1"/>
  <c r="EG309" i="1"/>
  <c r="EC309" i="1"/>
  <c r="DQ309" i="1"/>
  <c r="DK309" i="1"/>
  <c r="DH309" i="1"/>
  <c r="DD309" i="1"/>
  <c r="CW309" i="1"/>
  <c r="CP309" i="1"/>
  <c r="CL309" i="1"/>
  <c r="CG309" i="1"/>
  <c r="CB309" i="1"/>
  <c r="BW309" i="1"/>
  <c r="BV309" i="1"/>
  <c r="BQ309" i="1"/>
  <c r="BP309" i="1"/>
  <c r="BO309" i="1"/>
  <c r="BJ309" i="1"/>
  <c r="BI309" i="1"/>
  <c r="BH309" i="1"/>
  <c r="BC309" i="1"/>
  <c r="BB309" i="1"/>
  <c r="BA309" i="1"/>
  <c r="AV309" i="1"/>
  <c r="AU309" i="1"/>
  <c r="AT309" i="1"/>
  <c r="AO309" i="1"/>
  <c r="AN309" i="1"/>
  <c r="AC309" i="1"/>
  <c r="AB309" i="1"/>
  <c r="Y309" i="1"/>
  <c r="S309" i="1"/>
  <c r="K309" i="1"/>
  <c r="J309" i="1"/>
  <c r="C309" i="1"/>
  <c r="EV308" i="1"/>
  <c r="EU308" i="1"/>
  <c r="ET308" i="1"/>
  <c r="EC308" i="1"/>
  <c r="DQ308" i="1"/>
  <c r="DK308" i="1"/>
  <c r="DH308" i="1"/>
  <c r="DD308" i="1"/>
  <c r="CW308" i="1"/>
  <c r="CP308" i="1"/>
  <c r="CL308" i="1"/>
  <c r="CG308" i="1"/>
  <c r="CB308" i="1"/>
  <c r="BW308" i="1"/>
  <c r="BV308" i="1"/>
  <c r="BQ308" i="1"/>
  <c r="BP308" i="1"/>
  <c r="BO308" i="1"/>
  <c r="BJ308" i="1"/>
  <c r="BI308" i="1"/>
  <c r="BH308" i="1"/>
  <c r="BC308" i="1"/>
  <c r="BB308" i="1"/>
  <c r="BA308" i="1"/>
  <c r="AV308" i="1"/>
  <c r="AU308" i="1"/>
  <c r="AT308" i="1"/>
  <c r="AO308" i="1"/>
  <c r="AN308" i="1"/>
  <c r="AC308" i="1"/>
  <c r="Y308" i="1"/>
  <c r="S308" i="1"/>
  <c r="K308" i="1"/>
  <c r="J308" i="1"/>
  <c r="C308" i="1"/>
  <c r="EV307" i="1"/>
  <c r="EU307" i="1"/>
  <c r="ET307" i="1"/>
  <c r="EG307" i="1"/>
  <c r="EC307" i="1"/>
  <c r="DQ307" i="1"/>
  <c r="DK307" i="1"/>
  <c r="DH307" i="1"/>
  <c r="DD307" i="1"/>
  <c r="CW307" i="1"/>
  <c r="CP307" i="1"/>
  <c r="CL307" i="1"/>
  <c r="CG307" i="1"/>
  <c r="CB307" i="1"/>
  <c r="BW307" i="1"/>
  <c r="BV307" i="1"/>
  <c r="BQ307" i="1"/>
  <c r="BP307" i="1"/>
  <c r="BO307" i="1"/>
  <c r="BJ307" i="1"/>
  <c r="BI307" i="1"/>
  <c r="BH307" i="1"/>
  <c r="BC307" i="1"/>
  <c r="BB307" i="1"/>
  <c r="BA307" i="1"/>
  <c r="AV307" i="1"/>
  <c r="AU307" i="1"/>
  <c r="AT307" i="1"/>
  <c r="AO307" i="1"/>
  <c r="AN307" i="1"/>
  <c r="AC307" i="1"/>
  <c r="AB307" i="1"/>
  <c r="Y307" i="1"/>
  <c r="S307" i="1"/>
  <c r="K307" i="1"/>
  <c r="J307" i="1"/>
  <c r="C307" i="1"/>
  <c r="EV306" i="1"/>
  <c r="EU306" i="1"/>
  <c r="ET306" i="1"/>
  <c r="EG306" i="1"/>
  <c r="EC306" i="1"/>
  <c r="DQ306" i="1"/>
  <c r="DK306" i="1"/>
  <c r="DH306" i="1"/>
  <c r="DD306" i="1"/>
  <c r="CW306" i="1"/>
  <c r="CP306" i="1"/>
  <c r="CL306" i="1"/>
  <c r="CG306" i="1"/>
  <c r="CB306" i="1"/>
  <c r="BW306" i="1"/>
  <c r="BV306" i="1"/>
  <c r="BQ306" i="1"/>
  <c r="BP306" i="1"/>
  <c r="BO306" i="1"/>
  <c r="BJ306" i="1"/>
  <c r="BI306" i="1"/>
  <c r="BH306" i="1"/>
  <c r="BC306" i="1"/>
  <c r="BB306" i="1"/>
  <c r="BA306" i="1"/>
  <c r="AV306" i="1"/>
  <c r="AU306" i="1"/>
  <c r="AT306" i="1"/>
  <c r="AO306" i="1"/>
  <c r="AN306" i="1"/>
  <c r="AC306" i="1"/>
  <c r="AB306" i="1"/>
  <c r="Y306" i="1"/>
  <c r="S306" i="1"/>
  <c r="K306" i="1"/>
  <c r="J306" i="1"/>
  <c r="C306" i="1"/>
  <c r="EV305" i="1"/>
  <c r="EU305" i="1"/>
  <c r="ET305" i="1"/>
  <c r="EG305" i="1"/>
  <c r="EC305" i="1"/>
  <c r="DQ305" i="1"/>
  <c r="DK305" i="1"/>
  <c r="DH305" i="1"/>
  <c r="DD305" i="1"/>
  <c r="CW305" i="1"/>
  <c r="CP305" i="1"/>
  <c r="CL305" i="1"/>
  <c r="CG305" i="1"/>
  <c r="CB305" i="1"/>
  <c r="BW305" i="1"/>
  <c r="BV305" i="1"/>
  <c r="BQ305" i="1"/>
  <c r="BP305" i="1"/>
  <c r="BO305" i="1"/>
  <c r="BJ305" i="1"/>
  <c r="BI305" i="1"/>
  <c r="BH305" i="1"/>
  <c r="BC305" i="1"/>
  <c r="BB305" i="1"/>
  <c r="BA305" i="1"/>
  <c r="AV305" i="1"/>
  <c r="AU305" i="1"/>
  <c r="AT305" i="1"/>
  <c r="AO305" i="1"/>
  <c r="AN305" i="1"/>
  <c r="AC305" i="1"/>
  <c r="AB305" i="1"/>
  <c r="Y305" i="1"/>
  <c r="S305" i="1"/>
  <c r="K305" i="1"/>
  <c r="J305" i="1"/>
  <c r="C305" i="1"/>
  <c r="EV304" i="1"/>
  <c r="EU304" i="1"/>
  <c r="ET304" i="1"/>
  <c r="EG304" i="1"/>
  <c r="EC304" i="1"/>
  <c r="DQ304" i="1"/>
  <c r="DK304" i="1"/>
  <c r="DH304" i="1"/>
  <c r="DD304" i="1"/>
  <c r="CW304" i="1"/>
  <c r="CP304" i="1"/>
  <c r="CL304" i="1"/>
  <c r="CG304" i="1"/>
  <c r="CB304" i="1"/>
  <c r="BW304" i="1"/>
  <c r="BV304" i="1"/>
  <c r="BQ304" i="1"/>
  <c r="BP304" i="1"/>
  <c r="BO304" i="1"/>
  <c r="BJ304" i="1"/>
  <c r="BI304" i="1"/>
  <c r="BH304" i="1"/>
  <c r="BC304" i="1"/>
  <c r="BB304" i="1"/>
  <c r="BA304" i="1"/>
  <c r="AV304" i="1"/>
  <c r="AU304" i="1"/>
  <c r="AT304" i="1"/>
  <c r="AO304" i="1"/>
  <c r="AN304" i="1"/>
  <c r="AC304" i="1"/>
  <c r="AB304" i="1"/>
  <c r="Y304" i="1"/>
  <c r="S304" i="1"/>
  <c r="K304" i="1"/>
  <c r="J304" i="1"/>
  <c r="C304" i="1"/>
  <c r="EV303" i="1"/>
  <c r="EU303" i="1"/>
  <c r="ET303" i="1"/>
  <c r="EG303" i="1"/>
  <c r="EC303" i="1"/>
  <c r="DQ303" i="1"/>
  <c r="DK303" i="1"/>
  <c r="DH303" i="1"/>
  <c r="DD303" i="1"/>
  <c r="CW303" i="1"/>
  <c r="CP303" i="1"/>
  <c r="CL303" i="1"/>
  <c r="CG303" i="1"/>
  <c r="CB303" i="1"/>
  <c r="BW303" i="1"/>
  <c r="BV303" i="1"/>
  <c r="BQ303" i="1"/>
  <c r="BP303" i="1"/>
  <c r="BO303" i="1"/>
  <c r="BJ303" i="1"/>
  <c r="BI303" i="1"/>
  <c r="BH303" i="1"/>
  <c r="BC303" i="1"/>
  <c r="BB303" i="1"/>
  <c r="BA303" i="1"/>
  <c r="AV303" i="1"/>
  <c r="AU303" i="1"/>
  <c r="AT303" i="1"/>
  <c r="AO303" i="1"/>
  <c r="AN303" i="1"/>
  <c r="AC303" i="1"/>
  <c r="AB303" i="1"/>
  <c r="Y303" i="1"/>
  <c r="S303" i="1"/>
  <c r="K303" i="1"/>
  <c r="J303" i="1"/>
  <c r="C303" i="1"/>
  <c r="EV302" i="1"/>
  <c r="EU302" i="1"/>
  <c r="ET302" i="1"/>
  <c r="EC302" i="1"/>
  <c r="DQ302" i="1"/>
  <c r="DK302" i="1"/>
  <c r="DH302" i="1"/>
  <c r="DD302" i="1"/>
  <c r="CW302" i="1"/>
  <c r="CP302" i="1"/>
  <c r="CL302" i="1"/>
  <c r="CG302" i="1"/>
  <c r="CB302" i="1"/>
  <c r="BW302" i="1"/>
  <c r="BV302" i="1"/>
  <c r="BQ302" i="1"/>
  <c r="BP302" i="1"/>
  <c r="BO302" i="1"/>
  <c r="BJ302" i="1"/>
  <c r="BI302" i="1"/>
  <c r="BH302" i="1"/>
  <c r="BC302" i="1"/>
  <c r="BB302" i="1"/>
  <c r="BA302" i="1"/>
  <c r="AV302" i="1"/>
  <c r="AU302" i="1"/>
  <c r="AT302" i="1"/>
  <c r="AO302" i="1"/>
  <c r="AN302" i="1"/>
  <c r="AC302" i="1"/>
  <c r="Y302" i="1"/>
  <c r="S302" i="1"/>
  <c r="K302" i="1"/>
  <c r="J302" i="1"/>
  <c r="C302" i="1"/>
  <c r="C301" i="1"/>
  <c r="EV300" i="1"/>
  <c r="EU300" i="1"/>
  <c r="ET300" i="1"/>
  <c r="EG300" i="1"/>
  <c r="EC300" i="1"/>
  <c r="DQ300" i="1"/>
  <c r="DK300" i="1"/>
  <c r="DH300" i="1"/>
  <c r="DD300" i="1"/>
  <c r="CW300" i="1"/>
  <c r="CP300" i="1"/>
  <c r="CL300" i="1"/>
  <c r="CG300" i="1"/>
  <c r="CB300" i="1"/>
  <c r="BW300" i="1"/>
  <c r="BV300" i="1"/>
  <c r="BQ300" i="1"/>
  <c r="BP300" i="1"/>
  <c r="BO300" i="1"/>
  <c r="BJ300" i="1"/>
  <c r="BI300" i="1"/>
  <c r="BH300" i="1"/>
  <c r="BC300" i="1"/>
  <c r="BB300" i="1"/>
  <c r="BA300" i="1"/>
  <c r="AV300" i="1"/>
  <c r="AU300" i="1"/>
  <c r="AT300" i="1"/>
  <c r="AO300" i="1"/>
  <c r="AN300" i="1"/>
  <c r="AC300" i="1"/>
  <c r="AB300" i="1"/>
  <c r="Y300" i="1"/>
  <c r="S300" i="1"/>
  <c r="K300" i="1"/>
  <c r="J300" i="1"/>
  <c r="C300" i="1"/>
  <c r="EV299" i="1"/>
  <c r="EU299" i="1"/>
  <c r="ET299" i="1"/>
  <c r="EC299" i="1"/>
  <c r="DQ299" i="1"/>
  <c r="DK299" i="1"/>
  <c r="DH299" i="1"/>
  <c r="DD299" i="1"/>
  <c r="CW299" i="1"/>
  <c r="CP299" i="1"/>
  <c r="CL299" i="1"/>
  <c r="CG299" i="1"/>
  <c r="CB299" i="1"/>
  <c r="BW299" i="1"/>
  <c r="BV299" i="1"/>
  <c r="BQ299" i="1"/>
  <c r="BP299" i="1"/>
  <c r="BO299" i="1"/>
  <c r="BJ299" i="1"/>
  <c r="BI299" i="1"/>
  <c r="BH299" i="1"/>
  <c r="BC299" i="1"/>
  <c r="BB299" i="1"/>
  <c r="BA299" i="1"/>
  <c r="AV299" i="1"/>
  <c r="AU299" i="1"/>
  <c r="AT299" i="1"/>
  <c r="AO299" i="1"/>
  <c r="AN299" i="1"/>
  <c r="AC299" i="1"/>
  <c r="Y299" i="1"/>
  <c r="S299" i="1"/>
  <c r="K299" i="1"/>
  <c r="J299" i="1"/>
  <c r="C299" i="1"/>
  <c r="EV298" i="1"/>
  <c r="EU298" i="1"/>
  <c r="ET298" i="1"/>
  <c r="EG298" i="1"/>
  <c r="EC298" i="1"/>
  <c r="DQ298" i="1"/>
  <c r="DK298" i="1"/>
  <c r="DH298" i="1"/>
  <c r="DD298" i="1"/>
  <c r="CW298" i="1"/>
  <c r="CP298" i="1"/>
  <c r="CL298" i="1"/>
  <c r="CG298" i="1"/>
  <c r="CB298" i="1"/>
  <c r="BW298" i="1"/>
  <c r="BV298" i="1"/>
  <c r="BQ298" i="1"/>
  <c r="BP298" i="1"/>
  <c r="BO298" i="1"/>
  <c r="BJ298" i="1"/>
  <c r="BI298" i="1"/>
  <c r="BH298" i="1"/>
  <c r="BC298" i="1"/>
  <c r="BB298" i="1"/>
  <c r="BA298" i="1"/>
  <c r="AV298" i="1"/>
  <c r="AU298" i="1"/>
  <c r="AT298" i="1"/>
  <c r="AO298" i="1"/>
  <c r="AN298" i="1"/>
  <c r="AC298" i="1"/>
  <c r="AB298" i="1"/>
  <c r="Y298" i="1"/>
  <c r="S298" i="1"/>
  <c r="K298" i="1"/>
  <c r="J298" i="1"/>
  <c r="C298" i="1"/>
  <c r="EV297" i="1"/>
  <c r="EU297" i="1"/>
  <c r="ET297" i="1"/>
  <c r="EG297" i="1"/>
  <c r="EC297" i="1"/>
  <c r="DQ297" i="1"/>
  <c r="DK297" i="1"/>
  <c r="DH297" i="1"/>
  <c r="DD297" i="1"/>
  <c r="CW297" i="1"/>
  <c r="CP297" i="1"/>
  <c r="CL297" i="1"/>
  <c r="CG297" i="1"/>
  <c r="CB297" i="1"/>
  <c r="BW297" i="1"/>
  <c r="BV297" i="1"/>
  <c r="BQ297" i="1"/>
  <c r="BP297" i="1"/>
  <c r="BO297" i="1"/>
  <c r="BJ297" i="1"/>
  <c r="BI297" i="1"/>
  <c r="BH297" i="1"/>
  <c r="BC297" i="1"/>
  <c r="BB297" i="1"/>
  <c r="BA297" i="1"/>
  <c r="AV297" i="1"/>
  <c r="AU297" i="1"/>
  <c r="AT297" i="1"/>
  <c r="AO297" i="1"/>
  <c r="AN297" i="1"/>
  <c r="AC297" i="1"/>
  <c r="AB297" i="1"/>
  <c r="Y297" i="1"/>
  <c r="S297" i="1"/>
  <c r="K297" i="1"/>
  <c r="J297" i="1"/>
  <c r="C297" i="1"/>
  <c r="EV296" i="1"/>
  <c r="EU296" i="1"/>
  <c r="ET296" i="1"/>
  <c r="EC296" i="1"/>
  <c r="DQ296" i="1"/>
  <c r="DK296" i="1"/>
  <c r="DH296" i="1"/>
  <c r="DD296" i="1"/>
  <c r="CW296" i="1"/>
  <c r="CP296" i="1"/>
  <c r="CL296" i="1"/>
  <c r="CG296" i="1"/>
  <c r="CB296" i="1"/>
  <c r="BW296" i="1"/>
  <c r="BV296" i="1"/>
  <c r="BQ296" i="1"/>
  <c r="BP296" i="1"/>
  <c r="BO296" i="1"/>
  <c r="BJ296" i="1"/>
  <c r="BI296" i="1"/>
  <c r="BH296" i="1"/>
  <c r="BC296" i="1"/>
  <c r="BB296" i="1"/>
  <c r="BA296" i="1"/>
  <c r="AV296" i="1"/>
  <c r="AU296" i="1"/>
  <c r="AT296" i="1"/>
  <c r="AO296" i="1"/>
  <c r="AN296" i="1"/>
  <c r="AC296" i="1"/>
  <c r="Y296" i="1"/>
  <c r="S296" i="1"/>
  <c r="K296" i="1"/>
  <c r="J296" i="1"/>
  <c r="C296" i="1"/>
  <c r="EV295" i="1"/>
  <c r="EU295" i="1"/>
  <c r="ET295" i="1"/>
  <c r="EC295" i="1"/>
  <c r="DQ295" i="1"/>
  <c r="DK295" i="1"/>
  <c r="DH295" i="1"/>
  <c r="DD295" i="1"/>
  <c r="CW295" i="1"/>
  <c r="CP295" i="1"/>
  <c r="CL295" i="1"/>
  <c r="CG295" i="1"/>
  <c r="CB295" i="1"/>
  <c r="BW295" i="1"/>
  <c r="BV295" i="1"/>
  <c r="BQ295" i="1"/>
  <c r="BP295" i="1"/>
  <c r="BO295" i="1"/>
  <c r="BJ295" i="1"/>
  <c r="BI295" i="1"/>
  <c r="BH295" i="1"/>
  <c r="BC295" i="1"/>
  <c r="BB295" i="1"/>
  <c r="BA295" i="1"/>
  <c r="AV295" i="1"/>
  <c r="AU295" i="1"/>
  <c r="AT295" i="1"/>
  <c r="AO295" i="1"/>
  <c r="AN295" i="1"/>
  <c r="AC295" i="1"/>
  <c r="Y295" i="1"/>
  <c r="S295" i="1"/>
  <c r="K295" i="1"/>
  <c r="J295" i="1"/>
  <c r="C295" i="1"/>
  <c r="EV294" i="1"/>
  <c r="EU294" i="1"/>
  <c r="ET294" i="1"/>
  <c r="EG294" i="1"/>
  <c r="EC294" i="1"/>
  <c r="DQ294" i="1"/>
  <c r="DK294" i="1"/>
  <c r="DH294" i="1"/>
  <c r="DD294" i="1"/>
  <c r="CW294" i="1"/>
  <c r="CP294" i="1"/>
  <c r="CL294" i="1"/>
  <c r="CG294" i="1"/>
  <c r="CB294" i="1"/>
  <c r="BW294" i="1"/>
  <c r="BV294" i="1"/>
  <c r="BQ294" i="1"/>
  <c r="BP294" i="1"/>
  <c r="BO294" i="1"/>
  <c r="BJ294" i="1"/>
  <c r="BI294" i="1"/>
  <c r="BH294" i="1"/>
  <c r="BC294" i="1"/>
  <c r="BB294" i="1"/>
  <c r="BA294" i="1"/>
  <c r="AV294" i="1"/>
  <c r="AU294" i="1"/>
  <c r="AT294" i="1"/>
  <c r="AO294" i="1"/>
  <c r="AN294" i="1"/>
  <c r="AC294" i="1"/>
  <c r="AB294" i="1"/>
  <c r="Y294" i="1"/>
  <c r="S294" i="1"/>
  <c r="K294" i="1"/>
  <c r="J294" i="1"/>
  <c r="C294" i="1"/>
  <c r="EV293" i="1"/>
  <c r="EU293" i="1"/>
  <c r="ET293" i="1"/>
  <c r="EG293" i="1"/>
  <c r="EC293" i="1"/>
  <c r="DQ293" i="1"/>
  <c r="DK293" i="1"/>
  <c r="DH293" i="1"/>
  <c r="DD293" i="1"/>
  <c r="CW293" i="1"/>
  <c r="CP293" i="1"/>
  <c r="CL293" i="1"/>
  <c r="CG293" i="1"/>
  <c r="CB293" i="1"/>
  <c r="BW293" i="1"/>
  <c r="BV293" i="1"/>
  <c r="BQ293" i="1"/>
  <c r="BP293" i="1"/>
  <c r="BO293" i="1"/>
  <c r="BJ293" i="1"/>
  <c r="BI293" i="1"/>
  <c r="BH293" i="1"/>
  <c r="BC293" i="1"/>
  <c r="BB293" i="1"/>
  <c r="BA293" i="1"/>
  <c r="AV293" i="1"/>
  <c r="AU293" i="1"/>
  <c r="AT293" i="1"/>
  <c r="AO293" i="1"/>
  <c r="AN293" i="1"/>
  <c r="AC293" i="1"/>
  <c r="AB293" i="1"/>
  <c r="Y293" i="1"/>
  <c r="S293" i="1"/>
  <c r="K293" i="1"/>
  <c r="J293" i="1"/>
  <c r="C293" i="1"/>
  <c r="EV292" i="1"/>
  <c r="EU292" i="1"/>
  <c r="ET292" i="1"/>
  <c r="EC292" i="1"/>
  <c r="DQ292" i="1"/>
  <c r="DK292" i="1"/>
  <c r="DH292" i="1"/>
  <c r="DD292" i="1"/>
  <c r="CW292" i="1"/>
  <c r="CP292" i="1"/>
  <c r="CL292" i="1"/>
  <c r="CG292" i="1"/>
  <c r="CB292" i="1"/>
  <c r="BW292" i="1"/>
  <c r="BV292" i="1"/>
  <c r="BQ292" i="1"/>
  <c r="BP292" i="1"/>
  <c r="BO292" i="1"/>
  <c r="BJ292" i="1"/>
  <c r="BI292" i="1"/>
  <c r="BH292" i="1"/>
  <c r="BC292" i="1"/>
  <c r="BB292" i="1"/>
  <c r="BA292" i="1"/>
  <c r="AV292" i="1"/>
  <c r="AU292" i="1"/>
  <c r="AT292" i="1"/>
  <c r="AO292" i="1"/>
  <c r="AN292" i="1"/>
  <c r="AC292" i="1"/>
  <c r="Y292" i="1"/>
  <c r="S292" i="1"/>
  <c r="K292" i="1"/>
  <c r="J292" i="1"/>
  <c r="C292" i="1"/>
  <c r="EV291" i="1"/>
  <c r="EU291" i="1"/>
  <c r="ET291" i="1"/>
  <c r="EG291" i="1"/>
  <c r="EC291" i="1"/>
  <c r="DQ291" i="1"/>
  <c r="DK291" i="1"/>
  <c r="DH291" i="1"/>
  <c r="DD291" i="1"/>
  <c r="CW291" i="1"/>
  <c r="CP291" i="1"/>
  <c r="CL291" i="1"/>
  <c r="CG291" i="1"/>
  <c r="CB291" i="1"/>
  <c r="BW291" i="1"/>
  <c r="BV291" i="1"/>
  <c r="BQ291" i="1"/>
  <c r="BP291" i="1"/>
  <c r="BO291" i="1"/>
  <c r="BJ291" i="1"/>
  <c r="BI291" i="1"/>
  <c r="BH291" i="1"/>
  <c r="BC291" i="1"/>
  <c r="BB291" i="1"/>
  <c r="BA291" i="1"/>
  <c r="AV291" i="1"/>
  <c r="AU291" i="1"/>
  <c r="AT291" i="1"/>
  <c r="AO291" i="1"/>
  <c r="AN291" i="1"/>
  <c r="AC291" i="1"/>
  <c r="AB291" i="1"/>
  <c r="Y291" i="1"/>
  <c r="S291" i="1"/>
  <c r="K291" i="1"/>
  <c r="J291" i="1"/>
  <c r="C291" i="1"/>
  <c r="EV290" i="1"/>
  <c r="EU290" i="1"/>
  <c r="ET290" i="1"/>
  <c r="EC290" i="1"/>
  <c r="DQ290" i="1"/>
  <c r="DK290" i="1"/>
  <c r="DH290" i="1"/>
  <c r="DD290" i="1"/>
  <c r="CW290" i="1"/>
  <c r="CP290" i="1"/>
  <c r="CL290" i="1"/>
  <c r="CG290" i="1"/>
  <c r="CB290" i="1"/>
  <c r="BW290" i="1"/>
  <c r="BV290" i="1"/>
  <c r="BQ290" i="1"/>
  <c r="BP290" i="1"/>
  <c r="BO290" i="1"/>
  <c r="BJ290" i="1"/>
  <c r="BI290" i="1"/>
  <c r="BH290" i="1"/>
  <c r="BC290" i="1"/>
  <c r="BB290" i="1"/>
  <c r="BA290" i="1"/>
  <c r="AV290" i="1"/>
  <c r="AU290" i="1"/>
  <c r="AT290" i="1"/>
  <c r="AO290" i="1"/>
  <c r="AN290" i="1"/>
  <c r="AC290" i="1"/>
  <c r="Y290" i="1"/>
  <c r="S290" i="1"/>
  <c r="K290" i="1"/>
  <c r="J290" i="1"/>
  <c r="C290" i="1"/>
  <c r="EV289" i="1"/>
  <c r="EU289" i="1"/>
  <c r="ET289" i="1"/>
  <c r="EC289" i="1"/>
  <c r="DQ289" i="1"/>
  <c r="DK289" i="1"/>
  <c r="DH289" i="1"/>
  <c r="DD289" i="1"/>
  <c r="CW289" i="1"/>
  <c r="CP289" i="1"/>
  <c r="CL289" i="1"/>
  <c r="CG289" i="1"/>
  <c r="CB289" i="1"/>
  <c r="BW289" i="1"/>
  <c r="BV289" i="1"/>
  <c r="BQ289" i="1"/>
  <c r="BP289" i="1"/>
  <c r="BO289" i="1"/>
  <c r="BJ289" i="1"/>
  <c r="BI289" i="1"/>
  <c r="BH289" i="1"/>
  <c r="BC289" i="1"/>
  <c r="BB289" i="1"/>
  <c r="BA289" i="1"/>
  <c r="AV289" i="1"/>
  <c r="AU289" i="1"/>
  <c r="AT289" i="1"/>
  <c r="AO289" i="1"/>
  <c r="AN289" i="1"/>
  <c r="AC289" i="1"/>
  <c r="Y289" i="1"/>
  <c r="S289" i="1"/>
  <c r="K289" i="1"/>
  <c r="J289" i="1"/>
  <c r="C289" i="1"/>
  <c r="EV288" i="1"/>
  <c r="EU288" i="1"/>
  <c r="ET288" i="1"/>
  <c r="EG288" i="1"/>
  <c r="EC288" i="1"/>
  <c r="DQ288" i="1"/>
  <c r="DK288" i="1"/>
  <c r="DH288" i="1"/>
  <c r="DD288" i="1"/>
  <c r="CW288" i="1"/>
  <c r="CP288" i="1"/>
  <c r="CL288" i="1"/>
  <c r="CG288" i="1"/>
  <c r="CB288" i="1"/>
  <c r="BW288" i="1"/>
  <c r="BV288" i="1"/>
  <c r="BQ288" i="1"/>
  <c r="BP288" i="1"/>
  <c r="BO288" i="1"/>
  <c r="BJ288" i="1"/>
  <c r="BI288" i="1"/>
  <c r="BH288" i="1"/>
  <c r="BC288" i="1"/>
  <c r="BB288" i="1"/>
  <c r="BA288" i="1"/>
  <c r="AV288" i="1"/>
  <c r="AU288" i="1"/>
  <c r="AT288" i="1"/>
  <c r="AO288" i="1"/>
  <c r="AN288" i="1"/>
  <c r="AC288" i="1"/>
  <c r="AB288" i="1"/>
  <c r="Y288" i="1"/>
  <c r="S288" i="1"/>
  <c r="K288" i="1"/>
  <c r="J288" i="1"/>
  <c r="C288" i="1"/>
  <c r="EV287" i="1"/>
  <c r="EU287" i="1"/>
  <c r="ET287" i="1"/>
  <c r="EG287" i="1"/>
  <c r="EC287" i="1"/>
  <c r="DQ287" i="1"/>
  <c r="DK287" i="1"/>
  <c r="DH287" i="1"/>
  <c r="DD287" i="1"/>
  <c r="CW287" i="1"/>
  <c r="CP287" i="1"/>
  <c r="CL287" i="1"/>
  <c r="CG287" i="1"/>
  <c r="CB287" i="1"/>
  <c r="BW287" i="1"/>
  <c r="BV287" i="1"/>
  <c r="BQ287" i="1"/>
  <c r="BP287" i="1"/>
  <c r="BO287" i="1"/>
  <c r="BJ287" i="1"/>
  <c r="BI287" i="1"/>
  <c r="BH287" i="1"/>
  <c r="BC287" i="1"/>
  <c r="BB287" i="1"/>
  <c r="BA287" i="1"/>
  <c r="AV287" i="1"/>
  <c r="AU287" i="1"/>
  <c r="AT287" i="1"/>
  <c r="AO287" i="1"/>
  <c r="AN287" i="1"/>
  <c r="AC287" i="1"/>
  <c r="AB287" i="1"/>
  <c r="Y287" i="1"/>
  <c r="S287" i="1"/>
  <c r="K287" i="1"/>
  <c r="J287" i="1"/>
  <c r="C287" i="1"/>
  <c r="EV286" i="1"/>
  <c r="EU286" i="1"/>
  <c r="ET286" i="1"/>
  <c r="EG286" i="1"/>
  <c r="EC286" i="1"/>
  <c r="DQ286" i="1"/>
  <c r="DK286" i="1"/>
  <c r="DH286" i="1"/>
  <c r="DD286" i="1"/>
  <c r="CW286" i="1"/>
  <c r="CP286" i="1"/>
  <c r="CL286" i="1"/>
  <c r="CG286" i="1"/>
  <c r="CB286" i="1"/>
  <c r="BW286" i="1"/>
  <c r="BV286" i="1"/>
  <c r="BQ286" i="1"/>
  <c r="BP286" i="1"/>
  <c r="BO286" i="1"/>
  <c r="BJ286" i="1"/>
  <c r="BI286" i="1"/>
  <c r="BH286" i="1"/>
  <c r="BC286" i="1"/>
  <c r="BB286" i="1"/>
  <c r="BA286" i="1"/>
  <c r="AV286" i="1"/>
  <c r="AU286" i="1"/>
  <c r="AT286" i="1"/>
  <c r="AO286" i="1"/>
  <c r="AN286" i="1"/>
  <c r="AC286" i="1"/>
  <c r="AB286" i="1"/>
  <c r="Y286" i="1"/>
  <c r="S286" i="1"/>
  <c r="K286" i="1"/>
  <c r="J286" i="1"/>
  <c r="C286" i="1"/>
  <c r="EV285" i="1"/>
  <c r="EU285" i="1"/>
  <c r="ET285" i="1"/>
  <c r="EC285" i="1"/>
  <c r="DQ285" i="1"/>
  <c r="DK285" i="1"/>
  <c r="DH285" i="1"/>
  <c r="DD285" i="1"/>
  <c r="CW285" i="1"/>
  <c r="CP285" i="1"/>
  <c r="CL285" i="1"/>
  <c r="CG285" i="1"/>
  <c r="CB285" i="1"/>
  <c r="BW285" i="1"/>
  <c r="BV285" i="1"/>
  <c r="BQ285" i="1"/>
  <c r="BP285" i="1"/>
  <c r="BO285" i="1"/>
  <c r="BJ285" i="1"/>
  <c r="BI285" i="1"/>
  <c r="BH285" i="1"/>
  <c r="BC285" i="1"/>
  <c r="BB285" i="1"/>
  <c r="BA285" i="1"/>
  <c r="AV285" i="1"/>
  <c r="AU285" i="1"/>
  <c r="AT285" i="1"/>
  <c r="AO285" i="1"/>
  <c r="AN285" i="1"/>
  <c r="AC285" i="1"/>
  <c r="Y285" i="1"/>
  <c r="S285" i="1"/>
  <c r="K285" i="1"/>
  <c r="J285" i="1"/>
  <c r="C285" i="1"/>
  <c r="EV284" i="1"/>
  <c r="EU284" i="1"/>
  <c r="ET284" i="1"/>
  <c r="EG284" i="1"/>
  <c r="EC284" i="1"/>
  <c r="DQ284" i="1"/>
  <c r="DK284" i="1"/>
  <c r="DH284" i="1"/>
  <c r="DD284" i="1"/>
  <c r="CW284" i="1"/>
  <c r="CP284" i="1"/>
  <c r="CL284" i="1"/>
  <c r="CG284" i="1"/>
  <c r="CB284" i="1"/>
  <c r="BW284" i="1"/>
  <c r="BV284" i="1"/>
  <c r="BQ284" i="1"/>
  <c r="BP284" i="1"/>
  <c r="BO284" i="1"/>
  <c r="BJ284" i="1"/>
  <c r="BI284" i="1"/>
  <c r="BH284" i="1"/>
  <c r="BC284" i="1"/>
  <c r="BB284" i="1"/>
  <c r="BA284" i="1"/>
  <c r="AV284" i="1"/>
  <c r="AU284" i="1"/>
  <c r="AT284" i="1"/>
  <c r="AO284" i="1"/>
  <c r="AN284" i="1"/>
  <c r="AC284" i="1"/>
  <c r="AB284" i="1"/>
  <c r="Y284" i="1"/>
  <c r="S284" i="1"/>
  <c r="K284" i="1"/>
  <c r="J284" i="1"/>
  <c r="C284" i="1"/>
  <c r="EV283" i="1"/>
  <c r="EU283" i="1"/>
  <c r="ET283" i="1"/>
  <c r="EC283" i="1"/>
  <c r="DQ283" i="1"/>
  <c r="DK283" i="1"/>
  <c r="DH283" i="1"/>
  <c r="DD283" i="1"/>
  <c r="CW283" i="1"/>
  <c r="CP283" i="1"/>
  <c r="CL283" i="1"/>
  <c r="CG283" i="1"/>
  <c r="CB283" i="1"/>
  <c r="BW283" i="1"/>
  <c r="BV283" i="1"/>
  <c r="BQ283" i="1"/>
  <c r="BP283" i="1"/>
  <c r="BO283" i="1"/>
  <c r="BJ283" i="1"/>
  <c r="BI283" i="1"/>
  <c r="BH283" i="1"/>
  <c r="BC283" i="1"/>
  <c r="BB283" i="1"/>
  <c r="BA283" i="1"/>
  <c r="AV283" i="1"/>
  <c r="AU283" i="1"/>
  <c r="AT283" i="1"/>
  <c r="AO283" i="1"/>
  <c r="AN283" i="1"/>
  <c r="AC283" i="1"/>
  <c r="Y283" i="1"/>
  <c r="S283" i="1"/>
  <c r="K283" i="1"/>
  <c r="J283" i="1"/>
  <c r="C283" i="1"/>
  <c r="EV282" i="1"/>
  <c r="EU282" i="1"/>
  <c r="ET282" i="1"/>
  <c r="EC282" i="1"/>
  <c r="DQ282" i="1"/>
  <c r="DK282" i="1"/>
  <c r="DH282" i="1"/>
  <c r="DD282" i="1"/>
  <c r="CW282" i="1"/>
  <c r="CP282" i="1"/>
  <c r="CL282" i="1"/>
  <c r="CG282" i="1"/>
  <c r="CB282" i="1"/>
  <c r="BW282" i="1"/>
  <c r="BV282" i="1"/>
  <c r="BQ282" i="1"/>
  <c r="BP282" i="1"/>
  <c r="BO282" i="1"/>
  <c r="BJ282" i="1"/>
  <c r="BI282" i="1"/>
  <c r="BH282" i="1"/>
  <c r="BC282" i="1"/>
  <c r="BB282" i="1"/>
  <c r="BA282" i="1"/>
  <c r="AV282" i="1"/>
  <c r="AU282" i="1"/>
  <c r="AT282" i="1"/>
  <c r="AO282" i="1"/>
  <c r="AN282" i="1"/>
  <c r="AC282" i="1"/>
  <c r="Y282" i="1"/>
  <c r="S282" i="1"/>
  <c r="K282" i="1"/>
  <c r="J282" i="1"/>
  <c r="C282" i="1"/>
  <c r="EV281" i="1"/>
  <c r="EU281" i="1"/>
  <c r="ET281" i="1"/>
  <c r="EG281" i="1"/>
  <c r="EC281" i="1"/>
  <c r="DQ281" i="1"/>
  <c r="DK281" i="1"/>
  <c r="DH281" i="1"/>
  <c r="DD281" i="1"/>
  <c r="CW281" i="1"/>
  <c r="CP281" i="1"/>
  <c r="CL281" i="1"/>
  <c r="CG281" i="1"/>
  <c r="CB281" i="1"/>
  <c r="BW281" i="1"/>
  <c r="BV281" i="1"/>
  <c r="BQ281" i="1"/>
  <c r="BP281" i="1"/>
  <c r="BO281" i="1"/>
  <c r="BJ281" i="1"/>
  <c r="BI281" i="1"/>
  <c r="BH281" i="1"/>
  <c r="BC281" i="1"/>
  <c r="BB281" i="1"/>
  <c r="BA281" i="1"/>
  <c r="AV281" i="1"/>
  <c r="AU281" i="1"/>
  <c r="AT281" i="1"/>
  <c r="AO281" i="1"/>
  <c r="AN281" i="1"/>
  <c r="AC281" i="1"/>
  <c r="AB281" i="1"/>
  <c r="Y281" i="1"/>
  <c r="S281" i="1"/>
  <c r="K281" i="1"/>
  <c r="J281" i="1"/>
  <c r="C281" i="1"/>
  <c r="EV280" i="1"/>
  <c r="EU280" i="1"/>
  <c r="ET280" i="1"/>
  <c r="EG280" i="1"/>
  <c r="EC280" i="1"/>
  <c r="DQ280" i="1"/>
  <c r="DK280" i="1"/>
  <c r="DH280" i="1"/>
  <c r="DD280" i="1"/>
  <c r="CW280" i="1"/>
  <c r="CP280" i="1"/>
  <c r="CL280" i="1"/>
  <c r="CG280" i="1"/>
  <c r="BW280" i="1"/>
  <c r="BV280" i="1"/>
  <c r="BQ280" i="1"/>
  <c r="BP280" i="1"/>
  <c r="BO280" i="1"/>
  <c r="BJ280" i="1"/>
  <c r="BI280" i="1"/>
  <c r="BH280" i="1"/>
  <c r="BC280" i="1"/>
  <c r="BB280" i="1"/>
  <c r="BA280" i="1"/>
  <c r="AV280" i="1"/>
  <c r="AU280" i="1"/>
  <c r="AT280" i="1"/>
  <c r="AO280" i="1"/>
  <c r="AN280" i="1"/>
  <c r="AC280" i="1"/>
  <c r="AB280" i="1"/>
  <c r="Y280" i="1"/>
  <c r="S280" i="1"/>
  <c r="K280" i="1"/>
  <c r="J280" i="1"/>
  <c r="C280" i="1"/>
  <c r="EV279" i="1"/>
  <c r="EU279" i="1"/>
  <c r="ET279" i="1"/>
  <c r="EC279" i="1"/>
  <c r="DQ279" i="1"/>
  <c r="DK279" i="1"/>
  <c r="DH279" i="1"/>
  <c r="DD279" i="1"/>
  <c r="CW279" i="1"/>
  <c r="CP279" i="1"/>
  <c r="CL279" i="1"/>
  <c r="CG279" i="1"/>
  <c r="CB279" i="1"/>
  <c r="BW279" i="1"/>
  <c r="BV279" i="1"/>
  <c r="BQ279" i="1"/>
  <c r="BP279" i="1"/>
  <c r="BO279" i="1"/>
  <c r="BJ279" i="1"/>
  <c r="BI279" i="1"/>
  <c r="BH279" i="1"/>
  <c r="BC279" i="1"/>
  <c r="BB279" i="1"/>
  <c r="BA279" i="1"/>
  <c r="AV279" i="1"/>
  <c r="AU279" i="1"/>
  <c r="AT279" i="1"/>
  <c r="AO279" i="1"/>
  <c r="AN279" i="1"/>
  <c r="AC279" i="1"/>
  <c r="Y279" i="1"/>
  <c r="S279" i="1"/>
  <c r="K279" i="1"/>
  <c r="J279" i="1"/>
  <c r="C279" i="1"/>
  <c r="EV278" i="1"/>
  <c r="EU278" i="1"/>
  <c r="ET278" i="1"/>
  <c r="EG278" i="1"/>
  <c r="EC278" i="1"/>
  <c r="DQ278" i="1"/>
  <c r="DK278" i="1"/>
  <c r="DH278" i="1"/>
  <c r="DD278" i="1"/>
  <c r="CW278" i="1"/>
  <c r="CP278" i="1"/>
  <c r="CL278" i="1"/>
  <c r="CG278" i="1"/>
  <c r="CB278" i="1"/>
  <c r="BW278" i="1"/>
  <c r="BV278" i="1"/>
  <c r="BQ278" i="1"/>
  <c r="BP278" i="1"/>
  <c r="BO278" i="1"/>
  <c r="BJ278" i="1"/>
  <c r="BI278" i="1"/>
  <c r="BH278" i="1"/>
  <c r="BC278" i="1"/>
  <c r="BB278" i="1"/>
  <c r="BA278" i="1"/>
  <c r="AV278" i="1"/>
  <c r="AU278" i="1"/>
  <c r="AT278" i="1"/>
  <c r="AO278" i="1"/>
  <c r="AN278" i="1"/>
  <c r="AC278" i="1"/>
  <c r="AB278" i="1"/>
  <c r="Y278" i="1"/>
  <c r="S278" i="1"/>
  <c r="K278" i="1"/>
  <c r="J278" i="1"/>
  <c r="C278" i="1"/>
  <c r="EV277" i="1"/>
  <c r="EU277" i="1"/>
  <c r="ET277" i="1"/>
  <c r="EC277" i="1"/>
  <c r="DQ277" i="1"/>
  <c r="DK277" i="1"/>
  <c r="DH277" i="1"/>
  <c r="DD277" i="1"/>
  <c r="CW277" i="1"/>
  <c r="CP277" i="1"/>
  <c r="CL277" i="1"/>
  <c r="CG277" i="1"/>
  <c r="CB277" i="1"/>
  <c r="BW277" i="1"/>
  <c r="BV277" i="1"/>
  <c r="BQ277" i="1"/>
  <c r="BP277" i="1"/>
  <c r="BO277" i="1"/>
  <c r="BJ277" i="1"/>
  <c r="BI277" i="1"/>
  <c r="BH277" i="1"/>
  <c r="BC277" i="1"/>
  <c r="BB277" i="1"/>
  <c r="BA277" i="1"/>
  <c r="AV277" i="1"/>
  <c r="AU277" i="1"/>
  <c r="AT277" i="1"/>
  <c r="AO277" i="1"/>
  <c r="AN277" i="1"/>
  <c r="AC277" i="1"/>
  <c r="Y277" i="1"/>
  <c r="S277" i="1"/>
  <c r="K277" i="1"/>
  <c r="J277" i="1"/>
  <c r="C277" i="1"/>
  <c r="C276" i="1"/>
  <c r="C275" i="1"/>
  <c r="EV274" i="1"/>
  <c r="EU274" i="1"/>
  <c r="ET274" i="1"/>
  <c r="EG274" i="1"/>
  <c r="EC274" i="1"/>
  <c r="DQ274" i="1"/>
  <c r="DK274" i="1"/>
  <c r="DH274" i="1"/>
  <c r="DD274" i="1"/>
  <c r="CW274" i="1"/>
  <c r="CP274" i="1"/>
  <c r="CL274" i="1"/>
  <c r="CG274" i="1"/>
  <c r="CB274" i="1"/>
  <c r="BW274" i="1"/>
  <c r="BV274" i="1"/>
  <c r="BQ274" i="1"/>
  <c r="BP274" i="1"/>
  <c r="BO274" i="1"/>
  <c r="BJ274" i="1"/>
  <c r="BI274" i="1"/>
  <c r="BH274" i="1"/>
  <c r="BC274" i="1"/>
  <c r="BB274" i="1"/>
  <c r="BA274" i="1"/>
  <c r="AV274" i="1"/>
  <c r="AU274" i="1"/>
  <c r="AT274" i="1"/>
  <c r="AO274" i="1"/>
  <c r="AN274" i="1"/>
  <c r="AC274" i="1"/>
  <c r="AB274" i="1"/>
  <c r="Y274" i="1"/>
  <c r="S274" i="1"/>
  <c r="K274" i="1"/>
  <c r="J274" i="1"/>
  <c r="C274" i="1"/>
  <c r="EV273" i="1"/>
  <c r="EU273" i="1"/>
  <c r="ET273" i="1"/>
  <c r="EG273" i="1"/>
  <c r="EC273" i="1"/>
  <c r="DQ273" i="1"/>
  <c r="DK273" i="1"/>
  <c r="DH273" i="1"/>
  <c r="DD273" i="1"/>
  <c r="CW273" i="1"/>
  <c r="CP273" i="1"/>
  <c r="CL273" i="1"/>
  <c r="CG273" i="1"/>
  <c r="CB273" i="1"/>
  <c r="BW273" i="1"/>
  <c r="BV273" i="1"/>
  <c r="BQ273" i="1"/>
  <c r="BP273" i="1"/>
  <c r="BO273" i="1"/>
  <c r="BJ273" i="1"/>
  <c r="BI273" i="1"/>
  <c r="BH273" i="1"/>
  <c r="BC273" i="1"/>
  <c r="BB273" i="1"/>
  <c r="BA273" i="1"/>
  <c r="AV273" i="1"/>
  <c r="AU273" i="1"/>
  <c r="AT273" i="1"/>
  <c r="AO273" i="1"/>
  <c r="AN273" i="1"/>
  <c r="AC273" i="1"/>
  <c r="AB273" i="1"/>
  <c r="Y273" i="1"/>
  <c r="S273" i="1"/>
  <c r="K273" i="1"/>
  <c r="J273" i="1"/>
  <c r="C273" i="1"/>
  <c r="EV272" i="1"/>
  <c r="EU272" i="1"/>
  <c r="ET272" i="1"/>
  <c r="EG272" i="1"/>
  <c r="EC272" i="1"/>
  <c r="DQ272" i="1"/>
  <c r="DK272" i="1"/>
  <c r="DH272" i="1"/>
  <c r="DD272" i="1"/>
  <c r="CW272" i="1"/>
  <c r="CP272" i="1"/>
  <c r="CL272" i="1"/>
  <c r="CG272" i="1"/>
  <c r="CB272" i="1"/>
  <c r="BW272" i="1"/>
  <c r="BV272" i="1"/>
  <c r="BQ272" i="1"/>
  <c r="BP272" i="1"/>
  <c r="BO272" i="1"/>
  <c r="BJ272" i="1"/>
  <c r="BI272" i="1"/>
  <c r="BH272" i="1"/>
  <c r="BC272" i="1"/>
  <c r="BB272" i="1"/>
  <c r="BA272" i="1"/>
  <c r="AV272" i="1"/>
  <c r="AU272" i="1"/>
  <c r="AT272" i="1"/>
  <c r="AO272" i="1"/>
  <c r="AN272" i="1"/>
  <c r="AC272" i="1"/>
  <c r="AB272" i="1"/>
  <c r="Y272" i="1"/>
  <c r="S272" i="1"/>
  <c r="K272" i="1"/>
  <c r="J272" i="1"/>
  <c r="C272" i="1"/>
  <c r="EV271" i="1"/>
  <c r="EU271" i="1"/>
  <c r="ET271" i="1"/>
  <c r="EC271" i="1"/>
  <c r="DQ271" i="1"/>
  <c r="DK271" i="1"/>
  <c r="DH271" i="1"/>
  <c r="DD271" i="1"/>
  <c r="CW271" i="1"/>
  <c r="CP271" i="1"/>
  <c r="CL271" i="1"/>
  <c r="CG271" i="1"/>
  <c r="CB271" i="1"/>
  <c r="BW271" i="1"/>
  <c r="BV271" i="1"/>
  <c r="BQ271" i="1"/>
  <c r="BP271" i="1"/>
  <c r="BO271" i="1"/>
  <c r="BJ271" i="1"/>
  <c r="BI271" i="1"/>
  <c r="BH271" i="1"/>
  <c r="BC271" i="1"/>
  <c r="BB271" i="1"/>
  <c r="BA271" i="1"/>
  <c r="AV271" i="1"/>
  <c r="AU271" i="1"/>
  <c r="AT271" i="1"/>
  <c r="AO271" i="1"/>
  <c r="AN271" i="1"/>
  <c r="AC271" i="1"/>
  <c r="Y271" i="1"/>
  <c r="S271" i="1"/>
  <c r="K271" i="1"/>
  <c r="J271" i="1"/>
  <c r="C271" i="1"/>
  <c r="EV270" i="1"/>
  <c r="EU270" i="1"/>
  <c r="ET270" i="1"/>
  <c r="EG270" i="1"/>
  <c r="EC270" i="1"/>
  <c r="DY270" i="1"/>
  <c r="DQ270" i="1"/>
  <c r="DK270" i="1"/>
  <c r="DH270" i="1"/>
  <c r="DD270" i="1"/>
  <c r="CW270" i="1"/>
  <c r="CP270" i="1"/>
  <c r="CL270" i="1"/>
  <c r="CG270" i="1"/>
  <c r="CB270" i="1"/>
  <c r="BW270" i="1"/>
  <c r="BV270" i="1"/>
  <c r="BQ270" i="1"/>
  <c r="BP270" i="1"/>
  <c r="BO270" i="1"/>
  <c r="BJ270" i="1"/>
  <c r="BI270" i="1"/>
  <c r="BH270" i="1"/>
  <c r="BC270" i="1"/>
  <c r="BB270" i="1"/>
  <c r="BA270" i="1"/>
  <c r="AV270" i="1"/>
  <c r="AU270" i="1"/>
  <c r="AT270" i="1"/>
  <c r="AO270" i="1"/>
  <c r="AN270" i="1"/>
  <c r="AJ270" i="1"/>
  <c r="AC270" i="1"/>
  <c r="AB270" i="1"/>
  <c r="Y270" i="1"/>
  <c r="S270" i="1"/>
  <c r="K270" i="1"/>
  <c r="J270" i="1"/>
  <c r="C270" i="1"/>
  <c r="EV269" i="1"/>
  <c r="EU269" i="1"/>
  <c r="ET269" i="1"/>
  <c r="EG269" i="1"/>
  <c r="EC269" i="1"/>
  <c r="DQ269" i="1"/>
  <c r="DK269" i="1"/>
  <c r="DH269" i="1"/>
  <c r="DD269" i="1"/>
  <c r="CW269" i="1"/>
  <c r="CP269" i="1"/>
  <c r="CL269" i="1"/>
  <c r="CG269" i="1"/>
  <c r="CB269" i="1"/>
  <c r="BW269" i="1"/>
  <c r="BV269" i="1"/>
  <c r="BQ269" i="1"/>
  <c r="BP269" i="1"/>
  <c r="BO269" i="1"/>
  <c r="BJ269" i="1"/>
  <c r="BI269" i="1"/>
  <c r="BH269" i="1"/>
  <c r="BC269" i="1"/>
  <c r="BB269" i="1"/>
  <c r="BA269" i="1"/>
  <c r="AV269" i="1"/>
  <c r="AU269" i="1"/>
  <c r="AT269" i="1"/>
  <c r="AO269" i="1"/>
  <c r="AN269" i="1"/>
  <c r="AC269" i="1"/>
  <c r="AB269" i="1"/>
  <c r="Y269" i="1"/>
  <c r="S269" i="1"/>
  <c r="K269" i="1"/>
  <c r="J269" i="1"/>
  <c r="C269" i="1"/>
  <c r="EV268" i="1"/>
  <c r="EU268" i="1"/>
  <c r="ET268" i="1"/>
  <c r="EG268" i="1"/>
  <c r="EC268" i="1"/>
  <c r="DY268" i="1"/>
  <c r="DQ268" i="1"/>
  <c r="DK268" i="1"/>
  <c r="DH268" i="1"/>
  <c r="DD268" i="1"/>
  <c r="CW268" i="1"/>
  <c r="CP268" i="1"/>
  <c r="CL268" i="1"/>
  <c r="CG268" i="1"/>
  <c r="CB268" i="1"/>
  <c r="BW268" i="1"/>
  <c r="BV268" i="1"/>
  <c r="BQ268" i="1"/>
  <c r="BP268" i="1"/>
  <c r="BO268" i="1"/>
  <c r="BJ268" i="1"/>
  <c r="BI268" i="1"/>
  <c r="BH268" i="1"/>
  <c r="BC268" i="1"/>
  <c r="BB268" i="1"/>
  <c r="BA268" i="1"/>
  <c r="AV268" i="1"/>
  <c r="AU268" i="1"/>
  <c r="AT268" i="1"/>
  <c r="AO268" i="1"/>
  <c r="AN268" i="1"/>
  <c r="AJ268" i="1"/>
  <c r="AC268" i="1"/>
  <c r="AB268" i="1"/>
  <c r="Y268" i="1"/>
  <c r="S268" i="1"/>
  <c r="K268" i="1"/>
  <c r="J268" i="1"/>
  <c r="C268" i="1"/>
  <c r="EV267" i="1"/>
  <c r="EU267" i="1"/>
  <c r="ET267" i="1"/>
  <c r="EG267" i="1"/>
  <c r="EC267" i="1"/>
  <c r="DQ267" i="1"/>
  <c r="DK267" i="1"/>
  <c r="DH267" i="1"/>
  <c r="DD267" i="1"/>
  <c r="CW267" i="1"/>
  <c r="CP267" i="1"/>
  <c r="CL267" i="1"/>
  <c r="CG267" i="1"/>
  <c r="CB267" i="1"/>
  <c r="BW267" i="1"/>
  <c r="BV267" i="1"/>
  <c r="BQ267" i="1"/>
  <c r="BP267" i="1"/>
  <c r="BO267" i="1"/>
  <c r="BJ267" i="1"/>
  <c r="BI267" i="1"/>
  <c r="BH267" i="1"/>
  <c r="BC267" i="1"/>
  <c r="BB267" i="1"/>
  <c r="BA267" i="1"/>
  <c r="AV267" i="1"/>
  <c r="AU267" i="1"/>
  <c r="AT267" i="1"/>
  <c r="AO267" i="1"/>
  <c r="AN267" i="1"/>
  <c r="AC267" i="1"/>
  <c r="AB267" i="1"/>
  <c r="Y267" i="1"/>
  <c r="S267" i="1"/>
  <c r="K267" i="1"/>
  <c r="J267" i="1"/>
  <c r="C267" i="1"/>
  <c r="EV266" i="1"/>
  <c r="EU266" i="1"/>
  <c r="ET266" i="1"/>
  <c r="EC266" i="1"/>
  <c r="DQ266" i="1"/>
  <c r="DK266" i="1"/>
  <c r="DH266" i="1"/>
  <c r="DD266" i="1"/>
  <c r="CW266" i="1"/>
  <c r="CP266" i="1"/>
  <c r="CL266" i="1"/>
  <c r="CG266" i="1"/>
  <c r="CB266" i="1"/>
  <c r="BW266" i="1"/>
  <c r="BV266" i="1"/>
  <c r="BQ266" i="1"/>
  <c r="BP266" i="1"/>
  <c r="BO266" i="1"/>
  <c r="BJ266" i="1"/>
  <c r="BI266" i="1"/>
  <c r="BH266" i="1"/>
  <c r="BC266" i="1"/>
  <c r="BB266" i="1"/>
  <c r="BA266" i="1"/>
  <c r="AV266" i="1"/>
  <c r="AU266" i="1"/>
  <c r="AT266" i="1"/>
  <c r="AO266" i="1"/>
  <c r="AN266" i="1"/>
  <c r="AC266" i="1"/>
  <c r="Y266" i="1"/>
  <c r="S266" i="1"/>
  <c r="K266" i="1"/>
  <c r="J266" i="1"/>
  <c r="C266" i="1"/>
  <c r="EV265" i="1"/>
  <c r="EU265" i="1"/>
  <c r="ET265" i="1"/>
  <c r="EC265" i="1"/>
  <c r="DY265" i="1"/>
  <c r="DQ265" i="1"/>
  <c r="DK265" i="1"/>
  <c r="DH265" i="1"/>
  <c r="DD265" i="1"/>
  <c r="CW265" i="1"/>
  <c r="CL265" i="1"/>
  <c r="CG265" i="1"/>
  <c r="CB265" i="1"/>
  <c r="BW265" i="1"/>
  <c r="BV265" i="1"/>
  <c r="BQ265" i="1"/>
  <c r="BP265" i="1"/>
  <c r="BO265" i="1"/>
  <c r="BJ265" i="1"/>
  <c r="BI265" i="1"/>
  <c r="BH265" i="1"/>
  <c r="BC265" i="1"/>
  <c r="BB265" i="1"/>
  <c r="BA265" i="1"/>
  <c r="AV265" i="1"/>
  <c r="AU265" i="1"/>
  <c r="AT265" i="1"/>
  <c r="AO265" i="1"/>
  <c r="AN265" i="1"/>
  <c r="AJ265" i="1"/>
  <c r="AC265" i="1"/>
  <c r="Y265" i="1"/>
  <c r="S265" i="1"/>
  <c r="K265" i="1"/>
  <c r="J265" i="1"/>
  <c r="C265" i="1"/>
  <c r="EV264" i="1"/>
  <c r="EU264" i="1"/>
  <c r="ET264" i="1"/>
  <c r="EG264" i="1"/>
  <c r="EC264" i="1"/>
  <c r="DQ264" i="1"/>
  <c r="DK264" i="1"/>
  <c r="DH264" i="1"/>
  <c r="DD264" i="1"/>
  <c r="CW264" i="1"/>
  <c r="CP264" i="1"/>
  <c r="CL264" i="1"/>
  <c r="CG264" i="1"/>
  <c r="CB264" i="1"/>
  <c r="BW264" i="1"/>
  <c r="BV264" i="1"/>
  <c r="BQ264" i="1"/>
  <c r="BP264" i="1"/>
  <c r="BO264" i="1"/>
  <c r="BJ264" i="1"/>
  <c r="BI264" i="1"/>
  <c r="BH264" i="1"/>
  <c r="BC264" i="1"/>
  <c r="BB264" i="1"/>
  <c r="BA264" i="1"/>
  <c r="AV264" i="1"/>
  <c r="AU264" i="1"/>
  <c r="AT264" i="1"/>
  <c r="AO264" i="1"/>
  <c r="AN264" i="1"/>
  <c r="AC264" i="1"/>
  <c r="AB264" i="1"/>
  <c r="Y264" i="1"/>
  <c r="S264" i="1"/>
  <c r="K264" i="1"/>
  <c r="J264" i="1"/>
  <c r="C264" i="1"/>
  <c r="EV263" i="1"/>
  <c r="EU263" i="1"/>
  <c r="ET263" i="1"/>
  <c r="EG263" i="1"/>
  <c r="EC263" i="1"/>
  <c r="DQ263" i="1"/>
  <c r="DK263" i="1"/>
  <c r="DH263" i="1"/>
  <c r="DD263" i="1"/>
  <c r="CW263" i="1"/>
  <c r="CP263" i="1"/>
  <c r="CL263" i="1"/>
  <c r="CG263" i="1"/>
  <c r="CB263" i="1"/>
  <c r="BW263" i="1"/>
  <c r="BV263" i="1"/>
  <c r="BQ263" i="1"/>
  <c r="BP263" i="1"/>
  <c r="BO263" i="1"/>
  <c r="BJ263" i="1"/>
  <c r="BI263" i="1"/>
  <c r="BH263" i="1"/>
  <c r="BC263" i="1"/>
  <c r="BB263" i="1"/>
  <c r="BA263" i="1"/>
  <c r="AV263" i="1"/>
  <c r="AU263" i="1"/>
  <c r="AT263" i="1"/>
  <c r="AO263" i="1"/>
  <c r="AN263" i="1"/>
  <c r="AC263" i="1"/>
  <c r="AB263" i="1"/>
  <c r="Y263" i="1"/>
  <c r="S263" i="1"/>
  <c r="K263" i="1"/>
  <c r="J263" i="1"/>
  <c r="C263" i="1"/>
  <c r="EV262" i="1"/>
  <c r="EU262" i="1"/>
  <c r="ET262" i="1"/>
  <c r="EG262" i="1"/>
  <c r="EC262" i="1"/>
  <c r="DQ262" i="1"/>
  <c r="DK262" i="1"/>
  <c r="DH262" i="1"/>
  <c r="DD262" i="1"/>
  <c r="CW262" i="1"/>
  <c r="CP262" i="1"/>
  <c r="CL262" i="1"/>
  <c r="CG262" i="1"/>
  <c r="CB262" i="1"/>
  <c r="BW262" i="1"/>
  <c r="BV262" i="1"/>
  <c r="BQ262" i="1"/>
  <c r="BP262" i="1"/>
  <c r="BO262" i="1"/>
  <c r="BJ262" i="1"/>
  <c r="BI262" i="1"/>
  <c r="BH262" i="1"/>
  <c r="BC262" i="1"/>
  <c r="BB262" i="1"/>
  <c r="BA262" i="1"/>
  <c r="AV262" i="1"/>
  <c r="AU262" i="1"/>
  <c r="AT262" i="1"/>
  <c r="AO262" i="1"/>
  <c r="AN262" i="1"/>
  <c r="AC262" i="1"/>
  <c r="AB262" i="1"/>
  <c r="Y262" i="1"/>
  <c r="S262" i="1"/>
  <c r="K262" i="1"/>
  <c r="J262" i="1"/>
  <c r="C262" i="1"/>
  <c r="EV261" i="1"/>
  <c r="EU261" i="1"/>
  <c r="ET261" i="1"/>
  <c r="EG261" i="1"/>
  <c r="EC261" i="1"/>
  <c r="DQ261" i="1"/>
  <c r="DK261" i="1"/>
  <c r="DH261" i="1"/>
  <c r="DD261" i="1"/>
  <c r="CW261" i="1"/>
  <c r="CP261" i="1"/>
  <c r="CL261" i="1"/>
  <c r="CG261" i="1"/>
  <c r="CB261" i="1"/>
  <c r="BW261" i="1"/>
  <c r="BV261" i="1"/>
  <c r="BQ261" i="1"/>
  <c r="BP261" i="1"/>
  <c r="BO261" i="1"/>
  <c r="BJ261" i="1"/>
  <c r="BI261" i="1"/>
  <c r="BH261" i="1"/>
  <c r="BC261" i="1"/>
  <c r="BB261" i="1"/>
  <c r="BA261" i="1"/>
  <c r="AV261" i="1"/>
  <c r="AU261" i="1"/>
  <c r="AT261" i="1"/>
  <c r="AO261" i="1"/>
  <c r="AN261" i="1"/>
  <c r="AC261" i="1"/>
  <c r="AB261" i="1"/>
  <c r="Y261" i="1"/>
  <c r="S261" i="1"/>
  <c r="K261" i="1"/>
  <c r="J261" i="1"/>
  <c r="C261" i="1"/>
  <c r="EV260" i="1"/>
  <c r="EU260" i="1"/>
  <c r="ET260" i="1"/>
  <c r="EG260" i="1"/>
  <c r="EC260" i="1"/>
  <c r="DQ260" i="1"/>
  <c r="DK260" i="1"/>
  <c r="DH260" i="1"/>
  <c r="DD260" i="1"/>
  <c r="CW260" i="1"/>
  <c r="CP260" i="1"/>
  <c r="CL260" i="1"/>
  <c r="CG260" i="1"/>
  <c r="CB260" i="1"/>
  <c r="BW260" i="1"/>
  <c r="BV260" i="1"/>
  <c r="BQ260" i="1"/>
  <c r="BP260" i="1"/>
  <c r="BO260" i="1"/>
  <c r="BJ260" i="1"/>
  <c r="BI260" i="1"/>
  <c r="BH260" i="1"/>
  <c r="BC260" i="1"/>
  <c r="BB260" i="1"/>
  <c r="BA260" i="1"/>
  <c r="AV260" i="1"/>
  <c r="AU260" i="1"/>
  <c r="AT260" i="1"/>
  <c r="AO260" i="1"/>
  <c r="AN260" i="1"/>
  <c r="AC260" i="1"/>
  <c r="AB260" i="1"/>
  <c r="Y260" i="1"/>
  <c r="S260" i="1"/>
  <c r="K260" i="1"/>
  <c r="J260" i="1"/>
  <c r="C260" i="1"/>
  <c r="EV259" i="1"/>
  <c r="EU259" i="1"/>
  <c r="ET259" i="1"/>
  <c r="EC259" i="1"/>
  <c r="DQ259" i="1"/>
  <c r="DK259" i="1"/>
  <c r="DH259" i="1"/>
  <c r="DD259" i="1"/>
  <c r="CW259" i="1"/>
  <c r="CP259" i="1"/>
  <c r="CL259" i="1"/>
  <c r="CG259" i="1"/>
  <c r="CB259" i="1"/>
  <c r="BW259" i="1"/>
  <c r="BV259" i="1"/>
  <c r="BQ259" i="1"/>
  <c r="BP259" i="1"/>
  <c r="BO259" i="1"/>
  <c r="BJ259" i="1"/>
  <c r="BI259" i="1"/>
  <c r="BH259" i="1"/>
  <c r="BC259" i="1"/>
  <c r="BB259" i="1"/>
  <c r="BA259" i="1"/>
  <c r="AV259" i="1"/>
  <c r="AU259" i="1"/>
  <c r="AT259" i="1"/>
  <c r="AO259" i="1"/>
  <c r="AN259" i="1"/>
  <c r="AC259" i="1"/>
  <c r="Y259" i="1"/>
  <c r="S259" i="1"/>
  <c r="K259" i="1"/>
  <c r="J259" i="1"/>
  <c r="C259" i="1"/>
  <c r="EV258" i="1"/>
  <c r="EU258" i="1"/>
  <c r="ET258" i="1"/>
  <c r="EG258" i="1"/>
  <c r="EC258" i="1"/>
  <c r="DQ258" i="1"/>
  <c r="DK258" i="1"/>
  <c r="DH258" i="1"/>
  <c r="DD258" i="1"/>
  <c r="CW258" i="1"/>
  <c r="CP258" i="1"/>
  <c r="CL258" i="1"/>
  <c r="CG258" i="1"/>
  <c r="CB258" i="1"/>
  <c r="BW258" i="1"/>
  <c r="BV258" i="1"/>
  <c r="BQ258" i="1"/>
  <c r="BP258" i="1"/>
  <c r="BO258" i="1"/>
  <c r="BJ258" i="1"/>
  <c r="BI258" i="1"/>
  <c r="BH258" i="1"/>
  <c r="BC258" i="1"/>
  <c r="BB258" i="1"/>
  <c r="BA258" i="1"/>
  <c r="AV258" i="1"/>
  <c r="AU258" i="1"/>
  <c r="AT258" i="1"/>
  <c r="AO258" i="1"/>
  <c r="AN258" i="1"/>
  <c r="AC258" i="1"/>
  <c r="AB258" i="1"/>
  <c r="Y258" i="1"/>
  <c r="S258" i="1"/>
  <c r="K258" i="1"/>
  <c r="J258" i="1"/>
  <c r="C258" i="1"/>
  <c r="EV257" i="1"/>
  <c r="EU257" i="1"/>
  <c r="ET257" i="1"/>
  <c r="EC257" i="1"/>
  <c r="DQ257" i="1"/>
  <c r="DK257" i="1"/>
  <c r="DH257" i="1"/>
  <c r="DD257" i="1"/>
  <c r="CW257" i="1"/>
  <c r="CP257" i="1"/>
  <c r="CL257" i="1"/>
  <c r="CG257" i="1"/>
  <c r="CB257" i="1"/>
  <c r="BW257" i="1"/>
  <c r="BV257" i="1"/>
  <c r="BQ257" i="1"/>
  <c r="BP257" i="1"/>
  <c r="BO257" i="1"/>
  <c r="BJ257" i="1"/>
  <c r="BI257" i="1"/>
  <c r="BH257" i="1"/>
  <c r="BC257" i="1"/>
  <c r="BB257" i="1"/>
  <c r="BA257" i="1"/>
  <c r="AV257" i="1"/>
  <c r="AU257" i="1"/>
  <c r="AT257" i="1"/>
  <c r="AO257" i="1"/>
  <c r="AN257" i="1"/>
  <c r="AC257" i="1"/>
  <c r="Y257" i="1"/>
  <c r="S257" i="1"/>
  <c r="K257" i="1"/>
  <c r="J257" i="1"/>
  <c r="C257" i="1"/>
  <c r="EV256" i="1"/>
  <c r="EU256" i="1"/>
  <c r="ET256" i="1"/>
  <c r="EG256" i="1"/>
  <c r="EC256" i="1"/>
  <c r="DQ256" i="1"/>
  <c r="DK256" i="1"/>
  <c r="DH256" i="1"/>
  <c r="DD256" i="1"/>
  <c r="CW256" i="1"/>
  <c r="CP256" i="1"/>
  <c r="CL256" i="1"/>
  <c r="CG256" i="1"/>
  <c r="CB256" i="1"/>
  <c r="BW256" i="1"/>
  <c r="BV256" i="1"/>
  <c r="BQ256" i="1"/>
  <c r="BP256" i="1"/>
  <c r="BO256" i="1"/>
  <c r="BJ256" i="1"/>
  <c r="BI256" i="1"/>
  <c r="BH256" i="1"/>
  <c r="BC256" i="1"/>
  <c r="BB256" i="1"/>
  <c r="BA256" i="1"/>
  <c r="AV256" i="1"/>
  <c r="AU256" i="1"/>
  <c r="AT256" i="1"/>
  <c r="AO256" i="1"/>
  <c r="AN256" i="1"/>
  <c r="AC256" i="1"/>
  <c r="AB256" i="1"/>
  <c r="Y256" i="1"/>
  <c r="S256" i="1"/>
  <c r="K256" i="1"/>
  <c r="J256" i="1"/>
  <c r="C256" i="1"/>
  <c r="EV255" i="1"/>
  <c r="EU255" i="1"/>
  <c r="ET255" i="1"/>
  <c r="EG255" i="1"/>
  <c r="EC255" i="1"/>
  <c r="DQ255" i="1"/>
  <c r="DK255" i="1"/>
  <c r="DH255" i="1"/>
  <c r="DD255" i="1"/>
  <c r="CW255" i="1"/>
  <c r="CP255" i="1"/>
  <c r="CL255" i="1"/>
  <c r="CG255" i="1"/>
  <c r="CB255" i="1"/>
  <c r="BW255" i="1"/>
  <c r="BV255" i="1"/>
  <c r="BQ255" i="1"/>
  <c r="BP255" i="1"/>
  <c r="BO255" i="1"/>
  <c r="BJ255" i="1"/>
  <c r="BI255" i="1"/>
  <c r="BH255" i="1"/>
  <c r="BC255" i="1"/>
  <c r="BB255" i="1"/>
  <c r="BA255" i="1"/>
  <c r="AV255" i="1"/>
  <c r="AU255" i="1"/>
  <c r="AT255" i="1"/>
  <c r="AO255" i="1"/>
  <c r="AN255" i="1"/>
  <c r="AC255" i="1"/>
  <c r="AB255" i="1"/>
  <c r="Y255" i="1"/>
  <c r="S255" i="1"/>
  <c r="K255" i="1"/>
  <c r="J255" i="1"/>
  <c r="C255" i="1"/>
  <c r="EV254" i="1"/>
  <c r="EU254" i="1"/>
  <c r="ET254" i="1"/>
  <c r="EC254" i="1"/>
  <c r="DQ254" i="1"/>
  <c r="DK254" i="1"/>
  <c r="DH254" i="1"/>
  <c r="DD254" i="1"/>
  <c r="CW254" i="1"/>
  <c r="CP254" i="1"/>
  <c r="CL254" i="1"/>
  <c r="CG254" i="1"/>
  <c r="CB254" i="1"/>
  <c r="BW254" i="1"/>
  <c r="BV254" i="1"/>
  <c r="BQ254" i="1"/>
  <c r="BP254" i="1"/>
  <c r="BO254" i="1"/>
  <c r="BJ254" i="1"/>
  <c r="BI254" i="1"/>
  <c r="BH254" i="1"/>
  <c r="BC254" i="1"/>
  <c r="BB254" i="1"/>
  <c r="BA254" i="1"/>
  <c r="AV254" i="1"/>
  <c r="AU254" i="1"/>
  <c r="AT254" i="1"/>
  <c r="AO254" i="1"/>
  <c r="AN254" i="1"/>
  <c r="AC254" i="1"/>
  <c r="Y254" i="1"/>
  <c r="S254" i="1"/>
  <c r="K254" i="1"/>
  <c r="J254" i="1"/>
  <c r="C254" i="1"/>
  <c r="EV253" i="1"/>
  <c r="EU253" i="1"/>
  <c r="ET253" i="1"/>
  <c r="EC253" i="1"/>
  <c r="DQ253" i="1"/>
  <c r="DK253" i="1"/>
  <c r="DH253" i="1"/>
  <c r="DD253" i="1"/>
  <c r="CW253" i="1"/>
  <c r="CP253" i="1"/>
  <c r="CL253" i="1"/>
  <c r="CG253" i="1"/>
  <c r="CB253" i="1"/>
  <c r="BW253" i="1"/>
  <c r="BV253" i="1"/>
  <c r="BQ253" i="1"/>
  <c r="BP253" i="1"/>
  <c r="BO253" i="1"/>
  <c r="BJ253" i="1"/>
  <c r="BI253" i="1"/>
  <c r="BH253" i="1"/>
  <c r="BC253" i="1"/>
  <c r="BB253" i="1"/>
  <c r="BA253" i="1"/>
  <c r="AV253" i="1"/>
  <c r="AU253" i="1"/>
  <c r="AT253" i="1"/>
  <c r="AO253" i="1"/>
  <c r="AN253" i="1"/>
  <c r="AC253" i="1"/>
  <c r="Y253" i="1"/>
  <c r="S253" i="1"/>
  <c r="K253" i="1"/>
  <c r="J253" i="1"/>
  <c r="C253" i="1"/>
  <c r="EV252" i="1"/>
  <c r="EU252" i="1"/>
  <c r="ET252" i="1"/>
  <c r="EC252" i="1"/>
  <c r="DQ252" i="1"/>
  <c r="DK252" i="1"/>
  <c r="DH252" i="1"/>
  <c r="DD252" i="1"/>
  <c r="CW252" i="1"/>
  <c r="CP252" i="1"/>
  <c r="CL252" i="1"/>
  <c r="CG252" i="1"/>
  <c r="CB252" i="1"/>
  <c r="BW252" i="1"/>
  <c r="BV252" i="1"/>
  <c r="BQ252" i="1"/>
  <c r="BP252" i="1"/>
  <c r="BO252" i="1"/>
  <c r="BJ252" i="1"/>
  <c r="BI252" i="1"/>
  <c r="BH252" i="1"/>
  <c r="BC252" i="1"/>
  <c r="BB252" i="1"/>
  <c r="BA252" i="1"/>
  <c r="AV252" i="1"/>
  <c r="AU252" i="1"/>
  <c r="AT252" i="1"/>
  <c r="AO252" i="1"/>
  <c r="AN252" i="1"/>
  <c r="AC252" i="1"/>
  <c r="Y252" i="1"/>
  <c r="S252" i="1"/>
  <c r="K252" i="1"/>
  <c r="J252" i="1"/>
  <c r="C252" i="1"/>
  <c r="EV251" i="1"/>
  <c r="EU251" i="1"/>
  <c r="ET251" i="1"/>
  <c r="EC251" i="1"/>
  <c r="DY251" i="1"/>
  <c r="DQ251" i="1"/>
  <c r="DK251" i="1"/>
  <c r="DH251" i="1"/>
  <c r="DD251" i="1"/>
  <c r="CW251" i="1"/>
  <c r="CP251" i="1"/>
  <c r="CL251" i="1"/>
  <c r="CG251" i="1"/>
  <c r="CB251" i="1"/>
  <c r="BW251" i="1"/>
  <c r="BV251" i="1"/>
  <c r="BQ251" i="1"/>
  <c r="BP251" i="1"/>
  <c r="BO251" i="1"/>
  <c r="BJ251" i="1"/>
  <c r="BI251" i="1"/>
  <c r="BH251" i="1"/>
  <c r="BC251" i="1"/>
  <c r="BB251" i="1"/>
  <c r="BA251" i="1"/>
  <c r="AV251" i="1"/>
  <c r="AU251" i="1"/>
  <c r="AT251" i="1"/>
  <c r="AO251" i="1"/>
  <c r="AN251" i="1"/>
  <c r="AJ251" i="1"/>
  <c r="AC251" i="1"/>
  <c r="Y251" i="1"/>
  <c r="S251" i="1"/>
  <c r="K251" i="1"/>
  <c r="J251" i="1"/>
  <c r="C251" i="1"/>
  <c r="EV250" i="1"/>
  <c r="EU250" i="1"/>
  <c r="ET250" i="1"/>
  <c r="EG250" i="1"/>
  <c r="EC250" i="1"/>
  <c r="DQ250" i="1"/>
  <c r="DK250" i="1"/>
  <c r="DH250" i="1"/>
  <c r="DD250" i="1"/>
  <c r="CW250" i="1"/>
  <c r="CP250" i="1"/>
  <c r="CL250" i="1"/>
  <c r="CG250" i="1"/>
  <c r="CB250" i="1"/>
  <c r="BW250" i="1"/>
  <c r="BV250" i="1"/>
  <c r="BQ250" i="1"/>
  <c r="BP250" i="1"/>
  <c r="BO250" i="1"/>
  <c r="BJ250" i="1"/>
  <c r="BI250" i="1"/>
  <c r="BH250" i="1"/>
  <c r="BC250" i="1"/>
  <c r="BB250" i="1"/>
  <c r="BA250" i="1"/>
  <c r="AV250" i="1"/>
  <c r="AU250" i="1"/>
  <c r="AT250" i="1"/>
  <c r="AO250" i="1"/>
  <c r="AN250" i="1"/>
  <c r="AC250" i="1"/>
  <c r="AB250" i="1"/>
  <c r="Y250" i="1"/>
  <c r="S250" i="1"/>
  <c r="K250" i="1"/>
  <c r="J250" i="1"/>
  <c r="C250" i="1"/>
  <c r="EV249" i="1"/>
  <c r="EU249" i="1"/>
  <c r="ET249" i="1"/>
  <c r="EC249" i="1"/>
  <c r="DY249" i="1"/>
  <c r="DQ249" i="1"/>
  <c r="DK249" i="1"/>
  <c r="DH249" i="1"/>
  <c r="DD249" i="1"/>
  <c r="CW249" i="1"/>
  <c r="CP249" i="1"/>
  <c r="CL249" i="1"/>
  <c r="CG249" i="1"/>
  <c r="CB249" i="1"/>
  <c r="BW249" i="1"/>
  <c r="BV249" i="1"/>
  <c r="BQ249" i="1"/>
  <c r="BP249" i="1"/>
  <c r="BO249" i="1"/>
  <c r="BJ249" i="1"/>
  <c r="BI249" i="1"/>
  <c r="BH249" i="1"/>
  <c r="BC249" i="1"/>
  <c r="BB249" i="1"/>
  <c r="BA249" i="1"/>
  <c r="AV249" i="1"/>
  <c r="AU249" i="1"/>
  <c r="AT249" i="1"/>
  <c r="AO249" i="1"/>
  <c r="AN249" i="1"/>
  <c r="AJ249" i="1"/>
  <c r="AC249" i="1"/>
  <c r="Y249" i="1"/>
  <c r="S249" i="1"/>
  <c r="K249" i="1"/>
  <c r="J249" i="1"/>
  <c r="C249" i="1"/>
  <c r="EV248" i="1"/>
  <c r="EU248" i="1"/>
  <c r="ET248" i="1"/>
  <c r="EG248" i="1"/>
  <c r="EC248" i="1"/>
  <c r="DQ248" i="1"/>
  <c r="DK248" i="1"/>
  <c r="DH248" i="1"/>
  <c r="DD248" i="1"/>
  <c r="CW248" i="1"/>
  <c r="CP248" i="1"/>
  <c r="CL248" i="1"/>
  <c r="CG248" i="1"/>
  <c r="CB248" i="1"/>
  <c r="BW248" i="1"/>
  <c r="BV248" i="1"/>
  <c r="BQ248" i="1"/>
  <c r="BP248" i="1"/>
  <c r="BO248" i="1"/>
  <c r="BJ248" i="1"/>
  <c r="BI248" i="1"/>
  <c r="BH248" i="1"/>
  <c r="BC248" i="1"/>
  <c r="BB248" i="1"/>
  <c r="BA248" i="1"/>
  <c r="AV248" i="1"/>
  <c r="AU248" i="1"/>
  <c r="AT248" i="1"/>
  <c r="AO248" i="1"/>
  <c r="AN248" i="1"/>
  <c r="AC248" i="1"/>
  <c r="AB248" i="1"/>
  <c r="Y248" i="1"/>
  <c r="S248" i="1"/>
  <c r="K248" i="1"/>
  <c r="J248" i="1"/>
  <c r="C248" i="1"/>
  <c r="EV247" i="1"/>
  <c r="EU247" i="1"/>
  <c r="ET247" i="1"/>
  <c r="EC247" i="1"/>
  <c r="DQ247" i="1"/>
  <c r="DK247" i="1"/>
  <c r="DH247" i="1"/>
  <c r="DD247" i="1"/>
  <c r="CW247" i="1"/>
  <c r="CP247" i="1"/>
  <c r="CL247" i="1"/>
  <c r="CG247" i="1"/>
  <c r="CB247" i="1"/>
  <c r="BW247" i="1"/>
  <c r="BV247" i="1"/>
  <c r="BQ247" i="1"/>
  <c r="BP247" i="1"/>
  <c r="BO247" i="1"/>
  <c r="BJ247" i="1"/>
  <c r="BI247" i="1"/>
  <c r="BH247" i="1"/>
  <c r="BC247" i="1"/>
  <c r="BB247" i="1"/>
  <c r="BA247" i="1"/>
  <c r="AV247" i="1"/>
  <c r="AU247" i="1"/>
  <c r="AT247" i="1"/>
  <c r="AO247" i="1"/>
  <c r="AN247" i="1"/>
  <c r="AC247" i="1"/>
  <c r="Y247" i="1"/>
  <c r="S247" i="1"/>
  <c r="K247" i="1"/>
  <c r="J247" i="1"/>
  <c r="C247" i="1"/>
  <c r="EV246" i="1"/>
  <c r="EU246" i="1"/>
  <c r="ET246" i="1"/>
  <c r="EC246" i="1"/>
  <c r="DY246" i="1"/>
  <c r="DQ246" i="1"/>
  <c r="DK246" i="1"/>
  <c r="DH246" i="1"/>
  <c r="DD246" i="1"/>
  <c r="CW246" i="1"/>
  <c r="CP246" i="1"/>
  <c r="CL246" i="1"/>
  <c r="CG246" i="1"/>
  <c r="CB246" i="1"/>
  <c r="BW246" i="1"/>
  <c r="BV246" i="1"/>
  <c r="BQ246" i="1"/>
  <c r="BP246" i="1"/>
  <c r="BO246" i="1"/>
  <c r="BJ246" i="1"/>
  <c r="BI246" i="1"/>
  <c r="BH246" i="1"/>
  <c r="BC246" i="1"/>
  <c r="BB246" i="1"/>
  <c r="BA246" i="1"/>
  <c r="AV246" i="1"/>
  <c r="AU246" i="1"/>
  <c r="AT246" i="1"/>
  <c r="AO246" i="1"/>
  <c r="AN246" i="1"/>
  <c r="AJ246" i="1"/>
  <c r="AC246" i="1"/>
  <c r="Y246" i="1"/>
  <c r="S246" i="1"/>
  <c r="K246" i="1"/>
  <c r="J246" i="1"/>
  <c r="C246" i="1"/>
  <c r="EV245" i="1"/>
  <c r="EU245" i="1"/>
  <c r="ET245" i="1"/>
  <c r="EC245" i="1"/>
  <c r="DQ245" i="1"/>
  <c r="DK245" i="1"/>
  <c r="DH245" i="1"/>
  <c r="DD245" i="1"/>
  <c r="CW245" i="1"/>
  <c r="CP245" i="1"/>
  <c r="CL245" i="1"/>
  <c r="CG245" i="1"/>
  <c r="CB245" i="1"/>
  <c r="BW245" i="1"/>
  <c r="BV245" i="1"/>
  <c r="BQ245" i="1"/>
  <c r="BP245" i="1"/>
  <c r="BO245" i="1"/>
  <c r="BJ245" i="1"/>
  <c r="BI245" i="1"/>
  <c r="BH245" i="1"/>
  <c r="BC245" i="1"/>
  <c r="BB245" i="1"/>
  <c r="BA245" i="1"/>
  <c r="AV245" i="1"/>
  <c r="AU245" i="1"/>
  <c r="AT245" i="1"/>
  <c r="AO245" i="1"/>
  <c r="AN245" i="1"/>
  <c r="AC245" i="1"/>
  <c r="Y245" i="1"/>
  <c r="S245" i="1"/>
  <c r="K245" i="1"/>
  <c r="J245" i="1"/>
  <c r="C245" i="1"/>
  <c r="C244" i="1"/>
  <c r="EV243" i="1"/>
  <c r="EU243" i="1"/>
  <c r="ET243" i="1"/>
  <c r="EG243" i="1"/>
  <c r="EC243" i="1"/>
  <c r="DQ243" i="1"/>
  <c r="DK243" i="1"/>
  <c r="DH243" i="1"/>
  <c r="DD243" i="1"/>
  <c r="CW243" i="1"/>
  <c r="CP243" i="1"/>
  <c r="CL243" i="1"/>
  <c r="CG243" i="1"/>
  <c r="CB243" i="1"/>
  <c r="BW243" i="1"/>
  <c r="BV243" i="1"/>
  <c r="BQ243" i="1"/>
  <c r="BP243" i="1"/>
  <c r="BO243" i="1"/>
  <c r="BJ243" i="1"/>
  <c r="BI243" i="1"/>
  <c r="BH243" i="1"/>
  <c r="BC243" i="1"/>
  <c r="BB243" i="1"/>
  <c r="BA243" i="1"/>
  <c r="AV243" i="1"/>
  <c r="AU243" i="1"/>
  <c r="AT243" i="1"/>
  <c r="AO243" i="1"/>
  <c r="AN243" i="1"/>
  <c r="AC243" i="1"/>
  <c r="AB243" i="1"/>
  <c r="Y243" i="1"/>
  <c r="S243" i="1"/>
  <c r="K243" i="1"/>
  <c r="J243" i="1"/>
  <c r="C243" i="1"/>
  <c r="EV242" i="1"/>
  <c r="EU242" i="1"/>
  <c r="ET242" i="1"/>
  <c r="EC242" i="1"/>
  <c r="DQ242" i="1"/>
  <c r="DK242" i="1"/>
  <c r="DH242" i="1"/>
  <c r="DD242" i="1"/>
  <c r="CW242" i="1"/>
  <c r="CP242" i="1"/>
  <c r="CL242" i="1"/>
  <c r="CG242" i="1"/>
  <c r="CB242" i="1"/>
  <c r="BW242" i="1"/>
  <c r="BV242" i="1"/>
  <c r="BQ242" i="1"/>
  <c r="BP242" i="1"/>
  <c r="BO242" i="1"/>
  <c r="BJ242" i="1"/>
  <c r="BI242" i="1"/>
  <c r="BH242" i="1"/>
  <c r="BC242" i="1"/>
  <c r="BB242" i="1"/>
  <c r="BA242" i="1"/>
  <c r="AV242" i="1"/>
  <c r="AU242" i="1"/>
  <c r="AT242" i="1"/>
  <c r="AO242" i="1"/>
  <c r="AN242" i="1"/>
  <c r="AC242" i="1"/>
  <c r="Y242" i="1"/>
  <c r="S242" i="1"/>
  <c r="K242" i="1"/>
  <c r="J242" i="1"/>
  <c r="C242" i="1"/>
  <c r="EV241" i="1"/>
  <c r="EU241" i="1"/>
  <c r="ET241" i="1"/>
  <c r="EG241" i="1"/>
  <c r="EC241" i="1"/>
  <c r="DY241" i="1"/>
  <c r="DQ241" i="1"/>
  <c r="DK241" i="1"/>
  <c r="DH241" i="1"/>
  <c r="DD241" i="1"/>
  <c r="CW241" i="1"/>
  <c r="CP241" i="1"/>
  <c r="CL241" i="1"/>
  <c r="CG241" i="1"/>
  <c r="CB241" i="1"/>
  <c r="BW241" i="1"/>
  <c r="BV241" i="1"/>
  <c r="BQ241" i="1"/>
  <c r="BP241" i="1"/>
  <c r="BO241" i="1"/>
  <c r="BJ241" i="1"/>
  <c r="BI241" i="1"/>
  <c r="BH241" i="1"/>
  <c r="BC241" i="1"/>
  <c r="BB241" i="1"/>
  <c r="BA241" i="1"/>
  <c r="AV241" i="1"/>
  <c r="AU241" i="1"/>
  <c r="AT241" i="1"/>
  <c r="AO241" i="1"/>
  <c r="AN241" i="1"/>
  <c r="AJ241" i="1"/>
  <c r="AC241" i="1"/>
  <c r="AB241" i="1"/>
  <c r="Y241" i="1"/>
  <c r="S241" i="1"/>
  <c r="K241" i="1"/>
  <c r="J241" i="1"/>
  <c r="C241" i="1"/>
  <c r="EV240" i="1"/>
  <c r="EU240" i="1"/>
  <c r="ET240" i="1"/>
  <c r="EG240" i="1"/>
  <c r="EC240" i="1"/>
  <c r="DQ240" i="1"/>
  <c r="DK240" i="1"/>
  <c r="DH240" i="1"/>
  <c r="DD240" i="1"/>
  <c r="CW240" i="1"/>
  <c r="CP240" i="1"/>
  <c r="CL240" i="1"/>
  <c r="CG240" i="1"/>
  <c r="CB240" i="1"/>
  <c r="BW240" i="1"/>
  <c r="BV240" i="1"/>
  <c r="BQ240" i="1"/>
  <c r="BP240" i="1"/>
  <c r="BO240" i="1"/>
  <c r="BJ240" i="1"/>
  <c r="BI240" i="1"/>
  <c r="BH240" i="1"/>
  <c r="BC240" i="1"/>
  <c r="BB240" i="1"/>
  <c r="BA240" i="1"/>
  <c r="AV240" i="1"/>
  <c r="AU240" i="1"/>
  <c r="AT240" i="1"/>
  <c r="AO240" i="1"/>
  <c r="AN240" i="1"/>
  <c r="AC240" i="1"/>
  <c r="AB240" i="1"/>
  <c r="Y240" i="1"/>
  <c r="S240" i="1"/>
  <c r="K240" i="1"/>
  <c r="J240" i="1"/>
  <c r="C240" i="1"/>
  <c r="EV239" i="1"/>
  <c r="EU239" i="1"/>
  <c r="ET239" i="1"/>
  <c r="EC239" i="1"/>
  <c r="DQ239" i="1"/>
  <c r="DK239" i="1"/>
  <c r="DH239" i="1"/>
  <c r="DD239" i="1"/>
  <c r="CW239" i="1"/>
  <c r="CP239" i="1"/>
  <c r="CL239" i="1"/>
  <c r="CG239" i="1"/>
  <c r="CB239" i="1"/>
  <c r="BW239" i="1"/>
  <c r="BV239" i="1"/>
  <c r="BQ239" i="1"/>
  <c r="BP239" i="1"/>
  <c r="BO239" i="1"/>
  <c r="BJ239" i="1"/>
  <c r="BI239" i="1"/>
  <c r="BH239" i="1"/>
  <c r="BC239" i="1"/>
  <c r="BB239" i="1"/>
  <c r="BA239" i="1"/>
  <c r="AV239" i="1"/>
  <c r="AU239" i="1"/>
  <c r="AT239" i="1"/>
  <c r="AO239" i="1"/>
  <c r="AN239" i="1"/>
  <c r="AC239" i="1"/>
  <c r="Y239" i="1"/>
  <c r="S239" i="1"/>
  <c r="K239" i="1"/>
  <c r="J239" i="1"/>
  <c r="C239" i="1"/>
  <c r="EV238" i="1"/>
  <c r="EU238" i="1"/>
  <c r="ET238" i="1"/>
  <c r="EC238" i="1"/>
  <c r="DQ238" i="1"/>
  <c r="DK238" i="1"/>
  <c r="DH238" i="1"/>
  <c r="DD238" i="1"/>
  <c r="CW238" i="1"/>
  <c r="CP238" i="1"/>
  <c r="CL238" i="1"/>
  <c r="CG238" i="1"/>
  <c r="CB238" i="1"/>
  <c r="BW238" i="1"/>
  <c r="BV238" i="1"/>
  <c r="BQ238" i="1"/>
  <c r="BP238" i="1"/>
  <c r="BO238" i="1"/>
  <c r="BJ238" i="1"/>
  <c r="BI238" i="1"/>
  <c r="BH238" i="1"/>
  <c r="BC238" i="1"/>
  <c r="BB238" i="1"/>
  <c r="BA238" i="1"/>
  <c r="AV238" i="1"/>
  <c r="AU238" i="1"/>
  <c r="AT238" i="1"/>
  <c r="AO238" i="1"/>
  <c r="AN238" i="1"/>
  <c r="AC238" i="1"/>
  <c r="Y238" i="1"/>
  <c r="S238" i="1"/>
  <c r="K238" i="1"/>
  <c r="J238" i="1"/>
  <c r="C238" i="1"/>
  <c r="EV237" i="1"/>
  <c r="EU237" i="1"/>
  <c r="ET237" i="1"/>
  <c r="EG237" i="1"/>
  <c r="EC237" i="1"/>
  <c r="DQ237" i="1"/>
  <c r="DK237" i="1"/>
  <c r="DH237" i="1"/>
  <c r="DD237" i="1"/>
  <c r="CW237" i="1"/>
  <c r="CP237" i="1"/>
  <c r="CL237" i="1"/>
  <c r="CG237" i="1"/>
  <c r="CB237" i="1"/>
  <c r="BW237" i="1"/>
  <c r="BV237" i="1"/>
  <c r="BQ237" i="1"/>
  <c r="BP237" i="1"/>
  <c r="BO237" i="1"/>
  <c r="BJ237" i="1"/>
  <c r="BI237" i="1"/>
  <c r="BH237" i="1"/>
  <c r="BC237" i="1"/>
  <c r="BB237" i="1"/>
  <c r="BA237" i="1"/>
  <c r="AV237" i="1"/>
  <c r="AU237" i="1"/>
  <c r="AT237" i="1"/>
  <c r="AO237" i="1"/>
  <c r="AN237" i="1"/>
  <c r="AC237" i="1"/>
  <c r="AB237" i="1"/>
  <c r="Y237" i="1"/>
  <c r="S237" i="1"/>
  <c r="K237" i="1"/>
  <c r="J237" i="1"/>
  <c r="C237" i="1"/>
  <c r="EV236" i="1"/>
  <c r="EU236" i="1"/>
  <c r="ET236" i="1"/>
  <c r="EG236" i="1"/>
  <c r="EC236" i="1"/>
  <c r="DQ236" i="1"/>
  <c r="DK236" i="1"/>
  <c r="DH236" i="1"/>
  <c r="DD236" i="1"/>
  <c r="CW236" i="1"/>
  <c r="CP236" i="1"/>
  <c r="CL236" i="1"/>
  <c r="CG236" i="1"/>
  <c r="CB236" i="1"/>
  <c r="BW236" i="1"/>
  <c r="BV236" i="1"/>
  <c r="BQ236" i="1"/>
  <c r="BP236" i="1"/>
  <c r="BO236" i="1"/>
  <c r="BJ236" i="1"/>
  <c r="BI236" i="1"/>
  <c r="BH236" i="1"/>
  <c r="BC236" i="1"/>
  <c r="BB236" i="1"/>
  <c r="BA236" i="1"/>
  <c r="AV236" i="1"/>
  <c r="AU236" i="1"/>
  <c r="AT236" i="1"/>
  <c r="AO236" i="1"/>
  <c r="AN236" i="1"/>
  <c r="AC236" i="1"/>
  <c r="AB236" i="1"/>
  <c r="Y236" i="1"/>
  <c r="S236" i="1"/>
  <c r="K236" i="1"/>
  <c r="J236" i="1"/>
  <c r="C236" i="1"/>
  <c r="EV235" i="1"/>
  <c r="EU235" i="1"/>
  <c r="ET235" i="1"/>
  <c r="EC235" i="1"/>
  <c r="DQ235" i="1"/>
  <c r="DK235" i="1"/>
  <c r="DH235" i="1"/>
  <c r="DD235" i="1"/>
  <c r="CW235" i="1"/>
  <c r="CP235" i="1"/>
  <c r="CL235" i="1"/>
  <c r="CG235" i="1"/>
  <c r="CB235" i="1"/>
  <c r="BW235" i="1"/>
  <c r="BV235" i="1"/>
  <c r="BQ235" i="1"/>
  <c r="BP235" i="1"/>
  <c r="BO235" i="1"/>
  <c r="BJ235" i="1"/>
  <c r="BI235" i="1"/>
  <c r="BH235" i="1"/>
  <c r="BC235" i="1"/>
  <c r="BB235" i="1"/>
  <c r="BA235" i="1"/>
  <c r="AV235" i="1"/>
  <c r="AU235" i="1"/>
  <c r="AT235" i="1"/>
  <c r="AO235" i="1"/>
  <c r="AN235" i="1"/>
  <c r="AC235" i="1"/>
  <c r="Y235" i="1"/>
  <c r="S235" i="1"/>
  <c r="K235" i="1"/>
  <c r="J235" i="1"/>
  <c r="C235" i="1"/>
  <c r="EV234" i="1"/>
  <c r="EU234" i="1"/>
  <c r="ET234" i="1"/>
  <c r="EC234" i="1"/>
  <c r="DQ234" i="1"/>
  <c r="DK234" i="1"/>
  <c r="DH234" i="1"/>
  <c r="DD234" i="1"/>
  <c r="CW234" i="1"/>
  <c r="CP234" i="1"/>
  <c r="CL234" i="1"/>
  <c r="CG234" i="1"/>
  <c r="CB234" i="1"/>
  <c r="BW234" i="1"/>
  <c r="BV234" i="1"/>
  <c r="BQ234" i="1"/>
  <c r="BP234" i="1"/>
  <c r="BO234" i="1"/>
  <c r="BJ234" i="1"/>
  <c r="BI234" i="1"/>
  <c r="BH234" i="1"/>
  <c r="BC234" i="1"/>
  <c r="BB234" i="1"/>
  <c r="BA234" i="1"/>
  <c r="AV234" i="1"/>
  <c r="AU234" i="1"/>
  <c r="AT234" i="1"/>
  <c r="AO234" i="1"/>
  <c r="AN234" i="1"/>
  <c r="AC234" i="1"/>
  <c r="Y234" i="1"/>
  <c r="S234" i="1"/>
  <c r="K234" i="1"/>
  <c r="J234" i="1"/>
  <c r="C234" i="1"/>
  <c r="EV233" i="1"/>
  <c r="EU233" i="1"/>
  <c r="ET233" i="1"/>
  <c r="EG233" i="1"/>
  <c r="EC233" i="1"/>
  <c r="DQ233" i="1"/>
  <c r="DK233" i="1"/>
  <c r="DH233" i="1"/>
  <c r="DD233" i="1"/>
  <c r="CW233" i="1"/>
  <c r="CP233" i="1"/>
  <c r="CL233" i="1"/>
  <c r="CG233" i="1"/>
  <c r="CB233" i="1"/>
  <c r="BW233" i="1"/>
  <c r="BV233" i="1"/>
  <c r="BQ233" i="1"/>
  <c r="BP233" i="1"/>
  <c r="BO233" i="1"/>
  <c r="BJ233" i="1"/>
  <c r="BI233" i="1"/>
  <c r="BH233" i="1"/>
  <c r="BC233" i="1"/>
  <c r="BB233" i="1"/>
  <c r="BA233" i="1"/>
  <c r="AV233" i="1"/>
  <c r="AU233" i="1"/>
  <c r="AT233" i="1"/>
  <c r="AO233" i="1"/>
  <c r="AN233" i="1"/>
  <c r="AC233" i="1"/>
  <c r="AB233" i="1"/>
  <c r="Y233" i="1"/>
  <c r="S233" i="1"/>
  <c r="K233" i="1"/>
  <c r="J233" i="1"/>
  <c r="C233" i="1"/>
  <c r="EV232" i="1"/>
  <c r="EU232" i="1"/>
  <c r="ET232" i="1"/>
  <c r="EG232" i="1"/>
  <c r="EC232" i="1"/>
  <c r="DQ232" i="1"/>
  <c r="DK232" i="1"/>
  <c r="DH232" i="1"/>
  <c r="DD232" i="1"/>
  <c r="CW232" i="1"/>
  <c r="CP232" i="1"/>
  <c r="CL232" i="1"/>
  <c r="CG232" i="1"/>
  <c r="CB232" i="1"/>
  <c r="BW232" i="1"/>
  <c r="BV232" i="1"/>
  <c r="BQ232" i="1"/>
  <c r="BP232" i="1"/>
  <c r="BO232" i="1"/>
  <c r="BJ232" i="1"/>
  <c r="BI232" i="1"/>
  <c r="BH232" i="1"/>
  <c r="BC232" i="1"/>
  <c r="BB232" i="1"/>
  <c r="BA232" i="1"/>
  <c r="AV232" i="1"/>
  <c r="AU232" i="1"/>
  <c r="AT232" i="1"/>
  <c r="AO232" i="1"/>
  <c r="AN232" i="1"/>
  <c r="AC232" i="1"/>
  <c r="AB232" i="1"/>
  <c r="Y232" i="1"/>
  <c r="S232" i="1"/>
  <c r="K232" i="1"/>
  <c r="J232" i="1"/>
  <c r="C232" i="1"/>
  <c r="C231" i="1"/>
  <c r="EV230" i="1"/>
  <c r="EU230" i="1"/>
  <c r="ET230" i="1"/>
  <c r="EG230" i="1"/>
  <c r="EC230" i="1"/>
  <c r="DY230" i="1"/>
  <c r="DQ230" i="1"/>
  <c r="DK230" i="1"/>
  <c r="DH230" i="1"/>
  <c r="DD230" i="1"/>
  <c r="CW230" i="1"/>
  <c r="CP230" i="1"/>
  <c r="CL230" i="1"/>
  <c r="CG230" i="1"/>
  <c r="CB230" i="1"/>
  <c r="BW230" i="1"/>
  <c r="BV230" i="1"/>
  <c r="BQ230" i="1"/>
  <c r="BP230" i="1"/>
  <c r="BO230" i="1"/>
  <c r="BJ230" i="1"/>
  <c r="BI230" i="1"/>
  <c r="BH230" i="1"/>
  <c r="BC230" i="1"/>
  <c r="BB230" i="1"/>
  <c r="BA230" i="1"/>
  <c r="AV230" i="1"/>
  <c r="AU230" i="1"/>
  <c r="AT230" i="1"/>
  <c r="AO230" i="1"/>
  <c r="AN230" i="1"/>
  <c r="AJ230" i="1"/>
  <c r="AC230" i="1"/>
  <c r="AB230" i="1"/>
  <c r="Y230" i="1"/>
  <c r="S230" i="1"/>
  <c r="K230" i="1"/>
  <c r="J230" i="1"/>
  <c r="C230" i="1"/>
  <c r="EV229" i="1"/>
  <c r="EU229" i="1"/>
  <c r="ET229" i="1"/>
  <c r="EG229" i="1"/>
  <c r="EC229" i="1"/>
  <c r="DQ229" i="1"/>
  <c r="DK229" i="1"/>
  <c r="DH229" i="1"/>
  <c r="DD229" i="1"/>
  <c r="CW229" i="1"/>
  <c r="CP229" i="1"/>
  <c r="CL229" i="1"/>
  <c r="CG229" i="1"/>
  <c r="CB229" i="1"/>
  <c r="BW229" i="1"/>
  <c r="BV229" i="1"/>
  <c r="BQ229" i="1"/>
  <c r="BP229" i="1"/>
  <c r="BO229" i="1"/>
  <c r="BJ229" i="1"/>
  <c r="BI229" i="1"/>
  <c r="BH229" i="1"/>
  <c r="BC229" i="1"/>
  <c r="BB229" i="1"/>
  <c r="BA229" i="1"/>
  <c r="AV229" i="1"/>
  <c r="AU229" i="1"/>
  <c r="AT229" i="1"/>
  <c r="AO229" i="1"/>
  <c r="AN229" i="1"/>
  <c r="AC229" i="1"/>
  <c r="AB229" i="1"/>
  <c r="Y229" i="1"/>
  <c r="S229" i="1"/>
  <c r="K229" i="1"/>
  <c r="J229" i="1"/>
  <c r="C229" i="1"/>
  <c r="EV228" i="1"/>
  <c r="EU228" i="1"/>
  <c r="ET228" i="1"/>
  <c r="EG228" i="1"/>
  <c r="EC228" i="1"/>
  <c r="DQ228" i="1"/>
  <c r="DK228" i="1"/>
  <c r="DH228" i="1"/>
  <c r="DD228" i="1"/>
  <c r="CW228" i="1"/>
  <c r="CP228" i="1"/>
  <c r="CL228" i="1"/>
  <c r="CG228" i="1"/>
  <c r="CB228" i="1"/>
  <c r="BW228" i="1"/>
  <c r="BV228" i="1"/>
  <c r="BQ228" i="1"/>
  <c r="BP228" i="1"/>
  <c r="BO228" i="1"/>
  <c r="BJ228" i="1"/>
  <c r="BI228" i="1"/>
  <c r="BH228" i="1"/>
  <c r="BC228" i="1"/>
  <c r="BB228" i="1"/>
  <c r="BA228" i="1"/>
  <c r="AV228" i="1"/>
  <c r="AU228" i="1"/>
  <c r="AT228" i="1"/>
  <c r="AO228" i="1"/>
  <c r="AN228" i="1"/>
  <c r="AC228" i="1"/>
  <c r="AB228" i="1"/>
  <c r="Y228" i="1"/>
  <c r="S228" i="1"/>
  <c r="K228" i="1"/>
  <c r="J228" i="1"/>
  <c r="C228" i="1"/>
  <c r="EV227" i="1"/>
  <c r="EU227" i="1"/>
  <c r="ET227" i="1"/>
  <c r="EC227" i="1"/>
  <c r="DQ227" i="1"/>
  <c r="DK227" i="1"/>
  <c r="DH227" i="1"/>
  <c r="DD227" i="1"/>
  <c r="CW227" i="1"/>
  <c r="CP227" i="1"/>
  <c r="CL227" i="1"/>
  <c r="CG227" i="1"/>
  <c r="CB227" i="1"/>
  <c r="BW227" i="1"/>
  <c r="BV227" i="1"/>
  <c r="BQ227" i="1"/>
  <c r="BP227" i="1"/>
  <c r="BO227" i="1"/>
  <c r="BJ227" i="1"/>
  <c r="BI227" i="1"/>
  <c r="BH227" i="1"/>
  <c r="BC227" i="1"/>
  <c r="BB227" i="1"/>
  <c r="BA227" i="1"/>
  <c r="AV227" i="1"/>
  <c r="AU227" i="1"/>
  <c r="AT227" i="1"/>
  <c r="AO227" i="1"/>
  <c r="AN227" i="1"/>
  <c r="AC227" i="1"/>
  <c r="Y227" i="1"/>
  <c r="S227" i="1"/>
  <c r="K227" i="1"/>
  <c r="J227" i="1"/>
  <c r="C227" i="1"/>
  <c r="EV226" i="1"/>
  <c r="EU226" i="1"/>
  <c r="ET226" i="1"/>
  <c r="EC226" i="1"/>
  <c r="DQ226" i="1"/>
  <c r="DK226" i="1"/>
  <c r="DH226" i="1"/>
  <c r="DD226" i="1"/>
  <c r="CW226" i="1"/>
  <c r="CP226" i="1"/>
  <c r="CL226" i="1"/>
  <c r="CG226" i="1"/>
  <c r="CB226" i="1"/>
  <c r="BW226" i="1"/>
  <c r="BV226" i="1"/>
  <c r="BQ226" i="1"/>
  <c r="BP226" i="1"/>
  <c r="BO226" i="1"/>
  <c r="BJ226" i="1"/>
  <c r="BI226" i="1"/>
  <c r="BH226" i="1"/>
  <c r="BC226" i="1"/>
  <c r="BB226" i="1"/>
  <c r="BA226" i="1"/>
  <c r="AV226" i="1"/>
  <c r="AU226" i="1"/>
  <c r="AT226" i="1"/>
  <c r="AO226" i="1"/>
  <c r="AN226" i="1"/>
  <c r="AC226" i="1"/>
  <c r="Y226" i="1"/>
  <c r="S226" i="1"/>
  <c r="K226" i="1"/>
  <c r="J226" i="1"/>
  <c r="C226" i="1"/>
  <c r="EV225" i="1"/>
  <c r="EU225" i="1"/>
  <c r="ET225" i="1"/>
  <c r="EC225" i="1"/>
  <c r="DQ225" i="1"/>
  <c r="DK225" i="1"/>
  <c r="DH225" i="1"/>
  <c r="DD225" i="1"/>
  <c r="CW225" i="1"/>
  <c r="CP225" i="1"/>
  <c r="CL225" i="1"/>
  <c r="CG225" i="1"/>
  <c r="CB225" i="1"/>
  <c r="BW225" i="1"/>
  <c r="BV225" i="1"/>
  <c r="BQ225" i="1"/>
  <c r="BP225" i="1"/>
  <c r="BO225" i="1"/>
  <c r="BJ225" i="1"/>
  <c r="BI225" i="1"/>
  <c r="BH225" i="1"/>
  <c r="BC225" i="1"/>
  <c r="BB225" i="1"/>
  <c r="BA225" i="1"/>
  <c r="AV225" i="1"/>
  <c r="AU225" i="1"/>
  <c r="AT225" i="1"/>
  <c r="AO225" i="1"/>
  <c r="AN225" i="1"/>
  <c r="AC225" i="1"/>
  <c r="Y225" i="1"/>
  <c r="S225" i="1"/>
  <c r="K225" i="1"/>
  <c r="J225" i="1"/>
  <c r="C225" i="1"/>
  <c r="EV224" i="1"/>
  <c r="EU224" i="1"/>
  <c r="ET224" i="1"/>
  <c r="EG224" i="1"/>
  <c r="EC224" i="1"/>
  <c r="DQ224" i="1"/>
  <c r="DK224" i="1"/>
  <c r="DH224" i="1"/>
  <c r="DD224" i="1"/>
  <c r="CW224" i="1"/>
  <c r="CP224" i="1"/>
  <c r="CL224" i="1"/>
  <c r="CG224" i="1"/>
  <c r="CB224" i="1"/>
  <c r="BW224" i="1"/>
  <c r="BV224" i="1"/>
  <c r="BQ224" i="1"/>
  <c r="BP224" i="1"/>
  <c r="BO224" i="1"/>
  <c r="BJ224" i="1"/>
  <c r="BI224" i="1"/>
  <c r="BH224" i="1"/>
  <c r="BC224" i="1"/>
  <c r="BB224" i="1"/>
  <c r="BA224" i="1"/>
  <c r="AV224" i="1"/>
  <c r="AU224" i="1"/>
  <c r="AT224" i="1"/>
  <c r="AO224" i="1"/>
  <c r="AN224" i="1"/>
  <c r="AC224" i="1"/>
  <c r="AB224" i="1"/>
  <c r="Y224" i="1"/>
  <c r="S224" i="1"/>
  <c r="K224" i="1"/>
  <c r="J224" i="1"/>
  <c r="C224" i="1"/>
  <c r="EV223" i="1"/>
  <c r="EU223" i="1"/>
  <c r="ET223" i="1"/>
  <c r="EG223" i="1"/>
  <c r="EC223" i="1"/>
  <c r="DQ223" i="1"/>
  <c r="DK223" i="1"/>
  <c r="DH223" i="1"/>
  <c r="DD223" i="1"/>
  <c r="CW223" i="1"/>
  <c r="CP223" i="1"/>
  <c r="CL223" i="1"/>
  <c r="CG223" i="1"/>
  <c r="CB223" i="1"/>
  <c r="BW223" i="1"/>
  <c r="BV223" i="1"/>
  <c r="BQ223" i="1"/>
  <c r="BP223" i="1"/>
  <c r="BO223" i="1"/>
  <c r="BJ223" i="1"/>
  <c r="BI223" i="1"/>
  <c r="BH223" i="1"/>
  <c r="BC223" i="1"/>
  <c r="BB223" i="1"/>
  <c r="BA223" i="1"/>
  <c r="AV223" i="1"/>
  <c r="AU223" i="1"/>
  <c r="AT223" i="1"/>
  <c r="AO223" i="1"/>
  <c r="AN223" i="1"/>
  <c r="AC223" i="1"/>
  <c r="AB223" i="1"/>
  <c r="Y223" i="1"/>
  <c r="S223" i="1"/>
  <c r="K223" i="1"/>
  <c r="J223" i="1"/>
  <c r="C223" i="1"/>
  <c r="EV222" i="1"/>
  <c r="EU222" i="1"/>
  <c r="ET222" i="1"/>
  <c r="EC222" i="1"/>
  <c r="DQ222" i="1"/>
  <c r="DK222" i="1"/>
  <c r="DH222" i="1"/>
  <c r="DD222" i="1"/>
  <c r="CW222" i="1"/>
  <c r="CP222" i="1"/>
  <c r="CL222" i="1"/>
  <c r="CG222" i="1"/>
  <c r="CB222" i="1"/>
  <c r="BW222" i="1"/>
  <c r="BV222" i="1"/>
  <c r="BQ222" i="1"/>
  <c r="BP222" i="1"/>
  <c r="BO222" i="1"/>
  <c r="BJ222" i="1"/>
  <c r="BI222" i="1"/>
  <c r="BH222" i="1"/>
  <c r="BC222" i="1"/>
  <c r="BB222" i="1"/>
  <c r="BA222" i="1"/>
  <c r="AV222" i="1"/>
  <c r="AU222" i="1"/>
  <c r="AT222" i="1"/>
  <c r="AO222" i="1"/>
  <c r="AN222" i="1"/>
  <c r="AC222" i="1"/>
  <c r="Y222" i="1"/>
  <c r="S222" i="1"/>
  <c r="K222" i="1"/>
  <c r="J222" i="1"/>
  <c r="C222" i="1"/>
  <c r="EV221" i="1"/>
  <c r="EU221" i="1"/>
  <c r="ET221" i="1"/>
  <c r="EC221" i="1"/>
  <c r="DQ221" i="1"/>
  <c r="DK221" i="1"/>
  <c r="DH221" i="1"/>
  <c r="DD221" i="1"/>
  <c r="CW221" i="1"/>
  <c r="CP221" i="1"/>
  <c r="CL221" i="1"/>
  <c r="CG221" i="1"/>
  <c r="CB221" i="1"/>
  <c r="BW221" i="1"/>
  <c r="BV221" i="1"/>
  <c r="BQ221" i="1"/>
  <c r="BP221" i="1"/>
  <c r="BO221" i="1"/>
  <c r="BJ221" i="1"/>
  <c r="BI221" i="1"/>
  <c r="BH221" i="1"/>
  <c r="BC221" i="1"/>
  <c r="BB221" i="1"/>
  <c r="BA221" i="1"/>
  <c r="AV221" i="1"/>
  <c r="AU221" i="1"/>
  <c r="AT221" i="1"/>
  <c r="AO221" i="1"/>
  <c r="AN221" i="1"/>
  <c r="AC221" i="1"/>
  <c r="Y221" i="1"/>
  <c r="S221" i="1"/>
  <c r="K221" i="1"/>
  <c r="J221" i="1"/>
  <c r="C221" i="1"/>
  <c r="EV220" i="1"/>
  <c r="EU220" i="1"/>
  <c r="ET220" i="1"/>
  <c r="EG220" i="1"/>
  <c r="EC220" i="1"/>
  <c r="DQ220" i="1"/>
  <c r="DK220" i="1"/>
  <c r="DH220" i="1"/>
  <c r="DD220" i="1"/>
  <c r="CW220" i="1"/>
  <c r="CP220" i="1"/>
  <c r="CL220" i="1"/>
  <c r="CG220" i="1"/>
  <c r="CB220" i="1"/>
  <c r="BW220" i="1"/>
  <c r="BV220" i="1"/>
  <c r="BQ220" i="1"/>
  <c r="BP220" i="1"/>
  <c r="BO220" i="1"/>
  <c r="BJ220" i="1"/>
  <c r="BI220" i="1"/>
  <c r="BH220" i="1"/>
  <c r="BC220" i="1"/>
  <c r="BB220" i="1"/>
  <c r="BA220" i="1"/>
  <c r="AV220" i="1"/>
  <c r="AU220" i="1"/>
  <c r="AT220" i="1"/>
  <c r="AO220" i="1"/>
  <c r="AN220" i="1"/>
  <c r="AC220" i="1"/>
  <c r="AB220" i="1"/>
  <c r="Y220" i="1"/>
  <c r="S220" i="1"/>
  <c r="K220" i="1"/>
  <c r="J220" i="1"/>
  <c r="C220" i="1"/>
  <c r="EV219" i="1"/>
  <c r="EU219" i="1"/>
  <c r="ET219" i="1"/>
  <c r="EG219" i="1"/>
  <c r="EC219" i="1"/>
  <c r="DQ219" i="1"/>
  <c r="DK219" i="1"/>
  <c r="DH219" i="1"/>
  <c r="DD219" i="1"/>
  <c r="CW219" i="1"/>
  <c r="CP219" i="1"/>
  <c r="CL219" i="1"/>
  <c r="CG219" i="1"/>
  <c r="CB219" i="1"/>
  <c r="BW219" i="1"/>
  <c r="BV219" i="1"/>
  <c r="BQ219" i="1"/>
  <c r="BP219" i="1"/>
  <c r="BO219" i="1"/>
  <c r="BJ219" i="1"/>
  <c r="BI219" i="1"/>
  <c r="BH219" i="1"/>
  <c r="BC219" i="1"/>
  <c r="BB219" i="1"/>
  <c r="BA219" i="1"/>
  <c r="AV219" i="1"/>
  <c r="AU219" i="1"/>
  <c r="AT219" i="1"/>
  <c r="AO219" i="1"/>
  <c r="AN219" i="1"/>
  <c r="AC219" i="1"/>
  <c r="AB219" i="1"/>
  <c r="Y219" i="1"/>
  <c r="S219" i="1"/>
  <c r="K219" i="1"/>
  <c r="J219" i="1"/>
  <c r="C219" i="1"/>
  <c r="EV218" i="1"/>
  <c r="EU218" i="1"/>
  <c r="ET218" i="1"/>
  <c r="EG218" i="1"/>
  <c r="EC218" i="1"/>
  <c r="DQ218" i="1"/>
  <c r="DK218" i="1"/>
  <c r="DH218" i="1"/>
  <c r="DD218" i="1"/>
  <c r="CW218" i="1"/>
  <c r="CP218" i="1"/>
  <c r="CL218" i="1"/>
  <c r="CG218" i="1"/>
  <c r="CB218" i="1"/>
  <c r="BW218" i="1"/>
  <c r="BV218" i="1"/>
  <c r="BQ218" i="1"/>
  <c r="BP218" i="1"/>
  <c r="BO218" i="1"/>
  <c r="BJ218" i="1"/>
  <c r="BI218" i="1"/>
  <c r="BH218" i="1"/>
  <c r="BC218" i="1"/>
  <c r="BB218" i="1"/>
  <c r="BA218" i="1"/>
  <c r="AV218" i="1"/>
  <c r="AU218" i="1"/>
  <c r="AT218" i="1"/>
  <c r="AO218" i="1"/>
  <c r="AN218" i="1"/>
  <c r="AC218" i="1"/>
  <c r="AB218" i="1"/>
  <c r="Y218" i="1"/>
  <c r="S218" i="1"/>
  <c r="K218" i="1"/>
  <c r="J218" i="1"/>
  <c r="C218" i="1"/>
  <c r="EV217" i="1"/>
  <c r="EU217" i="1"/>
  <c r="ET217" i="1"/>
  <c r="EC217" i="1"/>
  <c r="DY217" i="1"/>
  <c r="DQ217" i="1"/>
  <c r="DK217" i="1"/>
  <c r="DH217" i="1"/>
  <c r="DD217" i="1"/>
  <c r="CW217" i="1"/>
  <c r="CP217" i="1"/>
  <c r="CL217" i="1"/>
  <c r="CG217" i="1"/>
  <c r="CB217" i="1"/>
  <c r="BW217" i="1"/>
  <c r="BV217" i="1"/>
  <c r="BQ217" i="1"/>
  <c r="BP217" i="1"/>
  <c r="BO217" i="1"/>
  <c r="BJ217" i="1"/>
  <c r="BI217" i="1"/>
  <c r="BH217" i="1"/>
  <c r="BC217" i="1"/>
  <c r="BB217" i="1"/>
  <c r="BA217" i="1"/>
  <c r="AV217" i="1"/>
  <c r="AU217" i="1"/>
  <c r="AT217" i="1"/>
  <c r="AO217" i="1"/>
  <c r="AN217" i="1"/>
  <c r="AJ217" i="1"/>
  <c r="AC217" i="1"/>
  <c r="Y217" i="1"/>
  <c r="S217" i="1"/>
  <c r="K217" i="1"/>
  <c r="J217" i="1"/>
  <c r="C217" i="1"/>
  <c r="EV216" i="1"/>
  <c r="EU216" i="1"/>
  <c r="ET216" i="1"/>
  <c r="EG216" i="1"/>
  <c r="EC216" i="1"/>
  <c r="DQ216" i="1"/>
  <c r="DK216" i="1"/>
  <c r="DH216" i="1"/>
  <c r="DD216" i="1"/>
  <c r="CW216" i="1"/>
  <c r="CP216" i="1"/>
  <c r="CL216" i="1"/>
  <c r="CG216" i="1"/>
  <c r="CB216" i="1"/>
  <c r="BW216" i="1"/>
  <c r="BV216" i="1"/>
  <c r="BQ216" i="1"/>
  <c r="BP216" i="1"/>
  <c r="BO216" i="1"/>
  <c r="BJ216" i="1"/>
  <c r="BI216" i="1"/>
  <c r="BH216" i="1"/>
  <c r="BC216" i="1"/>
  <c r="BB216" i="1"/>
  <c r="BA216" i="1"/>
  <c r="AV216" i="1"/>
  <c r="AU216" i="1"/>
  <c r="AT216" i="1"/>
  <c r="AO216" i="1"/>
  <c r="AN216" i="1"/>
  <c r="AC216" i="1"/>
  <c r="AB216" i="1"/>
  <c r="Y216" i="1"/>
  <c r="S216" i="1"/>
  <c r="K216" i="1"/>
  <c r="J216" i="1"/>
  <c r="C216" i="1"/>
  <c r="EV215" i="1"/>
  <c r="EU215" i="1"/>
  <c r="ET215" i="1"/>
  <c r="EG215" i="1"/>
  <c r="EC215" i="1"/>
  <c r="DQ215" i="1"/>
  <c r="DK215" i="1"/>
  <c r="DH215" i="1"/>
  <c r="DD215" i="1"/>
  <c r="CW215" i="1"/>
  <c r="CP215" i="1"/>
  <c r="CL215" i="1"/>
  <c r="CG215" i="1"/>
  <c r="CB215" i="1"/>
  <c r="BW215" i="1"/>
  <c r="BV215" i="1"/>
  <c r="BQ215" i="1"/>
  <c r="BP215" i="1"/>
  <c r="BO215" i="1"/>
  <c r="BJ215" i="1"/>
  <c r="BI215" i="1"/>
  <c r="BH215" i="1"/>
  <c r="BC215" i="1"/>
  <c r="BB215" i="1"/>
  <c r="BA215" i="1"/>
  <c r="AV215" i="1"/>
  <c r="AU215" i="1"/>
  <c r="AT215" i="1"/>
  <c r="AO215" i="1"/>
  <c r="AN215" i="1"/>
  <c r="AC215" i="1"/>
  <c r="AB215" i="1"/>
  <c r="Y215" i="1"/>
  <c r="S215" i="1"/>
  <c r="K215" i="1"/>
  <c r="J215" i="1"/>
  <c r="C215" i="1"/>
  <c r="EV214" i="1"/>
  <c r="EU214" i="1"/>
  <c r="ET214" i="1"/>
  <c r="EG214" i="1"/>
  <c r="EC214" i="1"/>
  <c r="DQ214" i="1"/>
  <c r="DK214" i="1"/>
  <c r="DH214" i="1"/>
  <c r="DD214" i="1"/>
  <c r="CW214" i="1"/>
  <c r="CP214" i="1"/>
  <c r="CL214" i="1"/>
  <c r="CG214" i="1"/>
  <c r="CB214" i="1"/>
  <c r="BW214" i="1"/>
  <c r="BV214" i="1"/>
  <c r="BQ214" i="1"/>
  <c r="BP214" i="1"/>
  <c r="BO214" i="1"/>
  <c r="BJ214" i="1"/>
  <c r="BI214" i="1"/>
  <c r="BH214" i="1"/>
  <c r="BC214" i="1"/>
  <c r="BB214" i="1"/>
  <c r="BA214" i="1"/>
  <c r="AV214" i="1"/>
  <c r="AU214" i="1"/>
  <c r="AT214" i="1"/>
  <c r="AO214" i="1"/>
  <c r="AN214" i="1"/>
  <c r="AC214" i="1"/>
  <c r="AB214" i="1"/>
  <c r="Y214" i="1"/>
  <c r="S214" i="1"/>
  <c r="K214" i="1"/>
  <c r="J214" i="1"/>
  <c r="C214" i="1"/>
  <c r="EV213" i="1"/>
  <c r="EU213" i="1"/>
  <c r="ET213" i="1"/>
  <c r="EC213" i="1"/>
  <c r="DQ213" i="1"/>
  <c r="DK213" i="1"/>
  <c r="DH213" i="1"/>
  <c r="DD213" i="1"/>
  <c r="CW213" i="1"/>
  <c r="CP213" i="1"/>
  <c r="CL213" i="1"/>
  <c r="CG213" i="1"/>
  <c r="CB213" i="1"/>
  <c r="BW213" i="1"/>
  <c r="BV213" i="1"/>
  <c r="BQ213" i="1"/>
  <c r="BP213" i="1"/>
  <c r="BO213" i="1"/>
  <c r="BJ213" i="1"/>
  <c r="BI213" i="1"/>
  <c r="BH213" i="1"/>
  <c r="BC213" i="1"/>
  <c r="BB213" i="1"/>
  <c r="BA213" i="1"/>
  <c r="AV213" i="1"/>
  <c r="AU213" i="1"/>
  <c r="AT213" i="1"/>
  <c r="AO213" i="1"/>
  <c r="AN213" i="1"/>
  <c r="AC213" i="1"/>
  <c r="Y213" i="1"/>
  <c r="K213" i="1"/>
  <c r="J213" i="1"/>
  <c r="C213" i="1"/>
  <c r="EV212" i="1"/>
  <c r="EU212" i="1"/>
  <c r="ET212" i="1"/>
  <c r="EG212" i="1"/>
  <c r="EC212" i="1"/>
  <c r="DQ212" i="1"/>
  <c r="DK212" i="1"/>
  <c r="DH212" i="1"/>
  <c r="DD212" i="1"/>
  <c r="CW212" i="1"/>
  <c r="CP212" i="1"/>
  <c r="CL212" i="1"/>
  <c r="CG212" i="1"/>
  <c r="CB212" i="1"/>
  <c r="BW212" i="1"/>
  <c r="BV212" i="1"/>
  <c r="BQ212" i="1"/>
  <c r="BP212" i="1"/>
  <c r="BO212" i="1"/>
  <c r="BJ212" i="1"/>
  <c r="BI212" i="1"/>
  <c r="BH212" i="1"/>
  <c r="BC212" i="1"/>
  <c r="BB212" i="1"/>
  <c r="BA212" i="1"/>
  <c r="AV212" i="1"/>
  <c r="AU212" i="1"/>
  <c r="AT212" i="1"/>
  <c r="AO212" i="1"/>
  <c r="AN212" i="1"/>
  <c r="AC212" i="1"/>
  <c r="AB212" i="1"/>
  <c r="Y212" i="1"/>
  <c r="S212" i="1"/>
  <c r="K212" i="1"/>
  <c r="J212" i="1"/>
  <c r="C212" i="1"/>
  <c r="EV211" i="1"/>
  <c r="EU211" i="1"/>
  <c r="ET211" i="1"/>
  <c r="EC211" i="1"/>
  <c r="DQ211" i="1"/>
  <c r="DK211" i="1"/>
  <c r="DH211" i="1"/>
  <c r="DD211" i="1"/>
  <c r="CW211" i="1"/>
  <c r="CP211" i="1"/>
  <c r="CL211" i="1"/>
  <c r="CG211" i="1"/>
  <c r="CB211" i="1"/>
  <c r="BW211" i="1"/>
  <c r="BV211" i="1"/>
  <c r="BQ211" i="1"/>
  <c r="BP211" i="1"/>
  <c r="BO211" i="1"/>
  <c r="BJ211" i="1"/>
  <c r="BI211" i="1"/>
  <c r="BH211" i="1"/>
  <c r="BC211" i="1"/>
  <c r="BB211" i="1"/>
  <c r="BA211" i="1"/>
  <c r="AV211" i="1"/>
  <c r="AU211" i="1"/>
  <c r="AT211" i="1"/>
  <c r="AO211" i="1"/>
  <c r="AN211" i="1"/>
  <c r="AC211" i="1"/>
  <c r="Y211" i="1"/>
  <c r="S211" i="1"/>
  <c r="K211" i="1"/>
  <c r="J211" i="1"/>
  <c r="C211" i="1"/>
  <c r="EV210" i="1"/>
  <c r="EU210" i="1"/>
  <c r="ET210" i="1"/>
  <c r="EC210" i="1"/>
  <c r="DQ210" i="1"/>
  <c r="DK210" i="1"/>
  <c r="DH210" i="1"/>
  <c r="DD210" i="1"/>
  <c r="CW210" i="1"/>
  <c r="CP210" i="1"/>
  <c r="CL210" i="1"/>
  <c r="CG210" i="1"/>
  <c r="CB210" i="1"/>
  <c r="BW210" i="1"/>
  <c r="BV210" i="1"/>
  <c r="BQ210" i="1"/>
  <c r="BP210" i="1"/>
  <c r="BO210" i="1"/>
  <c r="BJ210" i="1"/>
  <c r="BI210" i="1"/>
  <c r="BH210" i="1"/>
  <c r="BC210" i="1"/>
  <c r="BB210" i="1"/>
  <c r="BA210" i="1"/>
  <c r="AV210" i="1"/>
  <c r="AU210" i="1"/>
  <c r="AT210" i="1"/>
  <c r="AO210" i="1"/>
  <c r="AN210" i="1"/>
  <c r="AC210" i="1"/>
  <c r="Y210" i="1"/>
  <c r="S210" i="1"/>
  <c r="K210" i="1"/>
  <c r="J210" i="1"/>
  <c r="C210" i="1"/>
  <c r="EV209" i="1"/>
  <c r="EU209" i="1"/>
  <c r="ET209" i="1"/>
  <c r="EG209" i="1"/>
  <c r="EC209" i="1"/>
  <c r="DQ209" i="1"/>
  <c r="DK209" i="1"/>
  <c r="DH209" i="1"/>
  <c r="DD209" i="1"/>
  <c r="CW209" i="1"/>
  <c r="CP209" i="1"/>
  <c r="CL209" i="1"/>
  <c r="CG209" i="1"/>
  <c r="CB209" i="1"/>
  <c r="BW209" i="1"/>
  <c r="BV209" i="1"/>
  <c r="BQ209" i="1"/>
  <c r="BP209" i="1"/>
  <c r="BO209" i="1"/>
  <c r="BJ209" i="1"/>
  <c r="BI209" i="1"/>
  <c r="BH209" i="1"/>
  <c r="BC209" i="1"/>
  <c r="BB209" i="1"/>
  <c r="BA209" i="1"/>
  <c r="AV209" i="1"/>
  <c r="AU209" i="1"/>
  <c r="AT209" i="1"/>
  <c r="AO209" i="1"/>
  <c r="AN209" i="1"/>
  <c r="AC209" i="1"/>
  <c r="AB209" i="1"/>
  <c r="Y209" i="1"/>
  <c r="S209" i="1"/>
  <c r="K209" i="1"/>
  <c r="J209" i="1"/>
  <c r="C209" i="1"/>
  <c r="C208" i="1"/>
  <c r="EV207" i="1"/>
  <c r="EU207" i="1"/>
  <c r="ET207" i="1"/>
  <c r="EG207" i="1"/>
  <c r="EC207" i="1"/>
  <c r="DQ207" i="1"/>
  <c r="DK207" i="1"/>
  <c r="DH207" i="1"/>
  <c r="DD207" i="1"/>
  <c r="CW207" i="1"/>
  <c r="CP207" i="1"/>
  <c r="CL207" i="1"/>
  <c r="CG207" i="1"/>
  <c r="CB207" i="1"/>
  <c r="BW207" i="1"/>
  <c r="BV207" i="1"/>
  <c r="BQ207" i="1"/>
  <c r="BP207" i="1"/>
  <c r="BO207" i="1"/>
  <c r="BJ207" i="1"/>
  <c r="BI207" i="1"/>
  <c r="BH207" i="1"/>
  <c r="BC207" i="1"/>
  <c r="BB207" i="1"/>
  <c r="BA207" i="1"/>
  <c r="AV207" i="1"/>
  <c r="AU207" i="1"/>
  <c r="AT207" i="1"/>
  <c r="AO207" i="1"/>
  <c r="AN207" i="1"/>
  <c r="AC207" i="1"/>
  <c r="AB207" i="1"/>
  <c r="Y207" i="1"/>
  <c r="S207" i="1"/>
  <c r="K207" i="1"/>
  <c r="J207" i="1"/>
  <c r="C207" i="1"/>
  <c r="EV206" i="1"/>
  <c r="EU206" i="1"/>
  <c r="ET206" i="1"/>
  <c r="EC206" i="1"/>
  <c r="DQ206" i="1"/>
  <c r="DK206" i="1"/>
  <c r="DH206" i="1"/>
  <c r="DD206" i="1"/>
  <c r="CW206" i="1"/>
  <c r="CP206" i="1"/>
  <c r="CL206" i="1"/>
  <c r="CG206" i="1"/>
  <c r="CB206" i="1"/>
  <c r="BW206" i="1"/>
  <c r="BV206" i="1"/>
  <c r="BQ206" i="1"/>
  <c r="BP206" i="1"/>
  <c r="BO206" i="1"/>
  <c r="BJ206" i="1"/>
  <c r="BI206" i="1"/>
  <c r="BH206" i="1"/>
  <c r="BC206" i="1"/>
  <c r="BB206" i="1"/>
  <c r="BA206" i="1"/>
  <c r="AV206" i="1"/>
  <c r="AU206" i="1"/>
  <c r="AT206" i="1"/>
  <c r="AO206" i="1"/>
  <c r="AN206" i="1"/>
  <c r="AC206" i="1"/>
  <c r="Y206" i="1"/>
  <c r="S206" i="1"/>
  <c r="K206" i="1"/>
  <c r="J206" i="1"/>
  <c r="C206" i="1"/>
  <c r="EV205" i="1"/>
  <c r="EU205" i="1"/>
  <c r="ET205" i="1"/>
  <c r="EC205" i="1"/>
  <c r="DQ205" i="1"/>
  <c r="DK205" i="1"/>
  <c r="DH205" i="1"/>
  <c r="DD205" i="1"/>
  <c r="CW205" i="1"/>
  <c r="CP205" i="1"/>
  <c r="CL205" i="1"/>
  <c r="CG205" i="1"/>
  <c r="CB205" i="1"/>
  <c r="BW205" i="1"/>
  <c r="BV205" i="1"/>
  <c r="BQ205" i="1"/>
  <c r="BP205" i="1"/>
  <c r="BO205" i="1"/>
  <c r="BJ205" i="1"/>
  <c r="BI205" i="1"/>
  <c r="BH205" i="1"/>
  <c r="BC205" i="1"/>
  <c r="BB205" i="1"/>
  <c r="BA205" i="1"/>
  <c r="AV205" i="1"/>
  <c r="AU205" i="1"/>
  <c r="AT205" i="1"/>
  <c r="AO205" i="1"/>
  <c r="AN205" i="1"/>
  <c r="AC205" i="1"/>
  <c r="Y205" i="1"/>
  <c r="S205" i="1"/>
  <c r="K205" i="1"/>
  <c r="J205" i="1"/>
  <c r="C205" i="1"/>
  <c r="EV204" i="1"/>
  <c r="EU204" i="1"/>
  <c r="ET204" i="1"/>
  <c r="EG204" i="1"/>
  <c r="EC204" i="1"/>
  <c r="DQ204" i="1"/>
  <c r="DK204" i="1"/>
  <c r="DH204" i="1"/>
  <c r="DD204" i="1"/>
  <c r="CW204" i="1"/>
  <c r="CP204" i="1"/>
  <c r="CL204" i="1"/>
  <c r="CG204" i="1"/>
  <c r="CB204" i="1"/>
  <c r="BW204" i="1"/>
  <c r="BV204" i="1"/>
  <c r="BQ204" i="1"/>
  <c r="BP204" i="1"/>
  <c r="BO204" i="1"/>
  <c r="BJ204" i="1"/>
  <c r="BI204" i="1"/>
  <c r="BH204" i="1"/>
  <c r="BC204" i="1"/>
  <c r="BB204" i="1"/>
  <c r="BA204" i="1"/>
  <c r="AV204" i="1"/>
  <c r="AU204" i="1"/>
  <c r="AT204" i="1"/>
  <c r="AO204" i="1"/>
  <c r="AN204" i="1"/>
  <c r="AC204" i="1"/>
  <c r="AB204" i="1"/>
  <c r="Y204" i="1"/>
  <c r="S204" i="1"/>
  <c r="K204" i="1"/>
  <c r="J204" i="1"/>
  <c r="C204" i="1"/>
  <c r="EV203" i="1"/>
  <c r="EU203" i="1"/>
  <c r="ET203" i="1"/>
  <c r="EC203" i="1"/>
  <c r="DY203" i="1"/>
  <c r="DQ203" i="1"/>
  <c r="DK203" i="1"/>
  <c r="DH203" i="1"/>
  <c r="DD203" i="1"/>
  <c r="CW203" i="1"/>
  <c r="CP203" i="1"/>
  <c r="CL203" i="1"/>
  <c r="CG203" i="1"/>
  <c r="CB203" i="1"/>
  <c r="BW203" i="1"/>
  <c r="BV203" i="1"/>
  <c r="BQ203" i="1"/>
  <c r="BP203" i="1"/>
  <c r="BO203" i="1"/>
  <c r="BJ203" i="1"/>
  <c r="BI203" i="1"/>
  <c r="BH203" i="1"/>
  <c r="BC203" i="1"/>
  <c r="BB203" i="1"/>
  <c r="BA203" i="1"/>
  <c r="AV203" i="1"/>
  <c r="AU203" i="1"/>
  <c r="AT203" i="1"/>
  <c r="AO203" i="1"/>
  <c r="AN203" i="1"/>
  <c r="AJ203" i="1"/>
  <c r="AC203" i="1"/>
  <c r="Y203" i="1"/>
  <c r="S203" i="1"/>
  <c r="K203" i="1"/>
  <c r="J203" i="1"/>
  <c r="C203" i="1"/>
  <c r="EV202" i="1"/>
  <c r="EU202" i="1"/>
  <c r="ET202" i="1"/>
  <c r="EG202" i="1"/>
  <c r="EC202" i="1"/>
  <c r="DQ202" i="1"/>
  <c r="DK202" i="1"/>
  <c r="DH202" i="1"/>
  <c r="DD202" i="1"/>
  <c r="CW202" i="1"/>
  <c r="CP202" i="1"/>
  <c r="CL202" i="1"/>
  <c r="CG202" i="1"/>
  <c r="CB202" i="1"/>
  <c r="BW202" i="1"/>
  <c r="BV202" i="1"/>
  <c r="BQ202" i="1"/>
  <c r="BP202" i="1"/>
  <c r="BO202" i="1"/>
  <c r="BJ202" i="1"/>
  <c r="BI202" i="1"/>
  <c r="BH202" i="1"/>
  <c r="BC202" i="1"/>
  <c r="BB202" i="1"/>
  <c r="BA202" i="1"/>
  <c r="AV202" i="1"/>
  <c r="AU202" i="1"/>
  <c r="AT202" i="1"/>
  <c r="AO202" i="1"/>
  <c r="AN202" i="1"/>
  <c r="AC202" i="1"/>
  <c r="AB202" i="1"/>
  <c r="Y202" i="1"/>
  <c r="S202" i="1"/>
  <c r="K202" i="1"/>
  <c r="J202" i="1"/>
  <c r="C202" i="1"/>
  <c r="EV201" i="1"/>
  <c r="EU201" i="1"/>
  <c r="ET201" i="1"/>
  <c r="EC201" i="1"/>
  <c r="DQ201" i="1"/>
  <c r="DK201" i="1"/>
  <c r="DH201" i="1"/>
  <c r="DD201" i="1"/>
  <c r="CW201" i="1"/>
  <c r="CP201" i="1"/>
  <c r="CL201" i="1"/>
  <c r="CG201" i="1"/>
  <c r="CB201" i="1"/>
  <c r="BW201" i="1"/>
  <c r="BV201" i="1"/>
  <c r="BQ201" i="1"/>
  <c r="BP201" i="1"/>
  <c r="BO201" i="1"/>
  <c r="BJ201" i="1"/>
  <c r="BI201" i="1"/>
  <c r="BH201" i="1"/>
  <c r="BC201" i="1"/>
  <c r="BB201" i="1"/>
  <c r="BA201" i="1"/>
  <c r="AV201" i="1"/>
  <c r="AU201" i="1"/>
  <c r="AT201" i="1"/>
  <c r="AO201" i="1"/>
  <c r="AN201" i="1"/>
  <c r="AC201" i="1"/>
  <c r="Y201" i="1"/>
  <c r="S201" i="1"/>
  <c r="K201" i="1"/>
  <c r="J201" i="1"/>
  <c r="C201" i="1"/>
  <c r="EV200" i="1"/>
  <c r="EU200" i="1"/>
  <c r="ET200" i="1"/>
  <c r="EC200" i="1"/>
  <c r="DY200" i="1"/>
  <c r="DQ200" i="1"/>
  <c r="DK200" i="1"/>
  <c r="DH200" i="1"/>
  <c r="DD200" i="1"/>
  <c r="CW200" i="1"/>
  <c r="CP200" i="1"/>
  <c r="CL200" i="1"/>
  <c r="CG200" i="1"/>
  <c r="CB200" i="1"/>
  <c r="BW200" i="1"/>
  <c r="BV200" i="1"/>
  <c r="BQ200" i="1"/>
  <c r="BP200" i="1"/>
  <c r="BO200" i="1"/>
  <c r="BJ200" i="1"/>
  <c r="BI200" i="1"/>
  <c r="BH200" i="1"/>
  <c r="BC200" i="1"/>
  <c r="BB200" i="1"/>
  <c r="BA200" i="1"/>
  <c r="AV200" i="1"/>
  <c r="AU200" i="1"/>
  <c r="AT200" i="1"/>
  <c r="AO200" i="1"/>
  <c r="AN200" i="1"/>
  <c r="AJ200" i="1"/>
  <c r="AC200" i="1"/>
  <c r="Y200" i="1"/>
  <c r="S200" i="1"/>
  <c r="K200" i="1"/>
  <c r="J200" i="1"/>
  <c r="C200" i="1"/>
  <c r="EV199" i="1"/>
  <c r="EU199" i="1"/>
  <c r="ET199" i="1"/>
  <c r="EG199" i="1"/>
  <c r="EC199" i="1"/>
  <c r="DQ199" i="1"/>
  <c r="DK199" i="1"/>
  <c r="DH199" i="1"/>
  <c r="DD199" i="1"/>
  <c r="CW199" i="1"/>
  <c r="CP199" i="1"/>
  <c r="CL199" i="1"/>
  <c r="CG199" i="1"/>
  <c r="CB199" i="1"/>
  <c r="BW199" i="1"/>
  <c r="BV199" i="1"/>
  <c r="BQ199" i="1"/>
  <c r="BP199" i="1"/>
  <c r="BO199" i="1"/>
  <c r="BJ199" i="1"/>
  <c r="BI199" i="1"/>
  <c r="BH199" i="1"/>
  <c r="BC199" i="1"/>
  <c r="BB199" i="1"/>
  <c r="BA199" i="1"/>
  <c r="AV199" i="1"/>
  <c r="AU199" i="1"/>
  <c r="AT199" i="1"/>
  <c r="AO199" i="1"/>
  <c r="AN199" i="1"/>
  <c r="AC199" i="1"/>
  <c r="AB199" i="1"/>
  <c r="Y199" i="1"/>
  <c r="S199" i="1"/>
  <c r="K199" i="1"/>
  <c r="J199" i="1"/>
  <c r="C199" i="1"/>
  <c r="EV198" i="1"/>
  <c r="EU198" i="1"/>
  <c r="ET198" i="1"/>
  <c r="EC198" i="1"/>
  <c r="DQ198" i="1"/>
  <c r="DK198" i="1"/>
  <c r="DH198" i="1"/>
  <c r="DD198" i="1"/>
  <c r="CW198" i="1"/>
  <c r="CP198" i="1"/>
  <c r="CL198" i="1"/>
  <c r="CG198" i="1"/>
  <c r="CB198" i="1"/>
  <c r="BW198" i="1"/>
  <c r="BV198" i="1"/>
  <c r="BQ198" i="1"/>
  <c r="BP198" i="1"/>
  <c r="BO198" i="1"/>
  <c r="BJ198" i="1"/>
  <c r="BI198" i="1"/>
  <c r="BH198" i="1"/>
  <c r="BC198" i="1"/>
  <c r="BB198" i="1"/>
  <c r="BA198" i="1"/>
  <c r="AV198" i="1"/>
  <c r="AU198" i="1"/>
  <c r="AT198" i="1"/>
  <c r="AO198" i="1"/>
  <c r="AN198" i="1"/>
  <c r="AC198" i="1"/>
  <c r="Y198" i="1"/>
  <c r="S198" i="1"/>
  <c r="K198" i="1"/>
  <c r="J198" i="1"/>
  <c r="C198" i="1"/>
  <c r="EV197" i="1"/>
  <c r="EU197" i="1"/>
  <c r="ET197" i="1"/>
  <c r="EC197" i="1"/>
  <c r="DY197" i="1"/>
  <c r="DQ197" i="1"/>
  <c r="DK197" i="1"/>
  <c r="DH197" i="1"/>
  <c r="DD197" i="1"/>
  <c r="CW197" i="1"/>
  <c r="CP197" i="1"/>
  <c r="CL197" i="1"/>
  <c r="CG197" i="1"/>
  <c r="CB197" i="1"/>
  <c r="BW197" i="1"/>
  <c r="BV197" i="1"/>
  <c r="BQ197" i="1"/>
  <c r="BP197" i="1"/>
  <c r="BO197" i="1"/>
  <c r="BJ197" i="1"/>
  <c r="BI197" i="1"/>
  <c r="BH197" i="1"/>
  <c r="BC197" i="1"/>
  <c r="BB197" i="1"/>
  <c r="BA197" i="1"/>
  <c r="AV197" i="1"/>
  <c r="AU197" i="1"/>
  <c r="AT197" i="1"/>
  <c r="AO197" i="1"/>
  <c r="AN197" i="1"/>
  <c r="AJ197" i="1"/>
  <c r="AC197" i="1"/>
  <c r="Y197" i="1"/>
  <c r="S197" i="1"/>
  <c r="K197" i="1"/>
  <c r="J197" i="1"/>
  <c r="C197" i="1"/>
  <c r="EV196" i="1"/>
  <c r="EU196" i="1"/>
  <c r="ET196" i="1"/>
  <c r="EG196" i="1"/>
  <c r="EC196" i="1"/>
  <c r="DY196" i="1"/>
  <c r="DQ196" i="1"/>
  <c r="DK196" i="1"/>
  <c r="DH196" i="1"/>
  <c r="DD196" i="1"/>
  <c r="CW196" i="1"/>
  <c r="CP196" i="1"/>
  <c r="CL196" i="1"/>
  <c r="CG196" i="1"/>
  <c r="CB196" i="1"/>
  <c r="BW196" i="1"/>
  <c r="BV196" i="1"/>
  <c r="BQ196" i="1"/>
  <c r="BP196" i="1"/>
  <c r="BO196" i="1"/>
  <c r="BJ196" i="1"/>
  <c r="BI196" i="1"/>
  <c r="BH196" i="1"/>
  <c r="BC196" i="1"/>
  <c r="BB196" i="1"/>
  <c r="BA196" i="1"/>
  <c r="AV196" i="1"/>
  <c r="AU196" i="1"/>
  <c r="AT196" i="1"/>
  <c r="AO196" i="1"/>
  <c r="AN196" i="1"/>
  <c r="AJ196" i="1"/>
  <c r="AC196" i="1"/>
  <c r="AB196" i="1"/>
  <c r="Y196" i="1"/>
  <c r="S196" i="1"/>
  <c r="K196" i="1"/>
  <c r="J196" i="1"/>
  <c r="C196" i="1"/>
  <c r="EV195" i="1"/>
  <c r="EU195" i="1"/>
  <c r="ET195" i="1"/>
  <c r="EG195" i="1"/>
  <c r="EC195" i="1"/>
  <c r="DQ195" i="1"/>
  <c r="DK195" i="1"/>
  <c r="DH195" i="1"/>
  <c r="DD195" i="1"/>
  <c r="CW195" i="1"/>
  <c r="CP195" i="1"/>
  <c r="CL195" i="1"/>
  <c r="CG195" i="1"/>
  <c r="CB195" i="1"/>
  <c r="BW195" i="1"/>
  <c r="BV195" i="1"/>
  <c r="BQ195" i="1"/>
  <c r="BP195" i="1"/>
  <c r="BO195" i="1"/>
  <c r="BJ195" i="1"/>
  <c r="BI195" i="1"/>
  <c r="BH195" i="1"/>
  <c r="BC195" i="1"/>
  <c r="BB195" i="1"/>
  <c r="BA195" i="1"/>
  <c r="AV195" i="1"/>
  <c r="AU195" i="1"/>
  <c r="AT195" i="1"/>
  <c r="AO195" i="1"/>
  <c r="AN195" i="1"/>
  <c r="AC195" i="1"/>
  <c r="AB195" i="1"/>
  <c r="Y195" i="1"/>
  <c r="S195" i="1"/>
  <c r="K195" i="1"/>
  <c r="J195" i="1"/>
  <c r="C195" i="1"/>
  <c r="EV194" i="1"/>
  <c r="EU194" i="1"/>
  <c r="ET194" i="1"/>
  <c r="EG194" i="1"/>
  <c r="EC194" i="1"/>
  <c r="DQ194" i="1"/>
  <c r="DK194" i="1"/>
  <c r="DH194" i="1"/>
  <c r="DD194" i="1"/>
  <c r="CW194" i="1"/>
  <c r="CP194" i="1"/>
  <c r="CL194" i="1"/>
  <c r="CG194" i="1"/>
  <c r="CB194" i="1"/>
  <c r="BW194" i="1"/>
  <c r="BV194" i="1"/>
  <c r="BQ194" i="1"/>
  <c r="BP194" i="1"/>
  <c r="BO194" i="1"/>
  <c r="BJ194" i="1"/>
  <c r="BI194" i="1"/>
  <c r="BH194" i="1"/>
  <c r="BC194" i="1"/>
  <c r="BB194" i="1"/>
  <c r="BA194" i="1"/>
  <c r="AV194" i="1"/>
  <c r="AU194" i="1"/>
  <c r="AT194" i="1"/>
  <c r="AO194" i="1"/>
  <c r="AN194" i="1"/>
  <c r="AC194" i="1"/>
  <c r="AB194" i="1"/>
  <c r="Y194" i="1"/>
  <c r="S194" i="1"/>
  <c r="K194" i="1"/>
  <c r="J194" i="1"/>
  <c r="C194" i="1"/>
  <c r="EV193" i="1"/>
  <c r="EU193" i="1"/>
  <c r="ET193" i="1"/>
  <c r="EG193" i="1"/>
  <c r="EC193" i="1"/>
  <c r="DQ193" i="1"/>
  <c r="DK193" i="1"/>
  <c r="DH193" i="1"/>
  <c r="DD193" i="1"/>
  <c r="CW193" i="1"/>
  <c r="CP193" i="1"/>
  <c r="CL193" i="1"/>
  <c r="CG193" i="1"/>
  <c r="CB193" i="1"/>
  <c r="BW193" i="1"/>
  <c r="BV193" i="1"/>
  <c r="BQ193" i="1"/>
  <c r="BP193" i="1"/>
  <c r="BO193" i="1"/>
  <c r="BJ193" i="1"/>
  <c r="BI193" i="1"/>
  <c r="BH193" i="1"/>
  <c r="BC193" i="1"/>
  <c r="BB193" i="1"/>
  <c r="BA193" i="1"/>
  <c r="AV193" i="1"/>
  <c r="AU193" i="1"/>
  <c r="AT193" i="1"/>
  <c r="AO193" i="1"/>
  <c r="AN193" i="1"/>
  <c r="AC193" i="1"/>
  <c r="AB193" i="1"/>
  <c r="Y193" i="1"/>
  <c r="S193" i="1"/>
  <c r="K193" i="1"/>
  <c r="J193" i="1"/>
  <c r="C193" i="1"/>
  <c r="EV192" i="1"/>
  <c r="EU192" i="1"/>
  <c r="ET192" i="1"/>
  <c r="EG192" i="1"/>
  <c r="EC192" i="1"/>
  <c r="DY192" i="1"/>
  <c r="DQ192" i="1"/>
  <c r="DK192" i="1"/>
  <c r="DH192" i="1"/>
  <c r="DD192" i="1"/>
  <c r="CW192" i="1"/>
  <c r="CP192" i="1"/>
  <c r="CL192" i="1"/>
  <c r="CG192" i="1"/>
  <c r="CB192" i="1"/>
  <c r="BW192" i="1"/>
  <c r="BV192" i="1"/>
  <c r="BQ192" i="1"/>
  <c r="BP192" i="1"/>
  <c r="BO192" i="1"/>
  <c r="BJ192" i="1"/>
  <c r="BI192" i="1"/>
  <c r="BH192" i="1"/>
  <c r="BC192" i="1"/>
  <c r="BB192" i="1"/>
  <c r="BA192" i="1"/>
  <c r="AV192" i="1"/>
  <c r="AU192" i="1"/>
  <c r="AT192" i="1"/>
  <c r="AO192" i="1"/>
  <c r="AN192" i="1"/>
  <c r="AJ192" i="1"/>
  <c r="AC192" i="1"/>
  <c r="AB192" i="1"/>
  <c r="Y192" i="1"/>
  <c r="S192" i="1"/>
  <c r="K192" i="1"/>
  <c r="J192" i="1"/>
  <c r="C192" i="1"/>
  <c r="EV191" i="1"/>
  <c r="EU191" i="1"/>
  <c r="ET191" i="1"/>
  <c r="EG191" i="1"/>
  <c r="EC191" i="1"/>
  <c r="DY191" i="1"/>
  <c r="DQ191" i="1"/>
  <c r="DK191" i="1"/>
  <c r="DH191" i="1"/>
  <c r="DD191" i="1"/>
  <c r="CW191" i="1"/>
  <c r="CP191" i="1"/>
  <c r="CL191" i="1"/>
  <c r="CG191" i="1"/>
  <c r="CB191" i="1"/>
  <c r="BW191" i="1"/>
  <c r="BV191" i="1"/>
  <c r="BQ191" i="1"/>
  <c r="BP191" i="1"/>
  <c r="BO191" i="1"/>
  <c r="BJ191" i="1"/>
  <c r="BI191" i="1"/>
  <c r="BH191" i="1"/>
  <c r="BC191" i="1"/>
  <c r="BB191" i="1"/>
  <c r="BA191" i="1"/>
  <c r="AV191" i="1"/>
  <c r="AU191" i="1"/>
  <c r="AT191" i="1"/>
  <c r="AO191" i="1"/>
  <c r="AN191" i="1"/>
  <c r="AJ191" i="1"/>
  <c r="AC191" i="1"/>
  <c r="AB191" i="1"/>
  <c r="Y191" i="1"/>
  <c r="S191" i="1"/>
  <c r="K191" i="1"/>
  <c r="J191" i="1"/>
  <c r="C191" i="1"/>
  <c r="EV190" i="1"/>
  <c r="EU190" i="1"/>
  <c r="ET190" i="1"/>
  <c r="EC190" i="1"/>
  <c r="DY190" i="1"/>
  <c r="DQ190" i="1"/>
  <c r="DK190" i="1"/>
  <c r="DH190" i="1"/>
  <c r="DD190" i="1"/>
  <c r="CW190" i="1"/>
  <c r="CP190" i="1"/>
  <c r="CL190" i="1"/>
  <c r="CG190" i="1"/>
  <c r="CB190" i="1"/>
  <c r="BW190" i="1"/>
  <c r="BV190" i="1"/>
  <c r="BQ190" i="1"/>
  <c r="BP190" i="1"/>
  <c r="BO190" i="1"/>
  <c r="BJ190" i="1"/>
  <c r="BI190" i="1"/>
  <c r="BH190" i="1"/>
  <c r="BC190" i="1"/>
  <c r="BB190" i="1"/>
  <c r="BA190" i="1"/>
  <c r="AV190" i="1"/>
  <c r="AU190" i="1"/>
  <c r="AT190" i="1"/>
  <c r="AO190" i="1"/>
  <c r="AN190" i="1"/>
  <c r="AJ190" i="1"/>
  <c r="AC190" i="1"/>
  <c r="Y190" i="1"/>
  <c r="S190" i="1"/>
  <c r="K190" i="1"/>
  <c r="J190" i="1"/>
  <c r="C190" i="1"/>
  <c r="EV189" i="1"/>
  <c r="EU189" i="1"/>
  <c r="ET189" i="1"/>
  <c r="EG189" i="1"/>
  <c r="EC189" i="1"/>
  <c r="DQ189" i="1"/>
  <c r="DK189" i="1"/>
  <c r="DH189" i="1"/>
  <c r="DD189" i="1"/>
  <c r="CW189" i="1"/>
  <c r="CP189" i="1"/>
  <c r="CL189" i="1"/>
  <c r="CG189" i="1"/>
  <c r="CB189" i="1"/>
  <c r="BW189" i="1"/>
  <c r="BV189" i="1"/>
  <c r="BQ189" i="1"/>
  <c r="BP189" i="1"/>
  <c r="BO189" i="1"/>
  <c r="BJ189" i="1"/>
  <c r="BI189" i="1"/>
  <c r="BH189" i="1"/>
  <c r="BC189" i="1"/>
  <c r="BB189" i="1"/>
  <c r="BA189" i="1"/>
  <c r="AV189" i="1"/>
  <c r="AU189" i="1"/>
  <c r="AT189" i="1"/>
  <c r="AO189" i="1"/>
  <c r="AN189" i="1"/>
  <c r="AC189" i="1"/>
  <c r="AB189" i="1"/>
  <c r="Y189" i="1"/>
  <c r="S189" i="1"/>
  <c r="K189" i="1"/>
  <c r="J189" i="1"/>
  <c r="C189" i="1"/>
  <c r="EV188" i="1"/>
  <c r="EU188" i="1"/>
  <c r="ET188" i="1"/>
  <c r="EG188" i="1"/>
  <c r="EC188" i="1"/>
  <c r="DQ188" i="1"/>
  <c r="DK188" i="1"/>
  <c r="DH188" i="1"/>
  <c r="DD188" i="1"/>
  <c r="CW188" i="1"/>
  <c r="CP188" i="1"/>
  <c r="CL188" i="1"/>
  <c r="CG188" i="1"/>
  <c r="CB188" i="1"/>
  <c r="BW188" i="1"/>
  <c r="BV188" i="1"/>
  <c r="BQ188" i="1"/>
  <c r="BP188" i="1"/>
  <c r="BO188" i="1"/>
  <c r="BJ188" i="1"/>
  <c r="BI188" i="1"/>
  <c r="BH188" i="1"/>
  <c r="BC188" i="1"/>
  <c r="BB188" i="1"/>
  <c r="BA188" i="1"/>
  <c r="AV188" i="1"/>
  <c r="AU188" i="1"/>
  <c r="AT188" i="1"/>
  <c r="AO188" i="1"/>
  <c r="AN188" i="1"/>
  <c r="AC188" i="1"/>
  <c r="AB188" i="1"/>
  <c r="Y188" i="1"/>
  <c r="S188" i="1"/>
  <c r="K188" i="1"/>
  <c r="J188" i="1"/>
  <c r="C188" i="1"/>
  <c r="EV187" i="1"/>
  <c r="EU187" i="1"/>
  <c r="ET187" i="1"/>
  <c r="EC187" i="1"/>
  <c r="DY187" i="1"/>
  <c r="DQ187" i="1"/>
  <c r="DK187" i="1"/>
  <c r="DH187" i="1"/>
  <c r="DD187" i="1"/>
  <c r="CW187" i="1"/>
  <c r="CP187" i="1"/>
  <c r="CL187" i="1"/>
  <c r="CG187" i="1"/>
  <c r="CB187" i="1"/>
  <c r="BW187" i="1"/>
  <c r="BV187" i="1"/>
  <c r="BQ187" i="1"/>
  <c r="BP187" i="1"/>
  <c r="BO187" i="1"/>
  <c r="BJ187" i="1"/>
  <c r="BI187" i="1"/>
  <c r="BH187" i="1"/>
  <c r="BC187" i="1"/>
  <c r="BB187" i="1"/>
  <c r="BA187" i="1"/>
  <c r="AV187" i="1"/>
  <c r="AU187" i="1"/>
  <c r="AT187" i="1"/>
  <c r="AO187" i="1"/>
  <c r="AN187" i="1"/>
  <c r="AJ187" i="1"/>
  <c r="AC187" i="1"/>
  <c r="Y187" i="1"/>
  <c r="S187" i="1"/>
  <c r="K187" i="1"/>
  <c r="J187" i="1"/>
  <c r="C187" i="1"/>
  <c r="EV186" i="1"/>
  <c r="EU186" i="1"/>
  <c r="ET186" i="1"/>
  <c r="EC186" i="1"/>
  <c r="DQ186" i="1"/>
  <c r="DK186" i="1"/>
  <c r="DH186" i="1"/>
  <c r="DD186" i="1"/>
  <c r="CW186" i="1"/>
  <c r="CP186" i="1"/>
  <c r="CL186" i="1"/>
  <c r="CG186" i="1"/>
  <c r="CB186" i="1"/>
  <c r="BW186" i="1"/>
  <c r="BV186" i="1"/>
  <c r="BQ186" i="1"/>
  <c r="BP186" i="1"/>
  <c r="BO186" i="1"/>
  <c r="BJ186" i="1"/>
  <c r="BI186" i="1"/>
  <c r="BH186" i="1"/>
  <c r="BC186" i="1"/>
  <c r="BB186" i="1"/>
  <c r="BA186" i="1"/>
  <c r="AV186" i="1"/>
  <c r="AU186" i="1"/>
  <c r="AT186" i="1"/>
  <c r="AO186" i="1"/>
  <c r="AN186" i="1"/>
  <c r="AC186" i="1"/>
  <c r="Y186" i="1"/>
  <c r="S186" i="1"/>
  <c r="K186" i="1"/>
  <c r="J186" i="1"/>
  <c r="C186" i="1"/>
  <c r="EV185" i="1"/>
  <c r="EU185" i="1"/>
  <c r="ET185" i="1"/>
  <c r="EC185" i="1"/>
  <c r="DQ185" i="1"/>
  <c r="DK185" i="1"/>
  <c r="DH185" i="1"/>
  <c r="DD185" i="1"/>
  <c r="CW185" i="1"/>
  <c r="CP185" i="1"/>
  <c r="CL185" i="1"/>
  <c r="CG185" i="1"/>
  <c r="CB185" i="1"/>
  <c r="BW185" i="1"/>
  <c r="BV185" i="1"/>
  <c r="BQ185" i="1"/>
  <c r="BP185" i="1"/>
  <c r="BO185" i="1"/>
  <c r="BJ185" i="1"/>
  <c r="BI185" i="1"/>
  <c r="BH185" i="1"/>
  <c r="BC185" i="1"/>
  <c r="BB185" i="1"/>
  <c r="BA185" i="1"/>
  <c r="AV185" i="1"/>
  <c r="AU185" i="1"/>
  <c r="AT185" i="1"/>
  <c r="AO185" i="1"/>
  <c r="AN185" i="1"/>
  <c r="AC185" i="1"/>
  <c r="Y185" i="1"/>
  <c r="S185" i="1"/>
  <c r="K185" i="1"/>
  <c r="J185" i="1"/>
  <c r="C185" i="1"/>
  <c r="EV184" i="1"/>
  <c r="EU184" i="1"/>
  <c r="ET184" i="1"/>
  <c r="EG184" i="1"/>
  <c r="EC184" i="1"/>
  <c r="DQ184" i="1"/>
  <c r="DK184" i="1"/>
  <c r="DH184" i="1"/>
  <c r="DD184" i="1"/>
  <c r="CW184" i="1"/>
  <c r="CP184" i="1"/>
  <c r="CL184" i="1"/>
  <c r="CG184" i="1"/>
  <c r="CB184" i="1"/>
  <c r="BW184" i="1"/>
  <c r="BV184" i="1"/>
  <c r="BQ184" i="1"/>
  <c r="BP184" i="1"/>
  <c r="BO184" i="1"/>
  <c r="BJ184" i="1"/>
  <c r="BI184" i="1"/>
  <c r="BH184" i="1"/>
  <c r="BC184" i="1"/>
  <c r="BB184" i="1"/>
  <c r="BA184" i="1"/>
  <c r="AV184" i="1"/>
  <c r="AU184" i="1"/>
  <c r="AT184" i="1"/>
  <c r="AO184" i="1"/>
  <c r="AN184" i="1"/>
  <c r="AC184" i="1"/>
  <c r="AB184" i="1"/>
  <c r="Y184" i="1"/>
  <c r="S184" i="1"/>
  <c r="K184" i="1"/>
  <c r="J184" i="1"/>
  <c r="C184" i="1"/>
  <c r="EV183" i="1"/>
  <c r="EU183" i="1"/>
  <c r="ET183" i="1"/>
  <c r="EG183" i="1"/>
  <c r="EC183" i="1"/>
  <c r="DY183" i="1"/>
  <c r="DQ183" i="1"/>
  <c r="DK183" i="1"/>
  <c r="DH183" i="1"/>
  <c r="DD183" i="1"/>
  <c r="CW183" i="1"/>
  <c r="CP183" i="1"/>
  <c r="CL183" i="1"/>
  <c r="CG183" i="1"/>
  <c r="CB183" i="1"/>
  <c r="BW183" i="1"/>
  <c r="BV183" i="1"/>
  <c r="BQ183" i="1"/>
  <c r="BP183" i="1"/>
  <c r="BO183" i="1"/>
  <c r="BJ183" i="1"/>
  <c r="BI183" i="1"/>
  <c r="BH183" i="1"/>
  <c r="BC183" i="1"/>
  <c r="BB183" i="1"/>
  <c r="BA183" i="1"/>
  <c r="AV183" i="1"/>
  <c r="AU183" i="1"/>
  <c r="AT183" i="1"/>
  <c r="AO183" i="1"/>
  <c r="AN183" i="1"/>
  <c r="AJ183" i="1"/>
  <c r="AC183" i="1"/>
  <c r="AB183" i="1"/>
  <c r="Y183" i="1"/>
  <c r="S183" i="1"/>
  <c r="K183" i="1"/>
  <c r="J183" i="1"/>
  <c r="C183" i="1"/>
  <c r="EV182" i="1"/>
  <c r="EU182" i="1"/>
  <c r="ET182" i="1"/>
  <c r="EG182" i="1"/>
  <c r="EC182" i="1"/>
  <c r="DQ182" i="1"/>
  <c r="DK182" i="1"/>
  <c r="DH182" i="1"/>
  <c r="DD182" i="1"/>
  <c r="CW182" i="1"/>
  <c r="CP182" i="1"/>
  <c r="CL182" i="1"/>
  <c r="CG182" i="1"/>
  <c r="CB182" i="1"/>
  <c r="BW182" i="1"/>
  <c r="BV182" i="1"/>
  <c r="BQ182" i="1"/>
  <c r="BP182" i="1"/>
  <c r="BO182" i="1"/>
  <c r="BJ182" i="1"/>
  <c r="BI182" i="1"/>
  <c r="BH182" i="1"/>
  <c r="BC182" i="1"/>
  <c r="BB182" i="1"/>
  <c r="BA182" i="1"/>
  <c r="AV182" i="1"/>
  <c r="AU182" i="1"/>
  <c r="AT182" i="1"/>
  <c r="AO182" i="1"/>
  <c r="AN182" i="1"/>
  <c r="AC182" i="1"/>
  <c r="AB182" i="1"/>
  <c r="Y182" i="1"/>
  <c r="S182" i="1"/>
  <c r="K182" i="1"/>
  <c r="J182" i="1"/>
  <c r="C182" i="1"/>
  <c r="EV181" i="1"/>
  <c r="EU181" i="1"/>
  <c r="ET181" i="1"/>
  <c r="EG181" i="1"/>
  <c r="EC181" i="1"/>
  <c r="DQ181" i="1"/>
  <c r="DK181" i="1"/>
  <c r="DH181" i="1"/>
  <c r="DD181" i="1"/>
  <c r="CW181" i="1"/>
  <c r="CP181" i="1"/>
  <c r="CL181" i="1"/>
  <c r="CG181" i="1"/>
  <c r="CB181" i="1"/>
  <c r="BW181" i="1"/>
  <c r="BV181" i="1"/>
  <c r="BQ181" i="1"/>
  <c r="BP181" i="1"/>
  <c r="BO181" i="1"/>
  <c r="BJ181" i="1"/>
  <c r="BI181" i="1"/>
  <c r="BH181" i="1"/>
  <c r="BC181" i="1"/>
  <c r="BB181" i="1"/>
  <c r="BA181" i="1"/>
  <c r="AV181" i="1"/>
  <c r="AU181" i="1"/>
  <c r="AT181" i="1"/>
  <c r="AO181" i="1"/>
  <c r="AN181" i="1"/>
  <c r="AC181" i="1"/>
  <c r="AB181" i="1"/>
  <c r="Y181" i="1"/>
  <c r="S181" i="1"/>
  <c r="K181" i="1"/>
  <c r="J181" i="1"/>
  <c r="C181" i="1"/>
  <c r="EV180" i="1"/>
  <c r="EU180" i="1"/>
  <c r="ET180" i="1"/>
  <c r="EG180" i="1"/>
  <c r="EC180" i="1"/>
  <c r="DQ180" i="1"/>
  <c r="DK180" i="1"/>
  <c r="DH180" i="1"/>
  <c r="DD180" i="1"/>
  <c r="CW180" i="1"/>
  <c r="CP180" i="1"/>
  <c r="CL180" i="1"/>
  <c r="CG180" i="1"/>
  <c r="CB180" i="1"/>
  <c r="BW180" i="1"/>
  <c r="BV180" i="1"/>
  <c r="BQ180" i="1"/>
  <c r="BP180" i="1"/>
  <c r="BO180" i="1"/>
  <c r="BJ180" i="1"/>
  <c r="BI180" i="1"/>
  <c r="BH180" i="1"/>
  <c r="BC180" i="1"/>
  <c r="BB180" i="1"/>
  <c r="BA180" i="1"/>
  <c r="AV180" i="1"/>
  <c r="AU180" i="1"/>
  <c r="AT180" i="1"/>
  <c r="AO180" i="1"/>
  <c r="AN180" i="1"/>
  <c r="AC180" i="1"/>
  <c r="AB180" i="1"/>
  <c r="Y180" i="1"/>
  <c r="S180" i="1"/>
  <c r="K180" i="1"/>
  <c r="J180" i="1"/>
  <c r="C180" i="1"/>
  <c r="EV179" i="1"/>
  <c r="EU179" i="1"/>
  <c r="ET179" i="1"/>
  <c r="EG179" i="1"/>
  <c r="EC179" i="1"/>
  <c r="DQ179" i="1"/>
  <c r="DK179" i="1"/>
  <c r="DH179" i="1"/>
  <c r="DD179" i="1"/>
  <c r="CW179" i="1"/>
  <c r="CP179" i="1"/>
  <c r="CL179" i="1"/>
  <c r="CG179" i="1"/>
  <c r="CB179" i="1"/>
  <c r="BW179" i="1"/>
  <c r="BV179" i="1"/>
  <c r="BQ179" i="1"/>
  <c r="BP179" i="1"/>
  <c r="BO179" i="1"/>
  <c r="BJ179" i="1"/>
  <c r="BI179" i="1"/>
  <c r="BH179" i="1"/>
  <c r="BC179" i="1"/>
  <c r="BB179" i="1"/>
  <c r="BA179" i="1"/>
  <c r="AV179" i="1"/>
  <c r="AU179" i="1"/>
  <c r="AT179" i="1"/>
  <c r="AO179" i="1"/>
  <c r="AN179" i="1"/>
  <c r="AC179" i="1"/>
  <c r="AB179" i="1"/>
  <c r="Y179" i="1"/>
  <c r="S179" i="1"/>
  <c r="K179" i="1"/>
  <c r="J179" i="1"/>
  <c r="C179" i="1"/>
  <c r="EV178" i="1"/>
  <c r="EU178" i="1"/>
  <c r="ET178" i="1"/>
  <c r="EG178" i="1"/>
  <c r="EC178" i="1"/>
  <c r="DQ178" i="1"/>
  <c r="DK178" i="1"/>
  <c r="DH178" i="1"/>
  <c r="DD178" i="1"/>
  <c r="CW178" i="1"/>
  <c r="CP178" i="1"/>
  <c r="CL178" i="1"/>
  <c r="CG178" i="1"/>
  <c r="CB178" i="1"/>
  <c r="BQ178" i="1"/>
  <c r="BP178" i="1"/>
  <c r="BO178" i="1"/>
  <c r="BJ178" i="1"/>
  <c r="BI178" i="1"/>
  <c r="BH178" i="1"/>
  <c r="BC178" i="1"/>
  <c r="BB178" i="1"/>
  <c r="BA178" i="1"/>
  <c r="AV178" i="1"/>
  <c r="AU178" i="1"/>
  <c r="AT178" i="1"/>
  <c r="AO178" i="1"/>
  <c r="AN178" i="1"/>
  <c r="AC178" i="1"/>
  <c r="AB178" i="1"/>
  <c r="Y178" i="1"/>
  <c r="S178" i="1"/>
  <c r="K178" i="1"/>
  <c r="J178" i="1"/>
  <c r="C178" i="1"/>
  <c r="EV177" i="1"/>
  <c r="EU177" i="1"/>
  <c r="ET177" i="1"/>
  <c r="EC177" i="1"/>
  <c r="DY177" i="1"/>
  <c r="DQ177" i="1"/>
  <c r="DK177" i="1"/>
  <c r="DH177" i="1"/>
  <c r="DD177" i="1"/>
  <c r="CW177" i="1"/>
  <c r="CP177" i="1"/>
  <c r="CL177" i="1"/>
  <c r="CG177" i="1"/>
  <c r="CB177" i="1"/>
  <c r="BW177" i="1"/>
  <c r="BV177" i="1"/>
  <c r="BQ177" i="1"/>
  <c r="BP177" i="1"/>
  <c r="BO177" i="1"/>
  <c r="BJ177" i="1"/>
  <c r="BI177" i="1"/>
  <c r="BH177" i="1"/>
  <c r="BC177" i="1"/>
  <c r="BB177" i="1"/>
  <c r="BA177" i="1"/>
  <c r="AV177" i="1"/>
  <c r="AU177" i="1"/>
  <c r="AT177" i="1"/>
  <c r="AO177" i="1"/>
  <c r="AN177" i="1"/>
  <c r="AJ177" i="1"/>
  <c r="AC177" i="1"/>
  <c r="Y177" i="1"/>
  <c r="S177" i="1"/>
  <c r="K177" i="1"/>
  <c r="J177" i="1"/>
  <c r="C177" i="1"/>
  <c r="EV176" i="1"/>
  <c r="EU176" i="1"/>
  <c r="ET176" i="1"/>
  <c r="EC176" i="1"/>
  <c r="DY176" i="1"/>
  <c r="DQ176" i="1"/>
  <c r="DK176" i="1"/>
  <c r="DH176" i="1"/>
  <c r="DD176" i="1"/>
  <c r="CW176" i="1"/>
  <c r="CP176" i="1"/>
  <c r="CL176" i="1"/>
  <c r="CG176" i="1"/>
  <c r="CB176" i="1"/>
  <c r="BW176" i="1"/>
  <c r="BV176" i="1"/>
  <c r="BQ176" i="1"/>
  <c r="BP176" i="1"/>
  <c r="BO176" i="1"/>
  <c r="BJ176" i="1"/>
  <c r="BI176" i="1"/>
  <c r="BH176" i="1"/>
  <c r="BC176" i="1"/>
  <c r="BB176" i="1"/>
  <c r="BA176" i="1"/>
  <c r="AV176" i="1"/>
  <c r="AU176" i="1"/>
  <c r="AT176" i="1"/>
  <c r="AO176" i="1"/>
  <c r="AN176" i="1"/>
  <c r="AJ176" i="1"/>
  <c r="AC176" i="1"/>
  <c r="Y176" i="1"/>
  <c r="S176" i="1"/>
  <c r="K176" i="1"/>
  <c r="J176" i="1"/>
  <c r="C176" i="1"/>
  <c r="EV175" i="1"/>
  <c r="EU175" i="1"/>
  <c r="ET175" i="1"/>
  <c r="EG175" i="1"/>
  <c r="EC175" i="1"/>
  <c r="DQ175" i="1"/>
  <c r="DK175" i="1"/>
  <c r="DH175" i="1"/>
  <c r="DD175" i="1"/>
  <c r="CW175" i="1"/>
  <c r="CP175" i="1"/>
  <c r="CL175" i="1"/>
  <c r="CG175" i="1"/>
  <c r="CB175" i="1"/>
  <c r="BW175" i="1"/>
  <c r="BV175" i="1"/>
  <c r="BQ175" i="1"/>
  <c r="BP175" i="1"/>
  <c r="BO175" i="1"/>
  <c r="BJ175" i="1"/>
  <c r="BI175" i="1"/>
  <c r="BH175" i="1"/>
  <c r="BC175" i="1"/>
  <c r="BB175" i="1"/>
  <c r="BA175" i="1"/>
  <c r="AV175" i="1"/>
  <c r="AU175" i="1"/>
  <c r="AT175" i="1"/>
  <c r="AO175" i="1"/>
  <c r="AN175" i="1"/>
  <c r="AC175" i="1"/>
  <c r="AB175" i="1"/>
  <c r="Y175" i="1"/>
  <c r="S175" i="1"/>
  <c r="K175" i="1"/>
  <c r="J175" i="1"/>
  <c r="C175" i="1"/>
  <c r="EV174" i="1"/>
  <c r="EU174" i="1"/>
  <c r="ET174" i="1"/>
  <c r="EG174" i="1"/>
  <c r="EC174" i="1"/>
  <c r="DQ174" i="1"/>
  <c r="DK174" i="1"/>
  <c r="DH174" i="1"/>
  <c r="DD174" i="1"/>
  <c r="CW174" i="1"/>
  <c r="CP174" i="1"/>
  <c r="CL174" i="1"/>
  <c r="CG174" i="1"/>
  <c r="CB174" i="1"/>
  <c r="BW174" i="1"/>
  <c r="BV174" i="1"/>
  <c r="BQ174" i="1"/>
  <c r="BP174" i="1"/>
  <c r="BO174" i="1"/>
  <c r="BJ174" i="1"/>
  <c r="BI174" i="1"/>
  <c r="BH174" i="1"/>
  <c r="BC174" i="1"/>
  <c r="BB174" i="1"/>
  <c r="BA174" i="1"/>
  <c r="AV174" i="1"/>
  <c r="AU174" i="1"/>
  <c r="AT174" i="1"/>
  <c r="AO174" i="1"/>
  <c r="AN174" i="1"/>
  <c r="AC174" i="1"/>
  <c r="AB174" i="1"/>
  <c r="Y174" i="1"/>
  <c r="S174" i="1"/>
  <c r="K174" i="1"/>
  <c r="J174" i="1"/>
  <c r="C174" i="1"/>
  <c r="EV173" i="1"/>
  <c r="EU173" i="1"/>
  <c r="ET173" i="1"/>
  <c r="EG173" i="1"/>
  <c r="EC173" i="1"/>
  <c r="DQ173" i="1"/>
  <c r="DK173" i="1"/>
  <c r="DH173" i="1"/>
  <c r="DD173" i="1"/>
  <c r="CW173" i="1"/>
  <c r="CP173" i="1"/>
  <c r="CL173" i="1"/>
  <c r="CG173" i="1"/>
  <c r="CB173" i="1"/>
  <c r="BW173" i="1"/>
  <c r="BV173" i="1"/>
  <c r="BQ173" i="1"/>
  <c r="BP173" i="1"/>
  <c r="BO173" i="1"/>
  <c r="BJ173" i="1"/>
  <c r="BI173" i="1"/>
  <c r="BH173" i="1"/>
  <c r="BC173" i="1"/>
  <c r="BB173" i="1"/>
  <c r="BA173" i="1"/>
  <c r="AV173" i="1"/>
  <c r="AU173" i="1"/>
  <c r="AT173" i="1"/>
  <c r="AO173" i="1"/>
  <c r="AN173" i="1"/>
  <c r="AC173" i="1"/>
  <c r="AB173" i="1"/>
  <c r="Y173" i="1"/>
  <c r="S173" i="1"/>
  <c r="K173" i="1"/>
  <c r="J173" i="1"/>
  <c r="C173" i="1"/>
  <c r="EV172" i="1"/>
  <c r="EU172" i="1"/>
  <c r="ET172" i="1"/>
  <c r="EG172" i="1"/>
  <c r="EC172" i="1"/>
  <c r="DQ172" i="1"/>
  <c r="DK172" i="1"/>
  <c r="DH172" i="1"/>
  <c r="DD172" i="1"/>
  <c r="CW172" i="1"/>
  <c r="CP172" i="1"/>
  <c r="CL172" i="1"/>
  <c r="CG172" i="1"/>
  <c r="CB172" i="1"/>
  <c r="BW172" i="1"/>
  <c r="BV172" i="1"/>
  <c r="BQ172" i="1"/>
  <c r="BP172" i="1"/>
  <c r="BO172" i="1"/>
  <c r="BJ172" i="1"/>
  <c r="BI172" i="1"/>
  <c r="BH172" i="1"/>
  <c r="BC172" i="1"/>
  <c r="BB172" i="1"/>
  <c r="BA172" i="1"/>
  <c r="AV172" i="1"/>
  <c r="AU172" i="1"/>
  <c r="AT172" i="1"/>
  <c r="AO172" i="1"/>
  <c r="AN172" i="1"/>
  <c r="AC172" i="1"/>
  <c r="AB172" i="1"/>
  <c r="Y172" i="1"/>
  <c r="S172" i="1"/>
  <c r="K172" i="1"/>
  <c r="J172" i="1"/>
  <c r="C172" i="1"/>
  <c r="EV171" i="1"/>
  <c r="EU171" i="1"/>
  <c r="ET171" i="1"/>
  <c r="EG171" i="1"/>
  <c r="EC171" i="1"/>
  <c r="DY171" i="1"/>
  <c r="DQ171" i="1"/>
  <c r="DK171" i="1"/>
  <c r="DH171" i="1"/>
  <c r="DD171" i="1"/>
  <c r="CW171" i="1"/>
  <c r="CP171" i="1"/>
  <c r="CL171" i="1"/>
  <c r="CG171" i="1"/>
  <c r="CB171" i="1"/>
  <c r="BW171" i="1"/>
  <c r="BV171" i="1"/>
  <c r="BQ171" i="1"/>
  <c r="BP171" i="1"/>
  <c r="BO171" i="1"/>
  <c r="BJ171" i="1"/>
  <c r="BI171" i="1"/>
  <c r="BH171" i="1"/>
  <c r="BC171" i="1"/>
  <c r="BB171" i="1"/>
  <c r="BA171" i="1"/>
  <c r="AV171" i="1"/>
  <c r="AU171" i="1"/>
  <c r="AT171" i="1"/>
  <c r="AO171" i="1"/>
  <c r="AN171" i="1"/>
  <c r="AJ171" i="1"/>
  <c r="AC171" i="1"/>
  <c r="AB171" i="1"/>
  <c r="Y171" i="1"/>
  <c r="S171" i="1"/>
  <c r="K171" i="1"/>
  <c r="J171" i="1"/>
  <c r="C171" i="1"/>
  <c r="EV170" i="1"/>
  <c r="EU170" i="1"/>
  <c r="ET170" i="1"/>
  <c r="EC170" i="1"/>
  <c r="DY170" i="1"/>
  <c r="DQ170" i="1"/>
  <c r="DK170" i="1"/>
  <c r="DH170" i="1"/>
  <c r="DD170" i="1"/>
  <c r="CW170" i="1"/>
  <c r="CP170" i="1"/>
  <c r="CL170" i="1"/>
  <c r="CG170" i="1"/>
  <c r="CB170" i="1"/>
  <c r="BW170" i="1"/>
  <c r="BV170" i="1"/>
  <c r="BQ170" i="1"/>
  <c r="BP170" i="1"/>
  <c r="BO170" i="1"/>
  <c r="BJ170" i="1"/>
  <c r="BI170" i="1"/>
  <c r="BH170" i="1"/>
  <c r="BC170" i="1"/>
  <c r="BB170" i="1"/>
  <c r="BA170" i="1"/>
  <c r="AV170" i="1"/>
  <c r="AU170" i="1"/>
  <c r="AT170" i="1"/>
  <c r="AO170" i="1"/>
  <c r="AN170" i="1"/>
  <c r="AJ170" i="1"/>
  <c r="AC170" i="1"/>
  <c r="Y170" i="1"/>
  <c r="S170" i="1"/>
  <c r="K170" i="1"/>
  <c r="J170" i="1"/>
  <c r="C170" i="1"/>
  <c r="EV169" i="1"/>
  <c r="EU169" i="1"/>
  <c r="ET169" i="1"/>
  <c r="EG169" i="1"/>
  <c r="EC169" i="1"/>
  <c r="DQ169" i="1"/>
  <c r="DK169" i="1"/>
  <c r="DH169" i="1"/>
  <c r="DD169" i="1"/>
  <c r="CW169" i="1"/>
  <c r="CP169" i="1"/>
  <c r="CL169" i="1"/>
  <c r="CG169" i="1"/>
  <c r="CB169" i="1"/>
  <c r="BW169" i="1"/>
  <c r="BV169" i="1"/>
  <c r="BQ169" i="1"/>
  <c r="BP169" i="1"/>
  <c r="BO169" i="1"/>
  <c r="BJ169" i="1"/>
  <c r="BI169" i="1"/>
  <c r="BH169" i="1"/>
  <c r="BC169" i="1"/>
  <c r="BB169" i="1"/>
  <c r="BA169" i="1"/>
  <c r="AV169" i="1"/>
  <c r="AU169" i="1"/>
  <c r="AT169" i="1"/>
  <c r="AO169" i="1"/>
  <c r="AN169" i="1"/>
  <c r="AC169" i="1"/>
  <c r="AB169" i="1"/>
  <c r="Y169" i="1"/>
  <c r="S169" i="1"/>
  <c r="K169" i="1"/>
  <c r="J169" i="1"/>
  <c r="C169" i="1"/>
  <c r="C168" i="1"/>
  <c r="EV167" i="1"/>
  <c r="EU167" i="1"/>
  <c r="ET167" i="1"/>
  <c r="EC167" i="1"/>
  <c r="DQ167" i="1"/>
  <c r="DK167" i="1"/>
  <c r="DH167" i="1"/>
  <c r="DD167" i="1"/>
  <c r="CW167" i="1"/>
  <c r="CP167" i="1"/>
  <c r="CL167" i="1"/>
  <c r="CG167" i="1"/>
  <c r="CB167" i="1"/>
  <c r="BW167" i="1"/>
  <c r="BV167" i="1"/>
  <c r="BQ167" i="1"/>
  <c r="BP167" i="1"/>
  <c r="BO167" i="1"/>
  <c r="BJ167" i="1"/>
  <c r="BI167" i="1"/>
  <c r="BH167" i="1"/>
  <c r="BC167" i="1"/>
  <c r="BB167" i="1"/>
  <c r="BA167" i="1"/>
  <c r="AV167" i="1"/>
  <c r="AU167" i="1"/>
  <c r="AT167" i="1"/>
  <c r="AO167" i="1"/>
  <c r="AN167" i="1"/>
  <c r="AC167" i="1"/>
  <c r="Y167" i="1"/>
  <c r="S167" i="1"/>
  <c r="K167" i="1"/>
  <c r="J167" i="1"/>
  <c r="C167" i="1"/>
  <c r="EV166" i="1"/>
  <c r="EU166" i="1"/>
  <c r="ET166" i="1"/>
  <c r="EG166" i="1"/>
  <c r="EC166" i="1"/>
  <c r="DQ166" i="1"/>
  <c r="DK166" i="1"/>
  <c r="DH166" i="1"/>
  <c r="DD166" i="1"/>
  <c r="CW166" i="1"/>
  <c r="CP166" i="1"/>
  <c r="CL166" i="1"/>
  <c r="CG166" i="1"/>
  <c r="CB166" i="1"/>
  <c r="BW166" i="1"/>
  <c r="BV166" i="1"/>
  <c r="BQ166" i="1"/>
  <c r="BP166" i="1"/>
  <c r="BO166" i="1"/>
  <c r="BJ166" i="1"/>
  <c r="BI166" i="1"/>
  <c r="BH166" i="1"/>
  <c r="BC166" i="1"/>
  <c r="BB166" i="1"/>
  <c r="BA166" i="1"/>
  <c r="AV166" i="1"/>
  <c r="AU166" i="1"/>
  <c r="AT166" i="1"/>
  <c r="AO166" i="1"/>
  <c r="AN166" i="1"/>
  <c r="AC166" i="1"/>
  <c r="AB166" i="1"/>
  <c r="Y166" i="1"/>
  <c r="S166" i="1"/>
  <c r="K166" i="1"/>
  <c r="J166" i="1"/>
  <c r="C166" i="1"/>
  <c r="EV165" i="1"/>
  <c r="EU165" i="1"/>
  <c r="ET165" i="1"/>
  <c r="EC165" i="1"/>
  <c r="DQ165" i="1"/>
  <c r="DK165" i="1"/>
  <c r="DH165" i="1"/>
  <c r="DD165" i="1"/>
  <c r="CW165" i="1"/>
  <c r="CP165" i="1"/>
  <c r="CL165" i="1"/>
  <c r="CG165" i="1"/>
  <c r="CB165" i="1"/>
  <c r="BW165" i="1"/>
  <c r="BV165" i="1"/>
  <c r="BQ165" i="1"/>
  <c r="BP165" i="1"/>
  <c r="BO165" i="1"/>
  <c r="BJ165" i="1"/>
  <c r="BI165" i="1"/>
  <c r="BH165" i="1"/>
  <c r="BC165" i="1"/>
  <c r="BB165" i="1"/>
  <c r="BA165" i="1"/>
  <c r="AV165" i="1"/>
  <c r="AU165" i="1"/>
  <c r="AT165" i="1"/>
  <c r="AO165" i="1"/>
  <c r="AN165" i="1"/>
  <c r="AC165" i="1"/>
  <c r="Y165" i="1"/>
  <c r="S165" i="1"/>
  <c r="K165" i="1"/>
  <c r="J165" i="1"/>
  <c r="C165" i="1"/>
  <c r="EV164" i="1"/>
  <c r="EU164" i="1"/>
  <c r="ET164" i="1"/>
  <c r="EC164" i="1"/>
  <c r="DQ164" i="1"/>
  <c r="DK164" i="1"/>
  <c r="DH164" i="1"/>
  <c r="DD164" i="1"/>
  <c r="CW164" i="1"/>
  <c r="CP164" i="1"/>
  <c r="CL164" i="1"/>
  <c r="CG164" i="1"/>
  <c r="CB164" i="1"/>
  <c r="BW164" i="1"/>
  <c r="BV164" i="1"/>
  <c r="BQ164" i="1"/>
  <c r="BP164" i="1"/>
  <c r="BO164" i="1"/>
  <c r="BJ164" i="1"/>
  <c r="BI164" i="1"/>
  <c r="BH164" i="1"/>
  <c r="BC164" i="1"/>
  <c r="BB164" i="1"/>
  <c r="BA164" i="1"/>
  <c r="AV164" i="1"/>
  <c r="AU164" i="1"/>
  <c r="AT164" i="1"/>
  <c r="AO164" i="1"/>
  <c r="AN164" i="1"/>
  <c r="AC164" i="1"/>
  <c r="Y164" i="1"/>
  <c r="S164" i="1"/>
  <c r="K164" i="1"/>
  <c r="J164" i="1"/>
  <c r="C164" i="1"/>
  <c r="EV163" i="1"/>
  <c r="EU163" i="1"/>
  <c r="ET163" i="1"/>
  <c r="EC163" i="1"/>
  <c r="DQ163" i="1"/>
  <c r="DK163" i="1"/>
  <c r="DH163" i="1"/>
  <c r="DD163" i="1"/>
  <c r="CW163" i="1"/>
  <c r="CP163" i="1"/>
  <c r="CL163" i="1"/>
  <c r="CG163" i="1"/>
  <c r="CB163" i="1"/>
  <c r="BW163" i="1"/>
  <c r="BV163" i="1"/>
  <c r="BQ163" i="1"/>
  <c r="BP163" i="1"/>
  <c r="BO163" i="1"/>
  <c r="BJ163" i="1"/>
  <c r="BI163" i="1"/>
  <c r="BH163" i="1"/>
  <c r="BC163" i="1"/>
  <c r="BB163" i="1"/>
  <c r="BA163" i="1"/>
  <c r="AV163" i="1"/>
  <c r="AU163" i="1"/>
  <c r="AT163" i="1"/>
  <c r="AO163" i="1"/>
  <c r="AN163" i="1"/>
  <c r="AC163" i="1"/>
  <c r="Y163" i="1"/>
  <c r="S163" i="1"/>
  <c r="K163" i="1"/>
  <c r="J163" i="1"/>
  <c r="C163" i="1"/>
  <c r="EV162" i="1"/>
  <c r="EU162" i="1"/>
  <c r="ET162" i="1"/>
  <c r="EC162" i="1"/>
  <c r="DY162" i="1"/>
  <c r="DQ162" i="1"/>
  <c r="DK162" i="1"/>
  <c r="DH162" i="1"/>
  <c r="DD162" i="1"/>
  <c r="CW162" i="1"/>
  <c r="CP162" i="1"/>
  <c r="CL162" i="1"/>
  <c r="CG162" i="1"/>
  <c r="CB162" i="1"/>
  <c r="BW162" i="1"/>
  <c r="BV162" i="1"/>
  <c r="BQ162" i="1"/>
  <c r="BP162" i="1"/>
  <c r="BO162" i="1"/>
  <c r="BJ162" i="1"/>
  <c r="BI162" i="1"/>
  <c r="BH162" i="1"/>
  <c r="BC162" i="1"/>
  <c r="BB162" i="1"/>
  <c r="BA162" i="1"/>
  <c r="AV162" i="1"/>
  <c r="AU162" i="1"/>
  <c r="AT162" i="1"/>
  <c r="AO162" i="1"/>
  <c r="AN162" i="1"/>
  <c r="AJ162" i="1"/>
  <c r="AC162" i="1"/>
  <c r="Y162" i="1"/>
  <c r="S162" i="1"/>
  <c r="K162" i="1"/>
  <c r="J162" i="1"/>
  <c r="C162" i="1"/>
  <c r="EV161" i="1"/>
  <c r="EU161" i="1"/>
  <c r="ET161" i="1"/>
  <c r="EC161" i="1"/>
  <c r="DQ161" i="1"/>
  <c r="DK161" i="1"/>
  <c r="DH161" i="1"/>
  <c r="DD161" i="1"/>
  <c r="CW161" i="1"/>
  <c r="CP161" i="1"/>
  <c r="CL161" i="1"/>
  <c r="CG161" i="1"/>
  <c r="CB161" i="1"/>
  <c r="BW161" i="1"/>
  <c r="BV161" i="1"/>
  <c r="BQ161" i="1"/>
  <c r="BP161" i="1"/>
  <c r="BO161" i="1"/>
  <c r="BJ161" i="1"/>
  <c r="BI161" i="1"/>
  <c r="BH161" i="1"/>
  <c r="BC161" i="1"/>
  <c r="BB161" i="1"/>
  <c r="BA161" i="1"/>
  <c r="AV161" i="1"/>
  <c r="AU161" i="1"/>
  <c r="AT161" i="1"/>
  <c r="AO161" i="1"/>
  <c r="AN161" i="1"/>
  <c r="AC161" i="1"/>
  <c r="Y161" i="1"/>
  <c r="S161" i="1"/>
  <c r="K161" i="1"/>
  <c r="J161" i="1"/>
  <c r="C161" i="1"/>
  <c r="EV160" i="1"/>
  <c r="EU160" i="1"/>
  <c r="ET160" i="1"/>
  <c r="EG160" i="1"/>
  <c r="EC160" i="1"/>
  <c r="DQ160" i="1"/>
  <c r="DK160" i="1"/>
  <c r="DH160" i="1"/>
  <c r="DD160" i="1"/>
  <c r="CW160" i="1"/>
  <c r="CP160" i="1"/>
  <c r="CL160" i="1"/>
  <c r="CG160" i="1"/>
  <c r="CB160" i="1"/>
  <c r="BW160" i="1"/>
  <c r="BV160" i="1"/>
  <c r="BQ160" i="1"/>
  <c r="BP160" i="1"/>
  <c r="BO160" i="1"/>
  <c r="BJ160" i="1"/>
  <c r="BI160" i="1"/>
  <c r="BH160" i="1"/>
  <c r="BC160" i="1"/>
  <c r="BB160" i="1"/>
  <c r="BA160" i="1"/>
  <c r="AV160" i="1"/>
  <c r="AU160" i="1"/>
  <c r="AT160" i="1"/>
  <c r="AO160" i="1"/>
  <c r="AN160" i="1"/>
  <c r="AC160" i="1"/>
  <c r="AB160" i="1"/>
  <c r="Y160" i="1"/>
  <c r="S160" i="1"/>
  <c r="K160" i="1"/>
  <c r="J160" i="1"/>
  <c r="C160" i="1"/>
  <c r="EV159" i="1"/>
  <c r="EU159" i="1"/>
  <c r="ET159" i="1"/>
  <c r="EG159" i="1"/>
  <c r="EC159" i="1"/>
  <c r="DQ159" i="1"/>
  <c r="DK159" i="1"/>
  <c r="DH159" i="1"/>
  <c r="DD159" i="1"/>
  <c r="CW159" i="1"/>
  <c r="CP159" i="1"/>
  <c r="CL159" i="1"/>
  <c r="CG159" i="1"/>
  <c r="CB159" i="1"/>
  <c r="BW159" i="1"/>
  <c r="BV159" i="1"/>
  <c r="BQ159" i="1"/>
  <c r="BP159" i="1"/>
  <c r="BO159" i="1"/>
  <c r="BJ159" i="1"/>
  <c r="BI159" i="1"/>
  <c r="BH159" i="1"/>
  <c r="BC159" i="1"/>
  <c r="BB159" i="1"/>
  <c r="BA159" i="1"/>
  <c r="AV159" i="1"/>
  <c r="AU159" i="1"/>
  <c r="AT159" i="1"/>
  <c r="AO159" i="1"/>
  <c r="AN159" i="1"/>
  <c r="AC159" i="1"/>
  <c r="AB159" i="1"/>
  <c r="Y159" i="1"/>
  <c r="S159" i="1"/>
  <c r="K159" i="1"/>
  <c r="J159" i="1"/>
  <c r="C159" i="1"/>
  <c r="EV158" i="1"/>
  <c r="EU158" i="1"/>
  <c r="ET158" i="1"/>
  <c r="EC158" i="1"/>
  <c r="DY158" i="1"/>
  <c r="DQ158" i="1"/>
  <c r="DK158" i="1"/>
  <c r="DH158" i="1"/>
  <c r="DD158" i="1"/>
  <c r="CW158" i="1"/>
  <c r="CP158" i="1"/>
  <c r="CL158" i="1"/>
  <c r="CG158" i="1"/>
  <c r="CB158" i="1"/>
  <c r="BW158" i="1"/>
  <c r="BV158" i="1"/>
  <c r="BQ158" i="1"/>
  <c r="BP158" i="1"/>
  <c r="BO158" i="1"/>
  <c r="BJ158" i="1"/>
  <c r="BI158" i="1"/>
  <c r="BH158" i="1"/>
  <c r="BC158" i="1"/>
  <c r="BB158" i="1"/>
  <c r="BA158" i="1"/>
  <c r="AV158" i="1"/>
  <c r="AU158" i="1"/>
  <c r="AT158" i="1"/>
  <c r="AO158" i="1"/>
  <c r="AN158" i="1"/>
  <c r="AJ158" i="1"/>
  <c r="AC158" i="1"/>
  <c r="Y158" i="1"/>
  <c r="S158" i="1"/>
  <c r="K158" i="1"/>
  <c r="J158" i="1"/>
  <c r="C158" i="1"/>
  <c r="EV157" i="1"/>
  <c r="EU157" i="1"/>
  <c r="ET157" i="1"/>
  <c r="EC157" i="1"/>
  <c r="DQ157" i="1"/>
  <c r="DK157" i="1"/>
  <c r="DH157" i="1"/>
  <c r="DD157" i="1"/>
  <c r="CW157" i="1"/>
  <c r="CP157" i="1"/>
  <c r="CL157" i="1"/>
  <c r="CG157" i="1"/>
  <c r="CB157" i="1"/>
  <c r="BW157" i="1"/>
  <c r="BV157" i="1"/>
  <c r="BQ157" i="1"/>
  <c r="BP157" i="1"/>
  <c r="BO157" i="1"/>
  <c r="BJ157" i="1"/>
  <c r="BI157" i="1"/>
  <c r="BH157" i="1"/>
  <c r="BC157" i="1"/>
  <c r="BB157" i="1"/>
  <c r="BA157" i="1"/>
  <c r="AV157" i="1"/>
  <c r="AU157" i="1"/>
  <c r="AT157" i="1"/>
  <c r="AO157" i="1"/>
  <c r="AN157" i="1"/>
  <c r="AC157" i="1"/>
  <c r="Y157" i="1"/>
  <c r="S157" i="1"/>
  <c r="K157" i="1"/>
  <c r="J157" i="1"/>
  <c r="C157" i="1"/>
  <c r="EV156" i="1"/>
  <c r="EU156" i="1"/>
  <c r="ET156" i="1"/>
  <c r="EG156" i="1"/>
  <c r="EC156" i="1"/>
  <c r="DQ156" i="1"/>
  <c r="DK156" i="1"/>
  <c r="DH156" i="1"/>
  <c r="DD156" i="1"/>
  <c r="CW156" i="1"/>
  <c r="CP156" i="1"/>
  <c r="CL156" i="1"/>
  <c r="CG156" i="1"/>
  <c r="CB156" i="1"/>
  <c r="BW156" i="1"/>
  <c r="BV156" i="1"/>
  <c r="BQ156" i="1"/>
  <c r="BP156" i="1"/>
  <c r="BO156" i="1"/>
  <c r="BJ156" i="1"/>
  <c r="BI156" i="1"/>
  <c r="BH156" i="1"/>
  <c r="BC156" i="1"/>
  <c r="BB156" i="1"/>
  <c r="BA156" i="1"/>
  <c r="AV156" i="1"/>
  <c r="AU156" i="1"/>
  <c r="AT156" i="1"/>
  <c r="AO156" i="1"/>
  <c r="AN156" i="1"/>
  <c r="AC156" i="1"/>
  <c r="AB156" i="1"/>
  <c r="Y156" i="1"/>
  <c r="S156" i="1"/>
  <c r="K156" i="1"/>
  <c r="J156" i="1"/>
  <c r="C156" i="1"/>
  <c r="EV155" i="1"/>
  <c r="EU155" i="1"/>
  <c r="ET155" i="1"/>
  <c r="EC155" i="1"/>
  <c r="DY155" i="1"/>
  <c r="DQ155" i="1"/>
  <c r="DK155" i="1"/>
  <c r="DH155" i="1"/>
  <c r="DD155" i="1"/>
  <c r="CW155" i="1"/>
  <c r="CP155" i="1"/>
  <c r="CL155" i="1"/>
  <c r="CG155" i="1"/>
  <c r="CB155" i="1"/>
  <c r="BW155" i="1"/>
  <c r="BV155" i="1"/>
  <c r="BQ155" i="1"/>
  <c r="BP155" i="1"/>
  <c r="BO155" i="1"/>
  <c r="BJ155" i="1"/>
  <c r="BI155" i="1"/>
  <c r="BH155" i="1"/>
  <c r="BC155" i="1"/>
  <c r="BB155" i="1"/>
  <c r="BA155" i="1"/>
  <c r="AV155" i="1"/>
  <c r="AU155" i="1"/>
  <c r="AT155" i="1"/>
  <c r="AO155" i="1"/>
  <c r="AN155" i="1"/>
  <c r="AJ155" i="1"/>
  <c r="AC155" i="1"/>
  <c r="Y155" i="1"/>
  <c r="S155" i="1"/>
  <c r="K155" i="1"/>
  <c r="J155" i="1"/>
  <c r="C155" i="1"/>
  <c r="EV154" i="1"/>
  <c r="EU154" i="1"/>
  <c r="ET154" i="1"/>
  <c r="EG154" i="1"/>
  <c r="EC154" i="1"/>
  <c r="DQ154" i="1"/>
  <c r="DK154" i="1"/>
  <c r="DH154" i="1"/>
  <c r="DD154" i="1"/>
  <c r="CW154" i="1"/>
  <c r="CP154" i="1"/>
  <c r="CL154" i="1"/>
  <c r="CG154" i="1"/>
  <c r="CB154" i="1"/>
  <c r="BW154" i="1"/>
  <c r="BV154" i="1"/>
  <c r="BQ154" i="1"/>
  <c r="BP154" i="1"/>
  <c r="BO154" i="1"/>
  <c r="BJ154" i="1"/>
  <c r="BI154" i="1"/>
  <c r="BH154" i="1"/>
  <c r="BC154" i="1"/>
  <c r="BB154" i="1"/>
  <c r="BA154" i="1"/>
  <c r="AV154" i="1"/>
  <c r="AU154" i="1"/>
  <c r="AT154" i="1"/>
  <c r="AO154" i="1"/>
  <c r="AN154" i="1"/>
  <c r="AC154" i="1"/>
  <c r="AB154" i="1"/>
  <c r="Y154" i="1"/>
  <c r="S154" i="1"/>
  <c r="K154" i="1"/>
  <c r="J154" i="1"/>
  <c r="C154" i="1"/>
  <c r="EV153" i="1"/>
  <c r="EU153" i="1"/>
  <c r="ET153" i="1"/>
  <c r="EC153" i="1"/>
  <c r="DQ153" i="1"/>
  <c r="DK153" i="1"/>
  <c r="DH153" i="1"/>
  <c r="DD153" i="1"/>
  <c r="CW153" i="1"/>
  <c r="CP153" i="1"/>
  <c r="CL153" i="1"/>
  <c r="CG153" i="1"/>
  <c r="CB153" i="1"/>
  <c r="BW153" i="1"/>
  <c r="BV153" i="1"/>
  <c r="BQ153" i="1"/>
  <c r="BP153" i="1"/>
  <c r="BO153" i="1"/>
  <c r="BJ153" i="1"/>
  <c r="BI153" i="1"/>
  <c r="BH153" i="1"/>
  <c r="BC153" i="1"/>
  <c r="BB153" i="1"/>
  <c r="BA153" i="1"/>
  <c r="AV153" i="1"/>
  <c r="AU153" i="1"/>
  <c r="AT153" i="1"/>
  <c r="AO153" i="1"/>
  <c r="AN153" i="1"/>
  <c r="AC153" i="1"/>
  <c r="Y153" i="1"/>
  <c r="S153" i="1"/>
  <c r="K153" i="1"/>
  <c r="J153" i="1"/>
  <c r="C153" i="1"/>
  <c r="EV152" i="1"/>
  <c r="EU152" i="1"/>
  <c r="ET152" i="1"/>
  <c r="EG152" i="1"/>
  <c r="EC152" i="1"/>
  <c r="DQ152" i="1"/>
  <c r="DK152" i="1"/>
  <c r="DH152" i="1"/>
  <c r="DD152" i="1"/>
  <c r="CW152" i="1"/>
  <c r="CP152" i="1"/>
  <c r="CL152" i="1"/>
  <c r="CG152" i="1"/>
  <c r="CB152" i="1"/>
  <c r="BW152" i="1"/>
  <c r="BV152" i="1"/>
  <c r="BQ152" i="1"/>
  <c r="BP152" i="1"/>
  <c r="BO152" i="1"/>
  <c r="BJ152" i="1"/>
  <c r="BI152" i="1"/>
  <c r="BH152" i="1"/>
  <c r="BC152" i="1"/>
  <c r="BB152" i="1"/>
  <c r="BA152" i="1"/>
  <c r="AV152" i="1"/>
  <c r="AU152" i="1"/>
  <c r="AT152" i="1"/>
  <c r="AO152" i="1"/>
  <c r="AN152" i="1"/>
  <c r="AC152" i="1"/>
  <c r="AB152" i="1"/>
  <c r="Y152" i="1"/>
  <c r="S152" i="1"/>
  <c r="K152" i="1"/>
  <c r="J152" i="1"/>
  <c r="C152" i="1"/>
  <c r="C151" i="1"/>
  <c r="EV150" i="1"/>
  <c r="EU150" i="1"/>
  <c r="ET150" i="1"/>
  <c r="EC150" i="1"/>
  <c r="DQ150" i="1"/>
  <c r="DK150" i="1"/>
  <c r="DH150" i="1"/>
  <c r="DD150" i="1"/>
  <c r="CW150" i="1"/>
  <c r="CP150" i="1"/>
  <c r="CL150" i="1"/>
  <c r="CG150" i="1"/>
  <c r="CB150" i="1"/>
  <c r="BW150" i="1"/>
  <c r="BV150" i="1"/>
  <c r="BQ150" i="1"/>
  <c r="BP150" i="1"/>
  <c r="BO150" i="1"/>
  <c r="BJ150" i="1"/>
  <c r="BI150" i="1"/>
  <c r="BH150" i="1"/>
  <c r="BC150" i="1"/>
  <c r="BB150" i="1"/>
  <c r="BA150" i="1"/>
  <c r="AV150" i="1"/>
  <c r="AU150" i="1"/>
  <c r="AT150" i="1"/>
  <c r="AO150" i="1"/>
  <c r="AN150" i="1"/>
  <c r="AC150" i="1"/>
  <c r="Y150" i="1"/>
  <c r="S150" i="1"/>
  <c r="K150" i="1"/>
  <c r="J150" i="1"/>
  <c r="C150" i="1"/>
  <c r="EV149" i="1"/>
  <c r="EU149" i="1"/>
  <c r="ET149" i="1"/>
  <c r="EC149" i="1"/>
  <c r="DY149" i="1"/>
  <c r="DQ149" i="1"/>
  <c r="DK149" i="1"/>
  <c r="DH149" i="1"/>
  <c r="DD149" i="1"/>
  <c r="CW149" i="1"/>
  <c r="CP149" i="1"/>
  <c r="CL149" i="1"/>
  <c r="CG149" i="1"/>
  <c r="CB149" i="1"/>
  <c r="BW149" i="1"/>
  <c r="BV149" i="1"/>
  <c r="BQ149" i="1"/>
  <c r="BP149" i="1"/>
  <c r="BO149" i="1"/>
  <c r="BJ149" i="1"/>
  <c r="BI149" i="1"/>
  <c r="BH149" i="1"/>
  <c r="BC149" i="1"/>
  <c r="BB149" i="1"/>
  <c r="BA149" i="1"/>
  <c r="AV149" i="1"/>
  <c r="AU149" i="1"/>
  <c r="AT149" i="1"/>
  <c r="AO149" i="1"/>
  <c r="AN149" i="1"/>
  <c r="AJ149" i="1"/>
  <c r="AC149" i="1"/>
  <c r="Y149" i="1"/>
  <c r="S149" i="1"/>
  <c r="K149" i="1"/>
  <c r="J149" i="1"/>
  <c r="C149" i="1"/>
  <c r="EV148" i="1"/>
  <c r="EU148" i="1"/>
  <c r="ET148" i="1"/>
  <c r="EC148" i="1"/>
  <c r="DQ148" i="1"/>
  <c r="DK148" i="1"/>
  <c r="DH148" i="1"/>
  <c r="DD148" i="1"/>
  <c r="CW148" i="1"/>
  <c r="CP148" i="1"/>
  <c r="CL148" i="1"/>
  <c r="CG148" i="1"/>
  <c r="CB148" i="1"/>
  <c r="BW148" i="1"/>
  <c r="BV148" i="1"/>
  <c r="BQ148" i="1"/>
  <c r="BP148" i="1"/>
  <c r="BO148" i="1"/>
  <c r="BJ148" i="1"/>
  <c r="BI148" i="1"/>
  <c r="BH148" i="1"/>
  <c r="BC148" i="1"/>
  <c r="BB148" i="1"/>
  <c r="BA148" i="1"/>
  <c r="AV148" i="1"/>
  <c r="AU148" i="1"/>
  <c r="AT148" i="1"/>
  <c r="AO148" i="1"/>
  <c r="AN148" i="1"/>
  <c r="AC148" i="1"/>
  <c r="Y148" i="1"/>
  <c r="S148" i="1"/>
  <c r="K148" i="1"/>
  <c r="J148" i="1"/>
  <c r="C148" i="1"/>
  <c r="EV147" i="1"/>
  <c r="EU147" i="1"/>
  <c r="ET147" i="1"/>
  <c r="EC147" i="1"/>
  <c r="DQ147" i="1"/>
  <c r="DK147" i="1"/>
  <c r="DH147" i="1"/>
  <c r="DD147" i="1"/>
  <c r="CW147" i="1"/>
  <c r="CP147" i="1"/>
  <c r="CL147" i="1"/>
  <c r="CG147" i="1"/>
  <c r="CB147" i="1"/>
  <c r="BW147" i="1"/>
  <c r="BV147" i="1"/>
  <c r="BQ147" i="1"/>
  <c r="BP147" i="1"/>
  <c r="BO147" i="1"/>
  <c r="BJ147" i="1"/>
  <c r="BI147" i="1"/>
  <c r="BH147" i="1"/>
  <c r="BC147" i="1"/>
  <c r="BB147" i="1"/>
  <c r="BA147" i="1"/>
  <c r="AV147" i="1"/>
  <c r="AU147" i="1"/>
  <c r="AT147" i="1"/>
  <c r="AO147" i="1"/>
  <c r="AN147" i="1"/>
  <c r="AC147" i="1"/>
  <c r="Y147" i="1"/>
  <c r="S147" i="1"/>
  <c r="K147" i="1"/>
  <c r="J147" i="1"/>
  <c r="C147" i="1"/>
  <c r="EV146" i="1"/>
  <c r="EU146" i="1"/>
  <c r="ET146" i="1"/>
  <c r="EG146" i="1"/>
  <c r="EC146" i="1"/>
  <c r="DQ146" i="1"/>
  <c r="DK146" i="1"/>
  <c r="DH146" i="1"/>
  <c r="DD146" i="1"/>
  <c r="CW146" i="1"/>
  <c r="CP146" i="1"/>
  <c r="CL146" i="1"/>
  <c r="CG146" i="1"/>
  <c r="CB146" i="1"/>
  <c r="BW146" i="1"/>
  <c r="BV146" i="1"/>
  <c r="BQ146" i="1"/>
  <c r="BP146" i="1"/>
  <c r="BO146" i="1"/>
  <c r="BJ146" i="1"/>
  <c r="BI146" i="1"/>
  <c r="BH146" i="1"/>
  <c r="BC146" i="1"/>
  <c r="BB146" i="1"/>
  <c r="BA146" i="1"/>
  <c r="AV146" i="1"/>
  <c r="AU146" i="1"/>
  <c r="AT146" i="1"/>
  <c r="AO146" i="1"/>
  <c r="AN146" i="1"/>
  <c r="AC146" i="1"/>
  <c r="AB146" i="1"/>
  <c r="Y146" i="1"/>
  <c r="S146" i="1"/>
  <c r="K146" i="1"/>
  <c r="J146" i="1"/>
  <c r="C146" i="1"/>
  <c r="EV145" i="1"/>
  <c r="EU145" i="1"/>
  <c r="ET145" i="1"/>
  <c r="EC145" i="1"/>
  <c r="DQ145" i="1"/>
  <c r="DK145" i="1"/>
  <c r="DH145" i="1"/>
  <c r="DD145" i="1"/>
  <c r="CW145" i="1"/>
  <c r="CP145" i="1"/>
  <c r="CL145" i="1"/>
  <c r="CG145" i="1"/>
  <c r="CB145" i="1"/>
  <c r="BW145" i="1"/>
  <c r="BV145" i="1"/>
  <c r="BQ145" i="1"/>
  <c r="BP145" i="1"/>
  <c r="BO145" i="1"/>
  <c r="BJ145" i="1"/>
  <c r="BI145" i="1"/>
  <c r="BH145" i="1"/>
  <c r="BC145" i="1"/>
  <c r="BB145" i="1"/>
  <c r="BA145" i="1"/>
  <c r="AV145" i="1"/>
  <c r="AU145" i="1"/>
  <c r="AT145" i="1"/>
  <c r="AO145" i="1"/>
  <c r="AN145" i="1"/>
  <c r="AC145" i="1"/>
  <c r="Y145" i="1"/>
  <c r="S145" i="1"/>
  <c r="K145" i="1"/>
  <c r="J145" i="1"/>
  <c r="C145" i="1"/>
  <c r="EV144" i="1"/>
  <c r="EU144" i="1"/>
  <c r="ET144" i="1"/>
  <c r="EC144" i="1"/>
  <c r="DQ144" i="1"/>
  <c r="DK144" i="1"/>
  <c r="DH144" i="1"/>
  <c r="DD144" i="1"/>
  <c r="CW144" i="1"/>
  <c r="CP144" i="1"/>
  <c r="CL144" i="1"/>
  <c r="CG144" i="1"/>
  <c r="CB144" i="1"/>
  <c r="BW144" i="1"/>
  <c r="BV144" i="1"/>
  <c r="BQ144" i="1"/>
  <c r="BP144" i="1"/>
  <c r="BO144" i="1"/>
  <c r="BJ144" i="1"/>
  <c r="BI144" i="1"/>
  <c r="BH144" i="1"/>
  <c r="BC144" i="1"/>
  <c r="BB144" i="1"/>
  <c r="BA144" i="1"/>
  <c r="AV144" i="1"/>
  <c r="AU144" i="1"/>
  <c r="AT144" i="1"/>
  <c r="AO144" i="1"/>
  <c r="AN144" i="1"/>
  <c r="AC144" i="1"/>
  <c r="Y144" i="1"/>
  <c r="S144" i="1"/>
  <c r="K144" i="1"/>
  <c r="J144" i="1"/>
  <c r="C144" i="1"/>
  <c r="EV143" i="1"/>
  <c r="EU143" i="1"/>
  <c r="ET143" i="1"/>
  <c r="EG143" i="1"/>
  <c r="EC143" i="1"/>
  <c r="DQ143" i="1"/>
  <c r="DK143" i="1"/>
  <c r="DH143" i="1"/>
  <c r="DD143" i="1"/>
  <c r="CW143" i="1"/>
  <c r="CP143" i="1"/>
  <c r="CL143" i="1"/>
  <c r="CG143" i="1"/>
  <c r="CB143" i="1"/>
  <c r="BW143" i="1"/>
  <c r="BV143" i="1"/>
  <c r="BQ143" i="1"/>
  <c r="BP143" i="1"/>
  <c r="BO143" i="1"/>
  <c r="BJ143" i="1"/>
  <c r="BI143" i="1"/>
  <c r="BH143" i="1"/>
  <c r="BC143" i="1"/>
  <c r="BB143" i="1"/>
  <c r="BA143" i="1"/>
  <c r="AV143" i="1"/>
  <c r="AU143" i="1"/>
  <c r="AT143" i="1"/>
  <c r="AO143" i="1"/>
  <c r="AN143" i="1"/>
  <c r="AC143" i="1"/>
  <c r="AB143" i="1"/>
  <c r="Y143" i="1"/>
  <c r="S143" i="1"/>
  <c r="K143" i="1"/>
  <c r="J143" i="1"/>
  <c r="C143" i="1"/>
  <c r="EV142" i="1"/>
  <c r="EU142" i="1"/>
  <c r="ET142" i="1"/>
  <c r="EC142" i="1"/>
  <c r="DQ142" i="1"/>
  <c r="DK142" i="1"/>
  <c r="DH142" i="1"/>
  <c r="DD142" i="1"/>
  <c r="CW142" i="1"/>
  <c r="CP142" i="1"/>
  <c r="CL142" i="1"/>
  <c r="CG142" i="1"/>
  <c r="CB142" i="1"/>
  <c r="BW142" i="1"/>
  <c r="BV142" i="1"/>
  <c r="BQ142" i="1"/>
  <c r="BP142" i="1"/>
  <c r="BO142" i="1"/>
  <c r="BJ142" i="1"/>
  <c r="BI142" i="1"/>
  <c r="BH142" i="1"/>
  <c r="BC142" i="1"/>
  <c r="BB142" i="1"/>
  <c r="BA142" i="1"/>
  <c r="AV142" i="1"/>
  <c r="AU142" i="1"/>
  <c r="AT142" i="1"/>
  <c r="AO142" i="1"/>
  <c r="AN142" i="1"/>
  <c r="AC142" i="1"/>
  <c r="Y142" i="1"/>
  <c r="S142" i="1"/>
  <c r="K142" i="1"/>
  <c r="J142" i="1"/>
  <c r="C142" i="1"/>
  <c r="EV141" i="1"/>
  <c r="EU141" i="1"/>
  <c r="ET141" i="1"/>
  <c r="EG141" i="1"/>
  <c r="EC141" i="1"/>
  <c r="DQ141" i="1"/>
  <c r="DK141" i="1"/>
  <c r="DH141" i="1"/>
  <c r="DD141" i="1"/>
  <c r="CW141" i="1"/>
  <c r="CP141" i="1"/>
  <c r="CL141" i="1"/>
  <c r="CG141" i="1"/>
  <c r="CB141" i="1"/>
  <c r="BW141" i="1"/>
  <c r="BV141" i="1"/>
  <c r="BQ141" i="1"/>
  <c r="BP141" i="1"/>
  <c r="BO141" i="1"/>
  <c r="BJ141" i="1"/>
  <c r="BI141" i="1"/>
  <c r="BH141" i="1"/>
  <c r="BC141" i="1"/>
  <c r="BB141" i="1"/>
  <c r="BA141" i="1"/>
  <c r="AV141" i="1"/>
  <c r="AU141" i="1"/>
  <c r="AT141" i="1"/>
  <c r="AO141" i="1"/>
  <c r="AN141" i="1"/>
  <c r="AC141" i="1"/>
  <c r="AB141" i="1"/>
  <c r="Y141" i="1"/>
  <c r="S141" i="1"/>
  <c r="K141" i="1"/>
  <c r="J141" i="1"/>
  <c r="C141" i="1"/>
  <c r="EV140" i="1"/>
  <c r="EU140" i="1"/>
  <c r="ET140" i="1"/>
  <c r="EC140" i="1"/>
  <c r="DQ140" i="1"/>
  <c r="DK140" i="1"/>
  <c r="DH140" i="1"/>
  <c r="DD140" i="1"/>
  <c r="CW140" i="1"/>
  <c r="CP140" i="1"/>
  <c r="CL140" i="1"/>
  <c r="CG140" i="1"/>
  <c r="CB140" i="1"/>
  <c r="BW140" i="1"/>
  <c r="BV140" i="1"/>
  <c r="BQ140" i="1"/>
  <c r="BP140" i="1"/>
  <c r="BO140" i="1"/>
  <c r="BJ140" i="1"/>
  <c r="BI140" i="1"/>
  <c r="BH140" i="1"/>
  <c r="BC140" i="1"/>
  <c r="BB140" i="1"/>
  <c r="BA140" i="1"/>
  <c r="AV140" i="1"/>
  <c r="AU140" i="1"/>
  <c r="AT140" i="1"/>
  <c r="AO140" i="1"/>
  <c r="AN140" i="1"/>
  <c r="AC140" i="1"/>
  <c r="Y140" i="1"/>
  <c r="S140" i="1"/>
  <c r="K140" i="1"/>
  <c r="J140" i="1"/>
  <c r="C140" i="1"/>
  <c r="EV139" i="1"/>
  <c r="EU139" i="1"/>
  <c r="ET139" i="1"/>
  <c r="EC139" i="1"/>
  <c r="DQ139" i="1"/>
  <c r="DK139" i="1"/>
  <c r="DH139" i="1"/>
  <c r="DD139" i="1"/>
  <c r="CW139" i="1"/>
  <c r="CP139" i="1"/>
  <c r="CL139" i="1"/>
  <c r="CG139" i="1"/>
  <c r="CB139" i="1"/>
  <c r="BW139" i="1"/>
  <c r="BV139" i="1"/>
  <c r="BQ139" i="1"/>
  <c r="BP139" i="1"/>
  <c r="BO139" i="1"/>
  <c r="BJ139" i="1"/>
  <c r="BI139" i="1"/>
  <c r="BH139" i="1"/>
  <c r="BC139" i="1"/>
  <c r="BB139" i="1"/>
  <c r="BA139" i="1"/>
  <c r="AV139" i="1"/>
  <c r="AU139" i="1"/>
  <c r="AT139" i="1"/>
  <c r="AO139" i="1"/>
  <c r="AN139" i="1"/>
  <c r="AC139" i="1"/>
  <c r="Y139" i="1"/>
  <c r="S139" i="1"/>
  <c r="K139" i="1"/>
  <c r="J139" i="1"/>
  <c r="C139" i="1"/>
  <c r="EV138" i="1"/>
  <c r="EU138" i="1"/>
  <c r="ET138" i="1"/>
  <c r="EC138" i="1"/>
  <c r="DQ138" i="1"/>
  <c r="DK138" i="1"/>
  <c r="DH138" i="1"/>
  <c r="DD138" i="1"/>
  <c r="CW138" i="1"/>
  <c r="CP138" i="1"/>
  <c r="CL138" i="1"/>
  <c r="CG138" i="1"/>
  <c r="CB138" i="1"/>
  <c r="BW138" i="1"/>
  <c r="BV138" i="1"/>
  <c r="BQ138" i="1"/>
  <c r="BP138" i="1"/>
  <c r="BO138" i="1"/>
  <c r="BJ138" i="1"/>
  <c r="BI138" i="1"/>
  <c r="BH138" i="1"/>
  <c r="BC138" i="1"/>
  <c r="BB138" i="1"/>
  <c r="BA138" i="1"/>
  <c r="AV138" i="1"/>
  <c r="AU138" i="1"/>
  <c r="AT138" i="1"/>
  <c r="AO138" i="1"/>
  <c r="AN138" i="1"/>
  <c r="AC138" i="1"/>
  <c r="Y138" i="1"/>
  <c r="S138" i="1"/>
  <c r="K138" i="1"/>
  <c r="J138" i="1"/>
  <c r="C138" i="1"/>
  <c r="EV137" i="1"/>
  <c r="EU137" i="1"/>
  <c r="ET137" i="1"/>
  <c r="EC137" i="1"/>
  <c r="DQ137" i="1"/>
  <c r="DK137" i="1"/>
  <c r="DH137" i="1"/>
  <c r="DD137" i="1"/>
  <c r="CW137" i="1"/>
  <c r="CP137" i="1"/>
  <c r="CL137" i="1"/>
  <c r="CG137" i="1"/>
  <c r="CB137" i="1"/>
  <c r="BW137" i="1"/>
  <c r="BV137" i="1"/>
  <c r="BQ137" i="1"/>
  <c r="BP137" i="1"/>
  <c r="BO137" i="1"/>
  <c r="BJ137" i="1"/>
  <c r="BI137" i="1"/>
  <c r="BH137" i="1"/>
  <c r="BC137" i="1"/>
  <c r="BB137" i="1"/>
  <c r="BA137" i="1"/>
  <c r="AV137" i="1"/>
  <c r="AU137" i="1"/>
  <c r="AT137" i="1"/>
  <c r="AO137" i="1"/>
  <c r="AN137" i="1"/>
  <c r="AC137" i="1"/>
  <c r="Y137" i="1"/>
  <c r="S137" i="1"/>
  <c r="K137" i="1"/>
  <c r="J137" i="1"/>
  <c r="C137" i="1"/>
  <c r="EV136" i="1"/>
  <c r="EU136" i="1"/>
  <c r="ET136" i="1"/>
  <c r="EC136" i="1"/>
  <c r="DQ136" i="1"/>
  <c r="DK136" i="1"/>
  <c r="DH136" i="1"/>
  <c r="DD136" i="1"/>
  <c r="CW136" i="1"/>
  <c r="CP136" i="1"/>
  <c r="CL136" i="1"/>
  <c r="CG136" i="1"/>
  <c r="CB136" i="1"/>
  <c r="BW136" i="1"/>
  <c r="BV136" i="1"/>
  <c r="BQ136" i="1"/>
  <c r="BP136" i="1"/>
  <c r="BO136" i="1"/>
  <c r="BJ136" i="1"/>
  <c r="BI136" i="1"/>
  <c r="BH136" i="1"/>
  <c r="BC136" i="1"/>
  <c r="BB136" i="1"/>
  <c r="BA136" i="1"/>
  <c r="AV136" i="1"/>
  <c r="AU136" i="1"/>
  <c r="AT136" i="1"/>
  <c r="AO136" i="1"/>
  <c r="AN136" i="1"/>
  <c r="AC136" i="1"/>
  <c r="Y136" i="1"/>
  <c r="S136" i="1"/>
  <c r="K136" i="1"/>
  <c r="J136" i="1"/>
  <c r="C136" i="1"/>
  <c r="EV135" i="1"/>
  <c r="EU135" i="1"/>
  <c r="ET135" i="1"/>
  <c r="EG135" i="1"/>
  <c r="EC135" i="1"/>
  <c r="DQ135" i="1"/>
  <c r="DK135" i="1"/>
  <c r="DH135" i="1"/>
  <c r="DD135" i="1"/>
  <c r="CW135" i="1"/>
  <c r="CP135" i="1"/>
  <c r="CL135" i="1"/>
  <c r="CG135" i="1"/>
  <c r="CB135" i="1"/>
  <c r="BW135" i="1"/>
  <c r="BV135" i="1"/>
  <c r="BQ135" i="1"/>
  <c r="BP135" i="1"/>
  <c r="BO135" i="1"/>
  <c r="BJ135" i="1"/>
  <c r="BI135" i="1"/>
  <c r="BH135" i="1"/>
  <c r="BC135" i="1"/>
  <c r="BB135" i="1"/>
  <c r="BA135" i="1"/>
  <c r="AV135" i="1"/>
  <c r="AU135" i="1"/>
  <c r="AT135" i="1"/>
  <c r="AO135" i="1"/>
  <c r="AN135" i="1"/>
  <c r="AC135" i="1"/>
  <c r="AB135" i="1"/>
  <c r="Y135" i="1"/>
  <c r="S135" i="1"/>
  <c r="K135" i="1"/>
  <c r="J135" i="1"/>
  <c r="C135" i="1"/>
  <c r="EV134" i="1"/>
  <c r="EU134" i="1"/>
  <c r="ET134" i="1"/>
  <c r="EC134" i="1"/>
  <c r="DQ134" i="1"/>
  <c r="DK134" i="1"/>
  <c r="DH134" i="1"/>
  <c r="DD134" i="1"/>
  <c r="CW134" i="1"/>
  <c r="CP134" i="1"/>
  <c r="CL134" i="1"/>
  <c r="CG134" i="1"/>
  <c r="CB134" i="1"/>
  <c r="BW134" i="1"/>
  <c r="BV134" i="1"/>
  <c r="BQ134" i="1"/>
  <c r="BP134" i="1"/>
  <c r="BO134" i="1"/>
  <c r="BJ134" i="1"/>
  <c r="BI134" i="1"/>
  <c r="BH134" i="1"/>
  <c r="BC134" i="1"/>
  <c r="BB134" i="1"/>
  <c r="BA134" i="1"/>
  <c r="AV134" i="1"/>
  <c r="AU134" i="1"/>
  <c r="AT134" i="1"/>
  <c r="AO134" i="1"/>
  <c r="AN134" i="1"/>
  <c r="AC134" i="1"/>
  <c r="Y134" i="1"/>
  <c r="S134" i="1"/>
  <c r="K134" i="1"/>
  <c r="J134" i="1"/>
  <c r="C134" i="1"/>
  <c r="EV133" i="1"/>
  <c r="EU133" i="1"/>
  <c r="ET133" i="1"/>
  <c r="EC133" i="1"/>
  <c r="DQ133" i="1"/>
  <c r="DK133" i="1"/>
  <c r="DH133" i="1"/>
  <c r="DD133" i="1"/>
  <c r="CW133" i="1"/>
  <c r="CP133" i="1"/>
  <c r="CL133" i="1"/>
  <c r="CG133" i="1"/>
  <c r="CB133" i="1"/>
  <c r="BW133" i="1"/>
  <c r="BV133" i="1"/>
  <c r="BQ133" i="1"/>
  <c r="BP133" i="1"/>
  <c r="BO133" i="1"/>
  <c r="BJ133" i="1"/>
  <c r="BI133" i="1"/>
  <c r="BH133" i="1"/>
  <c r="BC133" i="1"/>
  <c r="BB133" i="1"/>
  <c r="BA133" i="1"/>
  <c r="AV133" i="1"/>
  <c r="AU133" i="1"/>
  <c r="AT133" i="1"/>
  <c r="AO133" i="1"/>
  <c r="AN133" i="1"/>
  <c r="AC133" i="1"/>
  <c r="Y133" i="1"/>
  <c r="S133" i="1"/>
  <c r="K133" i="1"/>
  <c r="J133" i="1"/>
  <c r="C133" i="1"/>
  <c r="EV132" i="1"/>
  <c r="EU132" i="1"/>
  <c r="ET132" i="1"/>
  <c r="EC132" i="1"/>
  <c r="DQ132" i="1"/>
  <c r="DK132" i="1"/>
  <c r="DH132" i="1"/>
  <c r="DD132" i="1"/>
  <c r="CW132" i="1"/>
  <c r="CP132" i="1"/>
  <c r="CL132" i="1"/>
  <c r="CG132" i="1"/>
  <c r="CB132" i="1"/>
  <c r="BW132" i="1"/>
  <c r="BV132" i="1"/>
  <c r="BQ132" i="1"/>
  <c r="BP132" i="1"/>
  <c r="BO132" i="1"/>
  <c r="BJ132" i="1"/>
  <c r="BI132" i="1"/>
  <c r="BH132" i="1"/>
  <c r="BC132" i="1"/>
  <c r="BB132" i="1"/>
  <c r="BA132" i="1"/>
  <c r="AV132" i="1"/>
  <c r="AU132" i="1"/>
  <c r="AT132" i="1"/>
  <c r="AO132" i="1"/>
  <c r="AN132" i="1"/>
  <c r="AC132" i="1"/>
  <c r="Y132" i="1"/>
  <c r="S132" i="1"/>
  <c r="K132" i="1"/>
  <c r="J132" i="1"/>
  <c r="C132" i="1"/>
  <c r="EV131" i="1"/>
  <c r="EU131" i="1"/>
  <c r="ET131" i="1"/>
  <c r="EG131" i="1"/>
  <c r="EC131" i="1"/>
  <c r="DQ131" i="1"/>
  <c r="DK131" i="1"/>
  <c r="DH131" i="1"/>
  <c r="DD131" i="1"/>
  <c r="CW131" i="1"/>
  <c r="CP131" i="1"/>
  <c r="CL131" i="1"/>
  <c r="CG131" i="1"/>
  <c r="CB131" i="1"/>
  <c r="BW131" i="1"/>
  <c r="BV131" i="1"/>
  <c r="BQ131" i="1"/>
  <c r="BP131" i="1"/>
  <c r="BO131" i="1"/>
  <c r="BJ131" i="1"/>
  <c r="BI131" i="1"/>
  <c r="BH131" i="1"/>
  <c r="BC131" i="1"/>
  <c r="BB131" i="1"/>
  <c r="BA131" i="1"/>
  <c r="AV131" i="1"/>
  <c r="AU131" i="1"/>
  <c r="AT131" i="1"/>
  <c r="AO131" i="1"/>
  <c r="AN131" i="1"/>
  <c r="AC131" i="1"/>
  <c r="AB131" i="1"/>
  <c r="Y131" i="1"/>
  <c r="S131" i="1"/>
  <c r="K131" i="1"/>
  <c r="J131" i="1"/>
  <c r="C131" i="1"/>
  <c r="EV130" i="1"/>
  <c r="EU130" i="1"/>
  <c r="ET130" i="1"/>
  <c r="EG130" i="1"/>
  <c r="EC130" i="1"/>
  <c r="DQ130" i="1"/>
  <c r="DK130" i="1"/>
  <c r="DH130" i="1"/>
  <c r="DD130" i="1"/>
  <c r="CW130" i="1"/>
  <c r="CP130" i="1"/>
  <c r="CL130" i="1"/>
  <c r="CG130" i="1"/>
  <c r="CB130" i="1"/>
  <c r="BW130" i="1"/>
  <c r="BV130" i="1"/>
  <c r="BQ130" i="1"/>
  <c r="BP130" i="1"/>
  <c r="BO130" i="1"/>
  <c r="BJ130" i="1"/>
  <c r="BI130" i="1"/>
  <c r="BH130" i="1"/>
  <c r="BC130" i="1"/>
  <c r="BB130" i="1"/>
  <c r="BA130" i="1"/>
  <c r="AV130" i="1"/>
  <c r="AU130" i="1"/>
  <c r="AT130" i="1"/>
  <c r="AO130" i="1"/>
  <c r="AN130" i="1"/>
  <c r="AC130" i="1"/>
  <c r="AB130" i="1"/>
  <c r="Y130" i="1"/>
  <c r="S130" i="1"/>
  <c r="K130" i="1"/>
  <c r="J130" i="1"/>
  <c r="C130" i="1"/>
  <c r="EV129" i="1"/>
  <c r="EU129" i="1"/>
  <c r="ET129" i="1"/>
  <c r="EC129" i="1"/>
  <c r="DQ129" i="1"/>
  <c r="DK129" i="1"/>
  <c r="DH129" i="1"/>
  <c r="DD129" i="1"/>
  <c r="CW129" i="1"/>
  <c r="CP129" i="1"/>
  <c r="CL129" i="1"/>
  <c r="CG129" i="1"/>
  <c r="CB129" i="1"/>
  <c r="BW129" i="1"/>
  <c r="BV129" i="1"/>
  <c r="BQ129" i="1"/>
  <c r="BP129" i="1"/>
  <c r="BO129" i="1"/>
  <c r="BJ129" i="1"/>
  <c r="BI129" i="1"/>
  <c r="BH129" i="1"/>
  <c r="BC129" i="1"/>
  <c r="BB129" i="1"/>
  <c r="BA129" i="1"/>
  <c r="AV129" i="1"/>
  <c r="AU129" i="1"/>
  <c r="AT129" i="1"/>
  <c r="AO129" i="1"/>
  <c r="AN129" i="1"/>
  <c r="AC129" i="1"/>
  <c r="Y129" i="1"/>
  <c r="S129" i="1"/>
  <c r="K129" i="1"/>
  <c r="J129" i="1"/>
  <c r="C129" i="1"/>
  <c r="EV128" i="1"/>
  <c r="EU128" i="1"/>
  <c r="ET128" i="1"/>
  <c r="EG128" i="1"/>
  <c r="EC128" i="1"/>
  <c r="DQ128" i="1"/>
  <c r="DK128" i="1"/>
  <c r="DH128" i="1"/>
  <c r="DD128" i="1"/>
  <c r="CW128" i="1"/>
  <c r="CP128" i="1"/>
  <c r="CL128" i="1"/>
  <c r="CG128" i="1"/>
  <c r="CB128" i="1"/>
  <c r="BW128" i="1"/>
  <c r="BV128" i="1"/>
  <c r="BQ128" i="1"/>
  <c r="BP128" i="1"/>
  <c r="BO128" i="1"/>
  <c r="BJ128" i="1"/>
  <c r="BI128" i="1"/>
  <c r="BH128" i="1"/>
  <c r="BC128" i="1"/>
  <c r="BB128" i="1"/>
  <c r="BA128" i="1"/>
  <c r="AV128" i="1"/>
  <c r="AU128" i="1"/>
  <c r="AT128" i="1"/>
  <c r="AO128" i="1"/>
  <c r="AN128" i="1"/>
  <c r="AC128" i="1"/>
  <c r="AB128" i="1"/>
  <c r="Y128" i="1"/>
  <c r="S128" i="1"/>
  <c r="K128" i="1"/>
  <c r="J128" i="1"/>
  <c r="C128" i="1"/>
  <c r="EV127" i="1"/>
  <c r="EU127" i="1"/>
  <c r="ET127" i="1"/>
  <c r="EG127" i="1"/>
  <c r="EC127" i="1"/>
  <c r="DQ127" i="1"/>
  <c r="DK127" i="1"/>
  <c r="DH127" i="1"/>
  <c r="DD127" i="1"/>
  <c r="CW127" i="1"/>
  <c r="CP127" i="1"/>
  <c r="CL127" i="1"/>
  <c r="CG127" i="1"/>
  <c r="CB127" i="1"/>
  <c r="BW127" i="1"/>
  <c r="BV127" i="1"/>
  <c r="BQ127" i="1"/>
  <c r="BP127" i="1"/>
  <c r="BO127" i="1"/>
  <c r="BJ127" i="1"/>
  <c r="BI127" i="1"/>
  <c r="BH127" i="1"/>
  <c r="BC127" i="1"/>
  <c r="BB127" i="1"/>
  <c r="BA127" i="1"/>
  <c r="AV127" i="1"/>
  <c r="AU127" i="1"/>
  <c r="AT127" i="1"/>
  <c r="AO127" i="1"/>
  <c r="AN127" i="1"/>
  <c r="AC127" i="1"/>
  <c r="AB127" i="1"/>
  <c r="Y127" i="1"/>
  <c r="S127" i="1"/>
  <c r="K127" i="1"/>
  <c r="J127" i="1"/>
  <c r="C127" i="1"/>
  <c r="EV126" i="1"/>
  <c r="EU126" i="1"/>
  <c r="ET126" i="1"/>
  <c r="EC126" i="1"/>
  <c r="DQ126" i="1"/>
  <c r="DK126" i="1"/>
  <c r="DH126" i="1"/>
  <c r="DD126" i="1"/>
  <c r="CW126" i="1"/>
  <c r="CP126" i="1"/>
  <c r="CL126" i="1"/>
  <c r="CG126" i="1"/>
  <c r="CB126" i="1"/>
  <c r="BW126" i="1"/>
  <c r="BV126" i="1"/>
  <c r="BQ126" i="1"/>
  <c r="BP126" i="1"/>
  <c r="BO126" i="1"/>
  <c r="BJ126" i="1"/>
  <c r="BI126" i="1"/>
  <c r="BH126" i="1"/>
  <c r="BC126" i="1"/>
  <c r="BB126" i="1"/>
  <c r="BA126" i="1"/>
  <c r="AV126" i="1"/>
  <c r="AU126" i="1"/>
  <c r="AT126" i="1"/>
  <c r="AO126" i="1"/>
  <c r="AN126" i="1"/>
  <c r="AC126" i="1"/>
  <c r="Y126" i="1"/>
  <c r="S126" i="1"/>
  <c r="K126" i="1"/>
  <c r="J126" i="1"/>
  <c r="C126" i="1"/>
  <c r="EV125" i="1"/>
  <c r="EU125" i="1"/>
  <c r="ET125" i="1"/>
  <c r="EG125" i="1"/>
  <c r="EC125" i="1"/>
  <c r="DQ125" i="1"/>
  <c r="DK125" i="1"/>
  <c r="DH125" i="1"/>
  <c r="DD125" i="1"/>
  <c r="CW125" i="1"/>
  <c r="CP125" i="1"/>
  <c r="CL125" i="1"/>
  <c r="CG125" i="1"/>
  <c r="CB125" i="1"/>
  <c r="BW125" i="1"/>
  <c r="BV125" i="1"/>
  <c r="BQ125" i="1"/>
  <c r="BP125" i="1"/>
  <c r="BO125" i="1"/>
  <c r="BJ125" i="1"/>
  <c r="BI125" i="1"/>
  <c r="BH125" i="1"/>
  <c r="BC125" i="1"/>
  <c r="BB125" i="1"/>
  <c r="BA125" i="1"/>
  <c r="AV125" i="1"/>
  <c r="AU125" i="1"/>
  <c r="AT125" i="1"/>
  <c r="AO125" i="1"/>
  <c r="AN125" i="1"/>
  <c r="AC125" i="1"/>
  <c r="AB125" i="1"/>
  <c r="Y125" i="1"/>
  <c r="S125" i="1"/>
  <c r="K125" i="1"/>
  <c r="J125" i="1"/>
  <c r="C125" i="1"/>
  <c r="EV124" i="1"/>
  <c r="EU124" i="1"/>
  <c r="ET124" i="1"/>
  <c r="EG124" i="1"/>
  <c r="EC124" i="1"/>
  <c r="DQ124" i="1"/>
  <c r="DK124" i="1"/>
  <c r="DH124" i="1"/>
  <c r="DD124" i="1"/>
  <c r="CW124" i="1"/>
  <c r="CP124" i="1"/>
  <c r="CL124" i="1"/>
  <c r="CG124" i="1"/>
  <c r="CB124" i="1"/>
  <c r="BW124" i="1"/>
  <c r="BV124" i="1"/>
  <c r="BQ124" i="1"/>
  <c r="BP124" i="1"/>
  <c r="BO124" i="1"/>
  <c r="BJ124" i="1"/>
  <c r="BI124" i="1"/>
  <c r="BH124" i="1"/>
  <c r="BC124" i="1"/>
  <c r="BB124" i="1"/>
  <c r="BA124" i="1"/>
  <c r="AV124" i="1"/>
  <c r="AU124" i="1"/>
  <c r="AT124" i="1"/>
  <c r="AO124" i="1"/>
  <c r="AN124" i="1"/>
  <c r="AC124" i="1"/>
  <c r="AB124" i="1"/>
  <c r="Y124" i="1"/>
  <c r="S124" i="1"/>
  <c r="K124" i="1"/>
  <c r="J124" i="1"/>
  <c r="C124" i="1"/>
  <c r="EV123" i="1"/>
  <c r="EU123" i="1"/>
  <c r="ET123" i="1"/>
  <c r="EC123" i="1"/>
  <c r="DQ123" i="1"/>
  <c r="DK123" i="1"/>
  <c r="DH123" i="1"/>
  <c r="DD123" i="1"/>
  <c r="CW123" i="1"/>
  <c r="CP123" i="1"/>
  <c r="CL123" i="1"/>
  <c r="CG123" i="1"/>
  <c r="CB123" i="1"/>
  <c r="BW123" i="1"/>
  <c r="BV123" i="1"/>
  <c r="BQ123" i="1"/>
  <c r="BP123" i="1"/>
  <c r="BO123" i="1"/>
  <c r="BJ123" i="1"/>
  <c r="BI123" i="1"/>
  <c r="BH123" i="1"/>
  <c r="BC123" i="1"/>
  <c r="BB123" i="1"/>
  <c r="BA123" i="1"/>
  <c r="AV123" i="1"/>
  <c r="AU123" i="1"/>
  <c r="AT123" i="1"/>
  <c r="AO123" i="1"/>
  <c r="AN123" i="1"/>
  <c r="AC123" i="1"/>
  <c r="Y123" i="1"/>
  <c r="S123" i="1"/>
  <c r="K123" i="1"/>
  <c r="J123" i="1"/>
  <c r="C123" i="1"/>
  <c r="EV122" i="1"/>
  <c r="EU122" i="1"/>
  <c r="ET122" i="1"/>
  <c r="EC122" i="1"/>
  <c r="DQ122" i="1"/>
  <c r="DK122" i="1"/>
  <c r="DH122" i="1"/>
  <c r="DD122" i="1"/>
  <c r="CW122" i="1"/>
  <c r="CP122" i="1"/>
  <c r="CL122" i="1"/>
  <c r="CG122" i="1"/>
  <c r="CB122" i="1"/>
  <c r="BW122" i="1"/>
  <c r="BV122" i="1"/>
  <c r="BQ122" i="1"/>
  <c r="BP122" i="1"/>
  <c r="BO122" i="1"/>
  <c r="BJ122" i="1"/>
  <c r="BI122" i="1"/>
  <c r="BH122" i="1"/>
  <c r="BC122" i="1"/>
  <c r="BB122" i="1"/>
  <c r="BA122" i="1"/>
  <c r="AV122" i="1"/>
  <c r="AU122" i="1"/>
  <c r="AT122" i="1"/>
  <c r="AO122" i="1"/>
  <c r="AN122" i="1"/>
  <c r="AC122" i="1"/>
  <c r="Y122" i="1"/>
  <c r="S122" i="1"/>
  <c r="K122" i="1"/>
  <c r="J122" i="1"/>
  <c r="C122" i="1"/>
  <c r="EV121" i="1"/>
  <c r="EU121" i="1"/>
  <c r="ET121" i="1"/>
  <c r="EC121" i="1"/>
  <c r="DQ121" i="1"/>
  <c r="DK121" i="1"/>
  <c r="DH121" i="1"/>
  <c r="DD121" i="1"/>
  <c r="CW121" i="1"/>
  <c r="CP121" i="1"/>
  <c r="CL121" i="1"/>
  <c r="CG121" i="1"/>
  <c r="CB121" i="1"/>
  <c r="BW121" i="1"/>
  <c r="BV121" i="1"/>
  <c r="BQ121" i="1"/>
  <c r="BP121" i="1"/>
  <c r="BO121" i="1"/>
  <c r="BJ121" i="1"/>
  <c r="BI121" i="1"/>
  <c r="BH121" i="1"/>
  <c r="BC121" i="1"/>
  <c r="BB121" i="1"/>
  <c r="BA121" i="1"/>
  <c r="AV121" i="1"/>
  <c r="AU121" i="1"/>
  <c r="AT121" i="1"/>
  <c r="AO121" i="1"/>
  <c r="AN121" i="1"/>
  <c r="AC121" i="1"/>
  <c r="Y121" i="1"/>
  <c r="S121" i="1"/>
  <c r="K121" i="1"/>
  <c r="J121" i="1"/>
  <c r="C121" i="1"/>
  <c r="EV120" i="1"/>
  <c r="EU120" i="1"/>
  <c r="ET120" i="1"/>
  <c r="EG120" i="1"/>
  <c r="EC120" i="1"/>
  <c r="DQ120" i="1"/>
  <c r="DK120" i="1"/>
  <c r="DH120" i="1"/>
  <c r="DD120" i="1"/>
  <c r="CW120" i="1"/>
  <c r="CP120" i="1"/>
  <c r="CL120" i="1"/>
  <c r="CG120" i="1"/>
  <c r="CB120" i="1"/>
  <c r="BW120" i="1"/>
  <c r="BV120" i="1"/>
  <c r="BQ120" i="1"/>
  <c r="BP120" i="1"/>
  <c r="BO120" i="1"/>
  <c r="BJ120" i="1"/>
  <c r="BI120" i="1"/>
  <c r="BH120" i="1"/>
  <c r="BC120" i="1"/>
  <c r="BB120" i="1"/>
  <c r="BA120" i="1"/>
  <c r="AV120" i="1"/>
  <c r="AU120" i="1"/>
  <c r="AT120" i="1"/>
  <c r="AO120" i="1"/>
  <c r="AN120" i="1"/>
  <c r="AC120" i="1"/>
  <c r="AB120" i="1"/>
  <c r="Y120" i="1"/>
  <c r="S120" i="1"/>
  <c r="K120" i="1"/>
  <c r="J120" i="1"/>
  <c r="C120" i="1"/>
  <c r="EV119" i="1"/>
  <c r="EU119" i="1"/>
  <c r="ET119" i="1"/>
  <c r="EC119" i="1"/>
  <c r="DQ119" i="1"/>
  <c r="DK119" i="1"/>
  <c r="DH119" i="1"/>
  <c r="DD119" i="1"/>
  <c r="CW119" i="1"/>
  <c r="CP119" i="1"/>
  <c r="CL119" i="1"/>
  <c r="CG119" i="1"/>
  <c r="CB119" i="1"/>
  <c r="BW119" i="1"/>
  <c r="BV119" i="1"/>
  <c r="BQ119" i="1"/>
  <c r="BP119" i="1"/>
  <c r="BO119" i="1"/>
  <c r="BJ119" i="1"/>
  <c r="BI119" i="1"/>
  <c r="BH119" i="1"/>
  <c r="BC119" i="1"/>
  <c r="BB119" i="1"/>
  <c r="BA119" i="1"/>
  <c r="AV119" i="1"/>
  <c r="AU119" i="1"/>
  <c r="AT119" i="1"/>
  <c r="AO119" i="1"/>
  <c r="AN119" i="1"/>
  <c r="AC119" i="1"/>
  <c r="K119" i="1"/>
  <c r="J119" i="1"/>
  <c r="C119" i="1"/>
  <c r="EV118" i="1"/>
  <c r="EU118" i="1"/>
  <c r="ET118" i="1"/>
  <c r="EG118" i="1"/>
  <c r="EC118" i="1"/>
  <c r="DQ118" i="1"/>
  <c r="DK118" i="1"/>
  <c r="DH118" i="1"/>
  <c r="DD118" i="1"/>
  <c r="CW118" i="1"/>
  <c r="CP118" i="1"/>
  <c r="CL118" i="1"/>
  <c r="CG118" i="1"/>
  <c r="CB118" i="1"/>
  <c r="BW118" i="1"/>
  <c r="BV118" i="1"/>
  <c r="BQ118" i="1"/>
  <c r="BP118" i="1"/>
  <c r="BO118" i="1"/>
  <c r="BJ118" i="1"/>
  <c r="BI118" i="1"/>
  <c r="BH118" i="1"/>
  <c r="BC118" i="1"/>
  <c r="BB118" i="1"/>
  <c r="BA118" i="1"/>
  <c r="AV118" i="1"/>
  <c r="AU118" i="1"/>
  <c r="AT118" i="1"/>
  <c r="AO118" i="1"/>
  <c r="AN118" i="1"/>
  <c r="AC118" i="1"/>
  <c r="AB118" i="1"/>
  <c r="Y118" i="1"/>
  <c r="S118" i="1"/>
  <c r="K118" i="1"/>
  <c r="J118" i="1"/>
  <c r="C118" i="1"/>
  <c r="EV117" i="1"/>
  <c r="EU117" i="1"/>
  <c r="ET117" i="1"/>
  <c r="EG117" i="1"/>
  <c r="EC117" i="1"/>
  <c r="DQ117" i="1"/>
  <c r="DK117" i="1"/>
  <c r="DH117" i="1"/>
  <c r="DD117" i="1"/>
  <c r="CW117" i="1"/>
  <c r="CP117" i="1"/>
  <c r="CL117" i="1"/>
  <c r="CG117" i="1"/>
  <c r="CB117" i="1"/>
  <c r="BW117" i="1"/>
  <c r="BV117" i="1"/>
  <c r="BQ117" i="1"/>
  <c r="BP117" i="1"/>
  <c r="BO117" i="1"/>
  <c r="BJ117" i="1"/>
  <c r="BI117" i="1"/>
  <c r="BH117" i="1"/>
  <c r="BC117" i="1"/>
  <c r="BB117" i="1"/>
  <c r="BA117" i="1"/>
  <c r="AV117" i="1"/>
  <c r="AU117" i="1"/>
  <c r="AT117" i="1"/>
  <c r="AO117" i="1"/>
  <c r="AN117" i="1"/>
  <c r="AC117" i="1"/>
  <c r="AB117" i="1"/>
  <c r="Y117" i="1"/>
  <c r="S117" i="1"/>
  <c r="K117" i="1"/>
  <c r="J117" i="1"/>
  <c r="C117" i="1"/>
  <c r="EV116" i="1"/>
  <c r="EU116" i="1"/>
  <c r="ET116" i="1"/>
  <c r="EC116" i="1"/>
  <c r="DQ116" i="1"/>
  <c r="DK116" i="1"/>
  <c r="DH116" i="1"/>
  <c r="DD116" i="1"/>
  <c r="CW116" i="1"/>
  <c r="CP116" i="1"/>
  <c r="CL116" i="1"/>
  <c r="CG116" i="1"/>
  <c r="CB116" i="1"/>
  <c r="BW116" i="1"/>
  <c r="BV116" i="1"/>
  <c r="BQ116" i="1"/>
  <c r="BP116" i="1"/>
  <c r="BO116" i="1"/>
  <c r="BJ116" i="1"/>
  <c r="BI116" i="1"/>
  <c r="BH116" i="1"/>
  <c r="BC116" i="1"/>
  <c r="BB116" i="1"/>
  <c r="BA116" i="1"/>
  <c r="AV116" i="1"/>
  <c r="AU116" i="1"/>
  <c r="AT116" i="1"/>
  <c r="AO116" i="1"/>
  <c r="AN116" i="1"/>
  <c r="AC116" i="1"/>
  <c r="Y116" i="1"/>
  <c r="S116" i="1"/>
  <c r="K116" i="1"/>
  <c r="J116" i="1"/>
  <c r="C116" i="1"/>
  <c r="EV115" i="1"/>
  <c r="EU115" i="1"/>
  <c r="ET115" i="1"/>
  <c r="EC115" i="1"/>
  <c r="DQ115" i="1"/>
  <c r="DK115" i="1"/>
  <c r="DH115" i="1"/>
  <c r="DD115" i="1"/>
  <c r="CW115" i="1"/>
  <c r="CP115" i="1"/>
  <c r="CL115" i="1"/>
  <c r="CG115" i="1"/>
  <c r="CB115" i="1"/>
  <c r="BW115" i="1"/>
  <c r="BV115" i="1"/>
  <c r="BQ115" i="1"/>
  <c r="BP115" i="1"/>
  <c r="BO115" i="1"/>
  <c r="BJ115" i="1"/>
  <c r="BI115" i="1"/>
  <c r="BH115" i="1"/>
  <c r="BC115" i="1"/>
  <c r="BB115" i="1"/>
  <c r="BA115" i="1"/>
  <c r="AV115" i="1"/>
  <c r="AU115" i="1"/>
  <c r="AT115" i="1"/>
  <c r="AO115" i="1"/>
  <c r="AN115" i="1"/>
  <c r="AC115" i="1"/>
  <c r="Y115" i="1"/>
  <c r="S115" i="1"/>
  <c r="K115" i="1"/>
  <c r="J115" i="1"/>
  <c r="C115" i="1"/>
  <c r="EV114" i="1"/>
  <c r="EU114" i="1"/>
  <c r="ET114" i="1"/>
  <c r="EC114" i="1"/>
  <c r="DQ114" i="1"/>
  <c r="DK114" i="1"/>
  <c r="DH114" i="1"/>
  <c r="DD114" i="1"/>
  <c r="CW114" i="1"/>
  <c r="CP114" i="1"/>
  <c r="CL114" i="1"/>
  <c r="CG114" i="1"/>
  <c r="CB114" i="1"/>
  <c r="BW114" i="1"/>
  <c r="BV114" i="1"/>
  <c r="BQ114" i="1"/>
  <c r="BP114" i="1"/>
  <c r="BO114" i="1"/>
  <c r="BJ114" i="1"/>
  <c r="BI114" i="1"/>
  <c r="BH114" i="1"/>
  <c r="BC114" i="1"/>
  <c r="BB114" i="1"/>
  <c r="BA114" i="1"/>
  <c r="AV114" i="1"/>
  <c r="AU114" i="1"/>
  <c r="AT114" i="1"/>
  <c r="AO114" i="1"/>
  <c r="AN114" i="1"/>
  <c r="AC114" i="1"/>
  <c r="Y114" i="1"/>
  <c r="S114" i="1"/>
  <c r="K114" i="1"/>
  <c r="J114" i="1"/>
  <c r="C114" i="1"/>
  <c r="EV113" i="1"/>
  <c r="EU113" i="1"/>
  <c r="ET113" i="1"/>
  <c r="EG113" i="1"/>
  <c r="EC113" i="1"/>
  <c r="DQ113" i="1"/>
  <c r="DK113" i="1"/>
  <c r="DH113" i="1"/>
  <c r="DD113" i="1"/>
  <c r="CW113" i="1"/>
  <c r="CP113" i="1"/>
  <c r="CL113" i="1"/>
  <c r="CG113" i="1"/>
  <c r="CB113" i="1"/>
  <c r="BW113" i="1"/>
  <c r="BV113" i="1"/>
  <c r="BQ113" i="1"/>
  <c r="BP113" i="1"/>
  <c r="BO113" i="1"/>
  <c r="BJ113" i="1"/>
  <c r="BI113" i="1"/>
  <c r="BH113" i="1"/>
  <c r="BC113" i="1"/>
  <c r="BB113" i="1"/>
  <c r="BA113" i="1"/>
  <c r="AV113" i="1"/>
  <c r="AU113" i="1"/>
  <c r="AT113" i="1"/>
  <c r="AO113" i="1"/>
  <c r="AN113" i="1"/>
  <c r="AC113" i="1"/>
  <c r="AB113" i="1"/>
  <c r="K113" i="1"/>
  <c r="J113" i="1"/>
  <c r="C113" i="1"/>
  <c r="EV112" i="1"/>
  <c r="EU112" i="1"/>
  <c r="ET112" i="1"/>
  <c r="EG112" i="1"/>
  <c r="EC112" i="1"/>
  <c r="DQ112" i="1"/>
  <c r="DK112" i="1"/>
  <c r="DH112" i="1"/>
  <c r="DD112" i="1"/>
  <c r="CW112" i="1"/>
  <c r="CP112" i="1"/>
  <c r="CL112" i="1"/>
  <c r="CG112" i="1"/>
  <c r="CB112" i="1"/>
  <c r="BW112" i="1"/>
  <c r="BV112" i="1"/>
  <c r="BQ112" i="1"/>
  <c r="BP112" i="1"/>
  <c r="BO112" i="1"/>
  <c r="BJ112" i="1"/>
  <c r="BI112" i="1"/>
  <c r="BH112" i="1"/>
  <c r="BC112" i="1"/>
  <c r="BB112" i="1"/>
  <c r="BA112" i="1"/>
  <c r="AV112" i="1"/>
  <c r="AU112" i="1"/>
  <c r="AT112" i="1"/>
  <c r="AO112" i="1"/>
  <c r="AN112" i="1"/>
  <c r="AC112" i="1"/>
  <c r="AB112" i="1"/>
  <c r="Y112" i="1"/>
  <c r="S112" i="1"/>
  <c r="K112" i="1"/>
  <c r="J112" i="1"/>
  <c r="C112" i="1"/>
  <c r="EV111" i="1"/>
  <c r="EU111" i="1"/>
  <c r="ET111" i="1"/>
  <c r="EC111" i="1"/>
  <c r="DQ111" i="1"/>
  <c r="DK111" i="1"/>
  <c r="DH111" i="1"/>
  <c r="DD111" i="1"/>
  <c r="CW111" i="1"/>
  <c r="CP111" i="1"/>
  <c r="CL111" i="1"/>
  <c r="CG111" i="1"/>
  <c r="CB111" i="1"/>
  <c r="BW111" i="1"/>
  <c r="BV111" i="1"/>
  <c r="BQ111" i="1"/>
  <c r="BP111" i="1"/>
  <c r="BO111" i="1"/>
  <c r="BJ111" i="1"/>
  <c r="BI111" i="1"/>
  <c r="BH111" i="1"/>
  <c r="BC111" i="1"/>
  <c r="BB111" i="1"/>
  <c r="BA111" i="1"/>
  <c r="AV111" i="1"/>
  <c r="AU111" i="1"/>
  <c r="AT111" i="1"/>
  <c r="AO111" i="1"/>
  <c r="AN111" i="1"/>
  <c r="AC111" i="1"/>
  <c r="Y111" i="1"/>
  <c r="S111" i="1"/>
  <c r="K111" i="1"/>
  <c r="J111" i="1"/>
  <c r="C111" i="1"/>
  <c r="EV110" i="1"/>
  <c r="EU110" i="1"/>
  <c r="ET110" i="1"/>
  <c r="EC110" i="1"/>
  <c r="DQ110" i="1"/>
  <c r="DK110" i="1"/>
  <c r="DH110" i="1"/>
  <c r="DD110" i="1"/>
  <c r="CW110" i="1"/>
  <c r="CP110" i="1"/>
  <c r="CL110" i="1"/>
  <c r="CG110" i="1"/>
  <c r="CB110" i="1"/>
  <c r="BW110" i="1"/>
  <c r="BV110" i="1"/>
  <c r="BQ110" i="1"/>
  <c r="BP110" i="1"/>
  <c r="BO110" i="1"/>
  <c r="BJ110" i="1"/>
  <c r="BI110" i="1"/>
  <c r="BH110" i="1"/>
  <c r="BC110" i="1"/>
  <c r="BB110" i="1"/>
  <c r="BA110" i="1"/>
  <c r="AV110" i="1"/>
  <c r="AU110" i="1"/>
  <c r="AT110" i="1"/>
  <c r="AO110" i="1"/>
  <c r="AN110" i="1"/>
  <c r="AC110" i="1"/>
  <c r="Y110" i="1"/>
  <c r="S110" i="1"/>
  <c r="K110" i="1"/>
  <c r="J110" i="1"/>
  <c r="C110" i="1"/>
  <c r="EV109" i="1"/>
  <c r="EU109" i="1"/>
  <c r="ET109" i="1"/>
  <c r="EC109" i="1"/>
  <c r="DQ109" i="1"/>
  <c r="DK109" i="1"/>
  <c r="DH109" i="1"/>
  <c r="DD109" i="1"/>
  <c r="CW109" i="1"/>
  <c r="CP109" i="1"/>
  <c r="CL109" i="1"/>
  <c r="CG109" i="1"/>
  <c r="CB109" i="1"/>
  <c r="BW109" i="1"/>
  <c r="BV109" i="1"/>
  <c r="BQ109" i="1"/>
  <c r="BP109" i="1"/>
  <c r="BO109" i="1"/>
  <c r="BJ109" i="1"/>
  <c r="BI109" i="1"/>
  <c r="BH109" i="1"/>
  <c r="BC109" i="1"/>
  <c r="BB109" i="1"/>
  <c r="BA109" i="1"/>
  <c r="AV109" i="1"/>
  <c r="AU109" i="1"/>
  <c r="AT109" i="1"/>
  <c r="AO109" i="1"/>
  <c r="AN109" i="1"/>
  <c r="AC109" i="1"/>
  <c r="Y109" i="1"/>
  <c r="S109" i="1"/>
  <c r="K109" i="1"/>
  <c r="J109" i="1"/>
  <c r="C109" i="1"/>
  <c r="C108" i="1"/>
  <c r="EV107" i="1"/>
  <c r="EU107" i="1"/>
  <c r="ET107" i="1"/>
  <c r="EG107" i="1"/>
  <c r="EC107" i="1"/>
  <c r="DQ107" i="1"/>
  <c r="DK107" i="1"/>
  <c r="DH107" i="1"/>
  <c r="DD107" i="1"/>
  <c r="CW107" i="1"/>
  <c r="CP107" i="1"/>
  <c r="CL107" i="1"/>
  <c r="CG107" i="1"/>
  <c r="CB107" i="1"/>
  <c r="BW107" i="1"/>
  <c r="BV107" i="1"/>
  <c r="BQ107" i="1"/>
  <c r="BP107" i="1"/>
  <c r="BO107" i="1"/>
  <c r="BJ107" i="1"/>
  <c r="BI107" i="1"/>
  <c r="BH107" i="1"/>
  <c r="BC107" i="1"/>
  <c r="BB107" i="1"/>
  <c r="BA107" i="1"/>
  <c r="AV107" i="1"/>
  <c r="AU107" i="1"/>
  <c r="AT107" i="1"/>
  <c r="AO107" i="1"/>
  <c r="AN107" i="1"/>
  <c r="AC107" i="1"/>
  <c r="AB107" i="1"/>
  <c r="Y107" i="1"/>
  <c r="S107" i="1"/>
  <c r="K107" i="1"/>
  <c r="J107" i="1"/>
  <c r="C107" i="1"/>
  <c r="EV106" i="1"/>
  <c r="EU106" i="1"/>
  <c r="ET106" i="1"/>
  <c r="EG106" i="1"/>
  <c r="EC106" i="1"/>
  <c r="DQ106" i="1"/>
  <c r="DK106" i="1"/>
  <c r="DH106" i="1"/>
  <c r="DD106" i="1"/>
  <c r="CW106" i="1"/>
  <c r="CP106" i="1"/>
  <c r="CL106" i="1"/>
  <c r="CG106" i="1"/>
  <c r="CB106" i="1"/>
  <c r="BW106" i="1"/>
  <c r="BV106" i="1"/>
  <c r="BQ106" i="1"/>
  <c r="BP106" i="1"/>
  <c r="BO106" i="1"/>
  <c r="BJ106" i="1"/>
  <c r="BI106" i="1"/>
  <c r="BH106" i="1"/>
  <c r="BC106" i="1"/>
  <c r="BB106" i="1"/>
  <c r="BA106" i="1"/>
  <c r="AV106" i="1"/>
  <c r="AU106" i="1"/>
  <c r="AT106" i="1"/>
  <c r="AO106" i="1"/>
  <c r="AN106" i="1"/>
  <c r="AC106" i="1"/>
  <c r="AB106" i="1"/>
  <c r="Y106" i="1"/>
  <c r="S106" i="1"/>
  <c r="K106" i="1"/>
  <c r="J106" i="1"/>
  <c r="C106" i="1"/>
  <c r="EV105" i="1"/>
  <c r="EU105" i="1"/>
  <c r="ET105" i="1"/>
  <c r="EC105" i="1"/>
  <c r="DQ105" i="1"/>
  <c r="DK105" i="1"/>
  <c r="DH105" i="1"/>
  <c r="DD105" i="1"/>
  <c r="CW105" i="1"/>
  <c r="CP105" i="1"/>
  <c r="CL105" i="1"/>
  <c r="CG105" i="1"/>
  <c r="CB105" i="1"/>
  <c r="BW105" i="1"/>
  <c r="BV105" i="1"/>
  <c r="BQ105" i="1"/>
  <c r="BP105" i="1"/>
  <c r="BO105" i="1"/>
  <c r="BJ105" i="1"/>
  <c r="BI105" i="1"/>
  <c r="BH105" i="1"/>
  <c r="BC105" i="1"/>
  <c r="BB105" i="1"/>
  <c r="BA105" i="1"/>
  <c r="AV105" i="1"/>
  <c r="AU105" i="1"/>
  <c r="AT105" i="1"/>
  <c r="AO105" i="1"/>
  <c r="AN105" i="1"/>
  <c r="AC105" i="1"/>
  <c r="Y105" i="1"/>
  <c r="S105" i="1"/>
  <c r="K105" i="1"/>
  <c r="J105" i="1"/>
  <c r="C105" i="1"/>
  <c r="EV104" i="1"/>
  <c r="EU104" i="1"/>
  <c r="ET104" i="1"/>
  <c r="EC104" i="1"/>
  <c r="DQ104" i="1"/>
  <c r="DK104" i="1"/>
  <c r="DH104" i="1"/>
  <c r="DD104" i="1"/>
  <c r="CW104" i="1"/>
  <c r="CP104" i="1"/>
  <c r="CL104" i="1"/>
  <c r="CG104" i="1"/>
  <c r="CB104" i="1"/>
  <c r="BW104" i="1"/>
  <c r="BV104" i="1"/>
  <c r="BQ104" i="1"/>
  <c r="BP104" i="1"/>
  <c r="BO104" i="1"/>
  <c r="BJ104" i="1"/>
  <c r="BI104" i="1"/>
  <c r="BH104" i="1"/>
  <c r="BC104" i="1"/>
  <c r="BB104" i="1"/>
  <c r="BA104" i="1"/>
  <c r="AV104" i="1"/>
  <c r="AU104" i="1"/>
  <c r="AT104" i="1"/>
  <c r="AO104" i="1"/>
  <c r="AN104" i="1"/>
  <c r="AC104" i="1"/>
  <c r="Y104" i="1"/>
  <c r="S104" i="1"/>
  <c r="K104" i="1"/>
  <c r="J104" i="1"/>
  <c r="C104" i="1"/>
  <c r="EV103" i="1"/>
  <c r="EU103" i="1"/>
  <c r="ET103" i="1"/>
  <c r="EG103" i="1"/>
  <c r="EC103" i="1"/>
  <c r="DQ103" i="1"/>
  <c r="DK103" i="1"/>
  <c r="DH103" i="1"/>
  <c r="DD103" i="1"/>
  <c r="CW103" i="1"/>
  <c r="CP103" i="1"/>
  <c r="CL103" i="1"/>
  <c r="CG103" i="1"/>
  <c r="CB103" i="1"/>
  <c r="BW103" i="1"/>
  <c r="BV103" i="1"/>
  <c r="BQ103" i="1"/>
  <c r="BP103" i="1"/>
  <c r="BO103" i="1"/>
  <c r="BJ103" i="1"/>
  <c r="BI103" i="1"/>
  <c r="BH103" i="1"/>
  <c r="BC103" i="1"/>
  <c r="BB103" i="1"/>
  <c r="BA103" i="1"/>
  <c r="AV103" i="1"/>
  <c r="AU103" i="1"/>
  <c r="AT103" i="1"/>
  <c r="AO103" i="1"/>
  <c r="AN103" i="1"/>
  <c r="AC103" i="1"/>
  <c r="AB103" i="1"/>
  <c r="Y103" i="1"/>
  <c r="S103" i="1"/>
  <c r="K103" i="1"/>
  <c r="J103" i="1"/>
  <c r="C103" i="1"/>
  <c r="EV102" i="1"/>
  <c r="EU102" i="1"/>
  <c r="ET102" i="1"/>
  <c r="EC102" i="1"/>
  <c r="DQ102" i="1"/>
  <c r="DK102" i="1"/>
  <c r="DH102" i="1"/>
  <c r="DD102" i="1"/>
  <c r="CW102" i="1"/>
  <c r="CP102" i="1"/>
  <c r="CL102" i="1"/>
  <c r="CG102" i="1"/>
  <c r="CB102" i="1"/>
  <c r="BW102" i="1"/>
  <c r="BV102" i="1"/>
  <c r="BQ102" i="1"/>
  <c r="BP102" i="1"/>
  <c r="BO102" i="1"/>
  <c r="BJ102" i="1"/>
  <c r="BI102" i="1"/>
  <c r="BH102" i="1"/>
  <c r="BC102" i="1"/>
  <c r="BB102" i="1"/>
  <c r="BA102" i="1"/>
  <c r="AV102" i="1"/>
  <c r="AU102" i="1"/>
  <c r="AT102" i="1"/>
  <c r="AO102" i="1"/>
  <c r="AN102" i="1"/>
  <c r="AC102" i="1"/>
  <c r="Y102" i="1"/>
  <c r="S102" i="1"/>
  <c r="K102" i="1"/>
  <c r="J102" i="1"/>
  <c r="C102" i="1"/>
  <c r="EV101" i="1"/>
  <c r="EU101" i="1"/>
  <c r="ET101" i="1"/>
  <c r="EG101" i="1"/>
  <c r="EC101" i="1"/>
  <c r="DQ101" i="1"/>
  <c r="DK101" i="1"/>
  <c r="DH101" i="1"/>
  <c r="DD101" i="1"/>
  <c r="CW101" i="1"/>
  <c r="CP101" i="1"/>
  <c r="CL101" i="1"/>
  <c r="CG101" i="1"/>
  <c r="CB101" i="1"/>
  <c r="BW101" i="1"/>
  <c r="BV101" i="1"/>
  <c r="BQ101" i="1"/>
  <c r="BP101" i="1"/>
  <c r="BO101" i="1"/>
  <c r="BJ101" i="1"/>
  <c r="BI101" i="1"/>
  <c r="BH101" i="1"/>
  <c r="BC101" i="1"/>
  <c r="BB101" i="1"/>
  <c r="BA101" i="1"/>
  <c r="AV101" i="1"/>
  <c r="AU101" i="1"/>
  <c r="AT101" i="1"/>
  <c r="AO101" i="1"/>
  <c r="AN101" i="1"/>
  <c r="AC101" i="1"/>
  <c r="AB101" i="1"/>
  <c r="Y101" i="1"/>
  <c r="S101" i="1"/>
  <c r="K101" i="1"/>
  <c r="J101" i="1"/>
  <c r="C101" i="1"/>
  <c r="EV100" i="1"/>
  <c r="EU100" i="1"/>
  <c r="ET100" i="1"/>
  <c r="EC100" i="1"/>
  <c r="DQ100" i="1"/>
  <c r="DK100" i="1"/>
  <c r="DH100" i="1"/>
  <c r="DD100" i="1"/>
  <c r="CW100" i="1"/>
  <c r="CP100" i="1"/>
  <c r="CL100" i="1"/>
  <c r="CG100" i="1"/>
  <c r="CB100" i="1"/>
  <c r="BW100" i="1"/>
  <c r="BV100" i="1"/>
  <c r="BQ100" i="1"/>
  <c r="BP100" i="1"/>
  <c r="BO100" i="1"/>
  <c r="BJ100" i="1"/>
  <c r="BI100" i="1"/>
  <c r="BH100" i="1"/>
  <c r="BC100" i="1"/>
  <c r="BB100" i="1"/>
  <c r="BA100" i="1"/>
  <c r="AV100" i="1"/>
  <c r="AU100" i="1"/>
  <c r="AT100" i="1"/>
  <c r="AO100" i="1"/>
  <c r="AN100" i="1"/>
  <c r="AC100" i="1"/>
  <c r="Y100" i="1"/>
  <c r="S100" i="1"/>
  <c r="K100" i="1"/>
  <c r="J100" i="1"/>
  <c r="C100" i="1"/>
  <c r="EV99" i="1"/>
  <c r="EU99" i="1"/>
  <c r="ET99" i="1"/>
  <c r="EG99" i="1"/>
  <c r="EC99" i="1"/>
  <c r="DQ99" i="1"/>
  <c r="DK99" i="1"/>
  <c r="DH99" i="1"/>
  <c r="DD99" i="1"/>
  <c r="CW99" i="1"/>
  <c r="CP99" i="1"/>
  <c r="CL99" i="1"/>
  <c r="CG99" i="1"/>
  <c r="CB99" i="1"/>
  <c r="BW99" i="1"/>
  <c r="BV99" i="1"/>
  <c r="BQ99" i="1"/>
  <c r="BP99" i="1"/>
  <c r="BO99" i="1"/>
  <c r="BJ99" i="1"/>
  <c r="BI99" i="1"/>
  <c r="BH99" i="1"/>
  <c r="BC99" i="1"/>
  <c r="BB99" i="1"/>
  <c r="BA99" i="1"/>
  <c r="AV99" i="1"/>
  <c r="AU99" i="1"/>
  <c r="AT99" i="1"/>
  <c r="AO99" i="1"/>
  <c r="AN99" i="1"/>
  <c r="AC99" i="1"/>
  <c r="AB99" i="1"/>
  <c r="Y99" i="1"/>
  <c r="S99" i="1"/>
  <c r="K99" i="1"/>
  <c r="J99" i="1"/>
  <c r="C99" i="1"/>
  <c r="C98" i="1"/>
  <c r="EV97" i="1"/>
  <c r="EU97" i="1"/>
  <c r="ET97" i="1"/>
  <c r="EG97" i="1"/>
  <c r="EC97" i="1"/>
  <c r="DQ97" i="1"/>
  <c r="DK97" i="1"/>
  <c r="DH97" i="1"/>
  <c r="DD97" i="1"/>
  <c r="CW97" i="1"/>
  <c r="CP97" i="1"/>
  <c r="CL97" i="1"/>
  <c r="CG97" i="1"/>
  <c r="CB97" i="1"/>
  <c r="BW97" i="1"/>
  <c r="BV97" i="1"/>
  <c r="BQ97" i="1"/>
  <c r="BP97" i="1"/>
  <c r="BO97" i="1"/>
  <c r="BJ97" i="1"/>
  <c r="BI97" i="1"/>
  <c r="BH97" i="1"/>
  <c r="BC97" i="1"/>
  <c r="BB97" i="1"/>
  <c r="BA97" i="1"/>
  <c r="AV97" i="1"/>
  <c r="AU97" i="1"/>
  <c r="AT97" i="1"/>
  <c r="AO97" i="1"/>
  <c r="AN97" i="1"/>
  <c r="AC97" i="1"/>
  <c r="AB97" i="1"/>
  <c r="Y97" i="1"/>
  <c r="S97" i="1"/>
  <c r="K97" i="1"/>
  <c r="J97" i="1"/>
  <c r="C97" i="1"/>
  <c r="EV96" i="1"/>
  <c r="EU96" i="1"/>
  <c r="ET96" i="1"/>
  <c r="EC96" i="1"/>
  <c r="DY96" i="1"/>
  <c r="DQ96" i="1"/>
  <c r="DK96" i="1"/>
  <c r="DH96" i="1"/>
  <c r="DD96" i="1"/>
  <c r="CW96" i="1"/>
  <c r="CP96" i="1"/>
  <c r="CL96" i="1"/>
  <c r="CG96" i="1"/>
  <c r="CB96" i="1"/>
  <c r="BW96" i="1"/>
  <c r="BV96" i="1"/>
  <c r="BQ96" i="1"/>
  <c r="BP96" i="1"/>
  <c r="BO96" i="1"/>
  <c r="BJ96" i="1"/>
  <c r="BI96" i="1"/>
  <c r="BH96" i="1"/>
  <c r="BC96" i="1"/>
  <c r="BB96" i="1"/>
  <c r="BA96" i="1"/>
  <c r="AV96" i="1"/>
  <c r="AU96" i="1"/>
  <c r="AT96" i="1"/>
  <c r="AO96" i="1"/>
  <c r="AN96" i="1"/>
  <c r="AJ96" i="1"/>
  <c r="AC96" i="1"/>
  <c r="Y96" i="1"/>
  <c r="S96" i="1"/>
  <c r="K96" i="1"/>
  <c r="J96" i="1"/>
  <c r="C96" i="1"/>
  <c r="EG95" i="1"/>
  <c r="EC95" i="1"/>
  <c r="DQ95" i="1"/>
  <c r="DK95" i="1"/>
  <c r="DH95" i="1"/>
  <c r="DD95" i="1"/>
  <c r="CW95" i="1"/>
  <c r="CP95" i="1"/>
  <c r="CL95" i="1"/>
  <c r="CG95" i="1"/>
  <c r="CB95" i="1"/>
  <c r="BQ95" i="1"/>
  <c r="BP95" i="1"/>
  <c r="BO95" i="1"/>
  <c r="BJ95" i="1"/>
  <c r="BI95" i="1"/>
  <c r="BH95" i="1"/>
  <c r="BC95" i="1"/>
  <c r="BB95" i="1"/>
  <c r="BA95" i="1"/>
  <c r="AV95" i="1"/>
  <c r="AU95" i="1"/>
  <c r="AT95" i="1"/>
  <c r="AO95" i="1"/>
  <c r="AN95" i="1"/>
  <c r="AC95" i="1"/>
  <c r="AB95" i="1"/>
  <c r="S95" i="1"/>
  <c r="K95" i="1"/>
  <c r="J95" i="1"/>
  <c r="C95" i="1"/>
  <c r="EV94" i="1"/>
  <c r="EU94" i="1"/>
  <c r="ET94" i="1"/>
  <c r="EG94" i="1"/>
  <c r="EC94" i="1"/>
  <c r="DQ94" i="1"/>
  <c r="DK94" i="1"/>
  <c r="DH94" i="1"/>
  <c r="DD94" i="1"/>
  <c r="CW94" i="1"/>
  <c r="CP94" i="1"/>
  <c r="CL94" i="1"/>
  <c r="CG94" i="1"/>
  <c r="CB94" i="1"/>
  <c r="BW94" i="1"/>
  <c r="BV94" i="1"/>
  <c r="BQ94" i="1"/>
  <c r="BP94" i="1"/>
  <c r="BO94" i="1"/>
  <c r="BJ94" i="1"/>
  <c r="BI94" i="1"/>
  <c r="BH94" i="1"/>
  <c r="BC94" i="1"/>
  <c r="BB94" i="1"/>
  <c r="BA94" i="1"/>
  <c r="AV94" i="1"/>
  <c r="AU94" i="1"/>
  <c r="AT94" i="1"/>
  <c r="AO94" i="1"/>
  <c r="AN94" i="1"/>
  <c r="AC94" i="1"/>
  <c r="AB94" i="1"/>
  <c r="Y94" i="1"/>
  <c r="S94" i="1"/>
  <c r="K94" i="1"/>
  <c r="J94" i="1"/>
  <c r="C94" i="1"/>
  <c r="EV93" i="1"/>
  <c r="EU93" i="1"/>
  <c r="ET93" i="1"/>
  <c r="EG93" i="1"/>
  <c r="EC93" i="1"/>
  <c r="DQ93" i="1"/>
  <c r="DK93" i="1"/>
  <c r="DH93" i="1"/>
  <c r="DD93" i="1"/>
  <c r="CW93" i="1"/>
  <c r="CP93" i="1"/>
  <c r="CL93" i="1"/>
  <c r="CG93" i="1"/>
  <c r="CB93" i="1"/>
  <c r="BW93" i="1"/>
  <c r="BV93" i="1"/>
  <c r="BQ93" i="1"/>
  <c r="BP93" i="1"/>
  <c r="BO93" i="1"/>
  <c r="BJ93" i="1"/>
  <c r="BI93" i="1"/>
  <c r="BH93" i="1"/>
  <c r="BC93" i="1"/>
  <c r="BB93" i="1"/>
  <c r="BA93" i="1"/>
  <c r="AV93" i="1"/>
  <c r="AU93" i="1"/>
  <c r="AT93" i="1"/>
  <c r="AO93" i="1"/>
  <c r="AN93" i="1"/>
  <c r="AC93" i="1"/>
  <c r="AB93" i="1"/>
  <c r="Y93" i="1"/>
  <c r="S93" i="1"/>
  <c r="K93" i="1"/>
  <c r="J93" i="1"/>
  <c r="C93" i="1"/>
  <c r="EV92" i="1"/>
  <c r="EU92" i="1"/>
  <c r="ET92" i="1"/>
  <c r="EC92" i="1"/>
  <c r="DQ92" i="1"/>
  <c r="DK92" i="1"/>
  <c r="DH92" i="1"/>
  <c r="DD92" i="1"/>
  <c r="CW92" i="1"/>
  <c r="CP92" i="1"/>
  <c r="CL92" i="1"/>
  <c r="CG92" i="1"/>
  <c r="CB92" i="1"/>
  <c r="BW92" i="1"/>
  <c r="BV92" i="1"/>
  <c r="BQ92" i="1"/>
  <c r="BP92" i="1"/>
  <c r="BO92" i="1"/>
  <c r="BJ92" i="1"/>
  <c r="BI92" i="1"/>
  <c r="BH92" i="1"/>
  <c r="BC92" i="1"/>
  <c r="BB92" i="1"/>
  <c r="BA92" i="1"/>
  <c r="AV92" i="1"/>
  <c r="AU92" i="1"/>
  <c r="AT92" i="1"/>
  <c r="AO92" i="1"/>
  <c r="AN92" i="1"/>
  <c r="AC92" i="1"/>
  <c r="Y92" i="1"/>
  <c r="S92" i="1"/>
  <c r="K92" i="1"/>
  <c r="J92" i="1"/>
  <c r="C92" i="1"/>
  <c r="EV91" i="1"/>
  <c r="EU91" i="1"/>
  <c r="ET91" i="1"/>
  <c r="EC91" i="1"/>
  <c r="DQ91" i="1"/>
  <c r="DK91" i="1"/>
  <c r="DH91" i="1"/>
  <c r="DD91" i="1"/>
  <c r="CW91" i="1"/>
  <c r="CP91" i="1"/>
  <c r="CL91" i="1"/>
  <c r="CG91" i="1"/>
  <c r="CB91" i="1"/>
  <c r="BW91" i="1"/>
  <c r="BV91" i="1"/>
  <c r="BQ91" i="1"/>
  <c r="BP91" i="1"/>
  <c r="BO91" i="1"/>
  <c r="BJ91" i="1"/>
  <c r="BI91" i="1"/>
  <c r="BH91" i="1"/>
  <c r="BC91" i="1"/>
  <c r="BB91" i="1"/>
  <c r="BA91" i="1"/>
  <c r="AV91" i="1"/>
  <c r="AU91" i="1"/>
  <c r="AT91" i="1"/>
  <c r="AO91" i="1"/>
  <c r="AN91" i="1"/>
  <c r="AC91" i="1"/>
  <c r="Y91" i="1"/>
  <c r="S91" i="1"/>
  <c r="K91" i="1"/>
  <c r="J91" i="1"/>
  <c r="C91" i="1"/>
  <c r="EV90" i="1"/>
  <c r="EU90" i="1"/>
  <c r="ET90" i="1"/>
  <c r="EG90" i="1"/>
  <c r="EC90" i="1"/>
  <c r="DQ90" i="1"/>
  <c r="DK90" i="1"/>
  <c r="DH90" i="1"/>
  <c r="DD90" i="1"/>
  <c r="CW90" i="1"/>
  <c r="CP90" i="1"/>
  <c r="CL90" i="1"/>
  <c r="CG90" i="1"/>
  <c r="CB90" i="1"/>
  <c r="BW90" i="1"/>
  <c r="BV90" i="1"/>
  <c r="BQ90" i="1"/>
  <c r="BP90" i="1"/>
  <c r="BO90" i="1"/>
  <c r="BJ90" i="1"/>
  <c r="BI90" i="1"/>
  <c r="BH90" i="1"/>
  <c r="BC90" i="1"/>
  <c r="BB90" i="1"/>
  <c r="BA90" i="1"/>
  <c r="AV90" i="1"/>
  <c r="AU90" i="1"/>
  <c r="AT90" i="1"/>
  <c r="AO90" i="1"/>
  <c r="AN90" i="1"/>
  <c r="AC90" i="1"/>
  <c r="AB90" i="1"/>
  <c r="Y90" i="1"/>
  <c r="S90" i="1"/>
  <c r="K90" i="1"/>
  <c r="J90" i="1"/>
  <c r="C90" i="1"/>
  <c r="EV89" i="1"/>
  <c r="EU89" i="1"/>
  <c r="ET89" i="1"/>
  <c r="EC89" i="1"/>
  <c r="DQ89" i="1"/>
  <c r="DK89" i="1"/>
  <c r="DH89" i="1"/>
  <c r="DD89" i="1"/>
  <c r="CW89" i="1"/>
  <c r="CP89" i="1"/>
  <c r="CL89" i="1"/>
  <c r="CG89" i="1"/>
  <c r="CB89" i="1"/>
  <c r="BW89" i="1"/>
  <c r="BV89" i="1"/>
  <c r="BQ89" i="1"/>
  <c r="BP89" i="1"/>
  <c r="BO89" i="1"/>
  <c r="BJ89" i="1"/>
  <c r="BI89" i="1"/>
  <c r="BH89" i="1"/>
  <c r="BC89" i="1"/>
  <c r="BB89" i="1"/>
  <c r="BA89" i="1"/>
  <c r="AV89" i="1"/>
  <c r="AU89" i="1"/>
  <c r="AT89" i="1"/>
  <c r="AO89" i="1"/>
  <c r="AN89" i="1"/>
  <c r="AC89" i="1"/>
  <c r="Y89" i="1"/>
  <c r="S89" i="1"/>
  <c r="K89" i="1"/>
  <c r="J89" i="1"/>
  <c r="C89" i="1"/>
  <c r="EV88" i="1"/>
  <c r="EU88" i="1"/>
  <c r="ET88" i="1"/>
  <c r="EC88" i="1"/>
  <c r="DY88" i="1"/>
  <c r="DQ88" i="1"/>
  <c r="DK88" i="1"/>
  <c r="DH88" i="1"/>
  <c r="DD88" i="1"/>
  <c r="CW88" i="1"/>
  <c r="CP88" i="1"/>
  <c r="CL88" i="1"/>
  <c r="CG88" i="1"/>
  <c r="CB88" i="1"/>
  <c r="BW88" i="1"/>
  <c r="BV88" i="1"/>
  <c r="BQ88" i="1"/>
  <c r="BP88" i="1"/>
  <c r="BO88" i="1"/>
  <c r="BJ88" i="1"/>
  <c r="BI88" i="1"/>
  <c r="BH88" i="1"/>
  <c r="BC88" i="1"/>
  <c r="BB88" i="1"/>
  <c r="BA88" i="1"/>
  <c r="AV88" i="1"/>
  <c r="AU88" i="1"/>
  <c r="AT88" i="1"/>
  <c r="AO88" i="1"/>
  <c r="AN88" i="1"/>
  <c r="AJ88" i="1"/>
  <c r="AC88" i="1"/>
  <c r="Y88" i="1"/>
  <c r="S88" i="1"/>
  <c r="K88" i="1"/>
  <c r="J88" i="1"/>
  <c r="C88" i="1"/>
  <c r="EV87" i="1"/>
  <c r="EU87" i="1"/>
  <c r="ET87" i="1"/>
  <c r="EC87" i="1"/>
  <c r="DY87" i="1"/>
  <c r="DQ87" i="1"/>
  <c r="DK87" i="1"/>
  <c r="DH87" i="1"/>
  <c r="DD87" i="1"/>
  <c r="CW87" i="1"/>
  <c r="CP87" i="1"/>
  <c r="CL87" i="1"/>
  <c r="CG87" i="1"/>
  <c r="CB87" i="1"/>
  <c r="BW87" i="1"/>
  <c r="BV87" i="1"/>
  <c r="BQ87" i="1"/>
  <c r="BP87" i="1"/>
  <c r="BO87" i="1"/>
  <c r="BJ87" i="1"/>
  <c r="BI87" i="1"/>
  <c r="BH87" i="1"/>
  <c r="BC87" i="1"/>
  <c r="BB87" i="1"/>
  <c r="BA87" i="1"/>
  <c r="AV87" i="1"/>
  <c r="AU87" i="1"/>
  <c r="AT87" i="1"/>
  <c r="AO87" i="1"/>
  <c r="AN87" i="1"/>
  <c r="AJ87" i="1"/>
  <c r="AC87" i="1"/>
  <c r="Y87" i="1"/>
  <c r="S87" i="1"/>
  <c r="K87" i="1"/>
  <c r="J87" i="1"/>
  <c r="C87" i="1"/>
  <c r="EV86" i="1"/>
  <c r="EU86" i="1"/>
  <c r="ET86" i="1"/>
  <c r="EC86" i="1"/>
  <c r="DQ86" i="1"/>
  <c r="DK86" i="1"/>
  <c r="DH86" i="1"/>
  <c r="DD86" i="1"/>
  <c r="CW86" i="1"/>
  <c r="CP86" i="1"/>
  <c r="CL86" i="1"/>
  <c r="CG86" i="1"/>
  <c r="CB86" i="1"/>
  <c r="BW86" i="1"/>
  <c r="BV86" i="1"/>
  <c r="BQ86" i="1"/>
  <c r="BP86" i="1"/>
  <c r="BO86" i="1"/>
  <c r="BJ86" i="1"/>
  <c r="BI86" i="1"/>
  <c r="BH86" i="1"/>
  <c r="BC86" i="1"/>
  <c r="BB86" i="1"/>
  <c r="BA86" i="1"/>
  <c r="AV86" i="1"/>
  <c r="AU86" i="1"/>
  <c r="AT86" i="1"/>
  <c r="AO86" i="1"/>
  <c r="AN86" i="1"/>
  <c r="AC86" i="1"/>
  <c r="Y86" i="1"/>
  <c r="S86" i="1"/>
  <c r="K86" i="1"/>
  <c r="J86" i="1"/>
  <c r="C86" i="1"/>
  <c r="EV85" i="1"/>
  <c r="EU85" i="1"/>
  <c r="ET85" i="1"/>
  <c r="EC85" i="1"/>
  <c r="DQ85" i="1"/>
  <c r="DK85" i="1"/>
  <c r="DH85" i="1"/>
  <c r="DD85" i="1"/>
  <c r="CW85" i="1"/>
  <c r="CP85" i="1"/>
  <c r="CL85" i="1"/>
  <c r="CG85" i="1"/>
  <c r="CB85" i="1"/>
  <c r="BW85" i="1"/>
  <c r="BV85" i="1"/>
  <c r="BQ85" i="1"/>
  <c r="BP85" i="1"/>
  <c r="BO85" i="1"/>
  <c r="BJ85" i="1"/>
  <c r="BI85" i="1"/>
  <c r="BH85" i="1"/>
  <c r="BC85" i="1"/>
  <c r="BB85" i="1"/>
  <c r="BA85" i="1"/>
  <c r="AV85" i="1"/>
  <c r="AU85" i="1"/>
  <c r="AT85" i="1"/>
  <c r="AO85" i="1"/>
  <c r="AN85" i="1"/>
  <c r="AC85" i="1"/>
  <c r="Y85" i="1"/>
  <c r="S85" i="1"/>
  <c r="K85" i="1"/>
  <c r="J85" i="1"/>
  <c r="C85" i="1"/>
  <c r="EV84" i="1"/>
  <c r="EU84" i="1"/>
  <c r="ET84" i="1"/>
  <c r="EG84" i="1"/>
  <c r="EC84" i="1"/>
  <c r="DQ84" i="1"/>
  <c r="DK84" i="1"/>
  <c r="DH84" i="1"/>
  <c r="DD84" i="1"/>
  <c r="CW84" i="1"/>
  <c r="CP84" i="1"/>
  <c r="CL84" i="1"/>
  <c r="CG84" i="1"/>
  <c r="CB84" i="1"/>
  <c r="BW84" i="1"/>
  <c r="BV84" i="1"/>
  <c r="BQ84" i="1"/>
  <c r="BP84" i="1"/>
  <c r="BO84" i="1"/>
  <c r="BJ84" i="1"/>
  <c r="BI84" i="1"/>
  <c r="BH84" i="1"/>
  <c r="BC84" i="1"/>
  <c r="BB84" i="1"/>
  <c r="BA84" i="1"/>
  <c r="AV84" i="1"/>
  <c r="AU84" i="1"/>
  <c r="AT84" i="1"/>
  <c r="AO84" i="1"/>
  <c r="AN84" i="1"/>
  <c r="AC84" i="1"/>
  <c r="AB84" i="1"/>
  <c r="K84" i="1"/>
  <c r="J84" i="1"/>
  <c r="C84" i="1"/>
  <c r="EV83" i="1"/>
  <c r="EU83" i="1"/>
  <c r="ET83" i="1"/>
  <c r="EG83" i="1"/>
  <c r="EC83" i="1"/>
  <c r="DQ83" i="1"/>
  <c r="DK83" i="1"/>
  <c r="DH83" i="1"/>
  <c r="DD83" i="1"/>
  <c r="CW83" i="1"/>
  <c r="CP83" i="1"/>
  <c r="CL83" i="1"/>
  <c r="CG83" i="1"/>
  <c r="CB83" i="1"/>
  <c r="BW83" i="1"/>
  <c r="BV83" i="1"/>
  <c r="BQ83" i="1"/>
  <c r="BP83" i="1"/>
  <c r="BO83" i="1"/>
  <c r="BJ83" i="1"/>
  <c r="BI83" i="1"/>
  <c r="BH83" i="1"/>
  <c r="BC83" i="1"/>
  <c r="BB83" i="1"/>
  <c r="BA83" i="1"/>
  <c r="AV83" i="1"/>
  <c r="AU83" i="1"/>
  <c r="AT83" i="1"/>
  <c r="AO83" i="1"/>
  <c r="AN83" i="1"/>
  <c r="AC83" i="1"/>
  <c r="AB83" i="1"/>
  <c r="Y83" i="1"/>
  <c r="S83" i="1"/>
  <c r="K83" i="1"/>
  <c r="J83" i="1"/>
  <c r="C83" i="1"/>
  <c r="EV82" i="1"/>
  <c r="EU82" i="1"/>
  <c r="ET82" i="1"/>
  <c r="EG82" i="1"/>
  <c r="EC82" i="1"/>
  <c r="DQ82" i="1"/>
  <c r="DK82" i="1"/>
  <c r="DH82" i="1"/>
  <c r="DD82" i="1"/>
  <c r="CW82" i="1"/>
  <c r="CP82" i="1"/>
  <c r="CL82" i="1"/>
  <c r="CG82" i="1"/>
  <c r="CB82" i="1"/>
  <c r="BW82" i="1"/>
  <c r="BV82" i="1"/>
  <c r="BQ82" i="1"/>
  <c r="BP82" i="1"/>
  <c r="BO82" i="1"/>
  <c r="BJ82" i="1"/>
  <c r="BI82" i="1"/>
  <c r="BH82" i="1"/>
  <c r="BC82" i="1"/>
  <c r="BB82" i="1"/>
  <c r="BA82" i="1"/>
  <c r="AV82" i="1"/>
  <c r="AU82" i="1"/>
  <c r="AT82" i="1"/>
  <c r="AO82" i="1"/>
  <c r="AN82" i="1"/>
  <c r="AC82" i="1"/>
  <c r="AB82" i="1"/>
  <c r="Y82" i="1"/>
  <c r="S82" i="1"/>
  <c r="K82" i="1"/>
  <c r="J82" i="1"/>
  <c r="C82" i="1"/>
  <c r="EV81" i="1"/>
  <c r="EU81" i="1"/>
  <c r="ET81" i="1"/>
  <c r="EC81" i="1"/>
  <c r="DQ81" i="1"/>
  <c r="DK81" i="1"/>
  <c r="DH81" i="1"/>
  <c r="DD81" i="1"/>
  <c r="CW81" i="1"/>
  <c r="CP81" i="1"/>
  <c r="CL81" i="1"/>
  <c r="CG81" i="1"/>
  <c r="CB81" i="1"/>
  <c r="BW81" i="1"/>
  <c r="BV81" i="1"/>
  <c r="BQ81" i="1"/>
  <c r="BP81" i="1"/>
  <c r="BO81" i="1"/>
  <c r="BJ81" i="1"/>
  <c r="BI81" i="1"/>
  <c r="BH81" i="1"/>
  <c r="BC81" i="1"/>
  <c r="BB81" i="1"/>
  <c r="BA81" i="1"/>
  <c r="AV81" i="1"/>
  <c r="AU81" i="1"/>
  <c r="AT81" i="1"/>
  <c r="AO81" i="1"/>
  <c r="AN81" i="1"/>
  <c r="AC81" i="1"/>
  <c r="Y81" i="1"/>
  <c r="S81" i="1"/>
  <c r="K81" i="1"/>
  <c r="J81" i="1"/>
  <c r="C81" i="1"/>
  <c r="EV80" i="1"/>
  <c r="EU80" i="1"/>
  <c r="ET80" i="1"/>
  <c r="EC80" i="1"/>
  <c r="DQ80" i="1"/>
  <c r="DK80" i="1"/>
  <c r="DH80" i="1"/>
  <c r="DD80" i="1"/>
  <c r="CW80" i="1"/>
  <c r="CP80" i="1"/>
  <c r="CL80" i="1"/>
  <c r="CG80" i="1"/>
  <c r="CB80" i="1"/>
  <c r="BW80" i="1"/>
  <c r="BV80" i="1"/>
  <c r="BQ80" i="1"/>
  <c r="BP80" i="1"/>
  <c r="BO80" i="1"/>
  <c r="BJ80" i="1"/>
  <c r="BI80" i="1"/>
  <c r="BH80" i="1"/>
  <c r="BC80" i="1"/>
  <c r="BB80" i="1"/>
  <c r="BA80" i="1"/>
  <c r="AV80" i="1"/>
  <c r="AU80" i="1"/>
  <c r="AT80" i="1"/>
  <c r="AO80" i="1"/>
  <c r="AN80" i="1"/>
  <c r="AC80" i="1"/>
  <c r="Y80" i="1"/>
  <c r="S80" i="1"/>
  <c r="K80" i="1"/>
  <c r="J80" i="1"/>
  <c r="C80" i="1"/>
  <c r="EV79" i="1"/>
  <c r="EU79" i="1"/>
  <c r="ET79" i="1"/>
  <c r="EC79" i="1"/>
  <c r="DQ79" i="1"/>
  <c r="DK79" i="1"/>
  <c r="DH79" i="1"/>
  <c r="DD79" i="1"/>
  <c r="CW79" i="1"/>
  <c r="CP79" i="1"/>
  <c r="CL79" i="1"/>
  <c r="CG79" i="1"/>
  <c r="CB79" i="1"/>
  <c r="BW79" i="1"/>
  <c r="BV79" i="1"/>
  <c r="BQ79" i="1"/>
  <c r="BP79" i="1"/>
  <c r="BO79" i="1"/>
  <c r="BJ79" i="1"/>
  <c r="BI79" i="1"/>
  <c r="BH79" i="1"/>
  <c r="BC79" i="1"/>
  <c r="BB79" i="1"/>
  <c r="BA79" i="1"/>
  <c r="AV79" i="1"/>
  <c r="AU79" i="1"/>
  <c r="AT79" i="1"/>
  <c r="AO79" i="1"/>
  <c r="AN79" i="1"/>
  <c r="AC79" i="1"/>
  <c r="Y79" i="1"/>
  <c r="S79" i="1"/>
  <c r="K79" i="1"/>
  <c r="J79" i="1"/>
  <c r="C79" i="1"/>
  <c r="EV78" i="1"/>
  <c r="EU78" i="1"/>
  <c r="ET78" i="1"/>
  <c r="EG78" i="1"/>
  <c r="EC78" i="1"/>
  <c r="DQ78" i="1"/>
  <c r="DK78" i="1"/>
  <c r="DH78" i="1"/>
  <c r="DD78" i="1"/>
  <c r="CW78" i="1"/>
  <c r="CP78" i="1"/>
  <c r="CL78" i="1"/>
  <c r="CG78" i="1"/>
  <c r="CB78" i="1"/>
  <c r="BW78" i="1"/>
  <c r="BV78" i="1"/>
  <c r="BQ78" i="1"/>
  <c r="BP78" i="1"/>
  <c r="BO78" i="1"/>
  <c r="BJ78" i="1"/>
  <c r="BI78" i="1"/>
  <c r="BH78" i="1"/>
  <c r="BC78" i="1"/>
  <c r="BB78" i="1"/>
  <c r="BA78" i="1"/>
  <c r="AV78" i="1"/>
  <c r="AU78" i="1"/>
  <c r="AT78" i="1"/>
  <c r="AO78" i="1"/>
  <c r="AN78" i="1"/>
  <c r="AC78" i="1"/>
  <c r="AB78" i="1"/>
  <c r="Y78" i="1"/>
  <c r="S78" i="1"/>
  <c r="K78" i="1"/>
  <c r="J78" i="1"/>
  <c r="C78" i="1"/>
  <c r="EV77" i="1"/>
  <c r="EU77" i="1"/>
  <c r="ET77" i="1"/>
  <c r="EC77" i="1"/>
  <c r="DQ77" i="1"/>
  <c r="DK77" i="1"/>
  <c r="DH77" i="1"/>
  <c r="DD77" i="1"/>
  <c r="CW77" i="1"/>
  <c r="CP77" i="1"/>
  <c r="CL77" i="1"/>
  <c r="CG77" i="1"/>
  <c r="CB77" i="1"/>
  <c r="BW77" i="1"/>
  <c r="BV77" i="1"/>
  <c r="BQ77" i="1"/>
  <c r="BP77" i="1"/>
  <c r="BO77" i="1"/>
  <c r="BJ77" i="1"/>
  <c r="BI77" i="1"/>
  <c r="BH77" i="1"/>
  <c r="BC77" i="1"/>
  <c r="BB77" i="1"/>
  <c r="BA77" i="1"/>
  <c r="AV77" i="1"/>
  <c r="AU77" i="1"/>
  <c r="AT77" i="1"/>
  <c r="AO77" i="1"/>
  <c r="AN77" i="1"/>
  <c r="AC77" i="1"/>
  <c r="Y77" i="1"/>
  <c r="S77" i="1"/>
  <c r="K77" i="1"/>
  <c r="J77" i="1"/>
  <c r="C77" i="1"/>
  <c r="EV76" i="1"/>
  <c r="EU76" i="1"/>
  <c r="ET76" i="1"/>
  <c r="EG76" i="1"/>
  <c r="EC76" i="1"/>
  <c r="DY76" i="1"/>
  <c r="DQ76" i="1"/>
  <c r="DK76" i="1"/>
  <c r="DH76" i="1"/>
  <c r="DD76" i="1"/>
  <c r="CW76" i="1"/>
  <c r="CP76" i="1"/>
  <c r="CL76" i="1"/>
  <c r="CG76" i="1"/>
  <c r="CB76" i="1"/>
  <c r="BW76" i="1"/>
  <c r="BV76" i="1"/>
  <c r="BQ76" i="1"/>
  <c r="BP76" i="1"/>
  <c r="BO76" i="1"/>
  <c r="BJ76" i="1"/>
  <c r="BI76" i="1"/>
  <c r="BH76" i="1"/>
  <c r="BC76" i="1"/>
  <c r="BB76" i="1"/>
  <c r="BA76" i="1"/>
  <c r="AV76" i="1"/>
  <c r="AU76" i="1"/>
  <c r="AT76" i="1"/>
  <c r="AO76" i="1"/>
  <c r="AN76" i="1"/>
  <c r="AJ76" i="1"/>
  <c r="AC76" i="1"/>
  <c r="AB76" i="1"/>
  <c r="Y76" i="1"/>
  <c r="S76" i="1"/>
  <c r="K76" i="1"/>
  <c r="J76" i="1"/>
  <c r="C76" i="1"/>
  <c r="EV75" i="1"/>
  <c r="EU75" i="1"/>
  <c r="ET75" i="1"/>
  <c r="EC75" i="1"/>
  <c r="DQ75" i="1"/>
  <c r="DK75" i="1"/>
  <c r="DH75" i="1"/>
  <c r="DD75" i="1"/>
  <c r="CW75" i="1"/>
  <c r="CP75" i="1"/>
  <c r="CL75" i="1"/>
  <c r="CG75" i="1"/>
  <c r="CB75" i="1"/>
  <c r="BW75" i="1"/>
  <c r="BV75" i="1"/>
  <c r="BQ75" i="1"/>
  <c r="BP75" i="1"/>
  <c r="BO75" i="1"/>
  <c r="BJ75" i="1"/>
  <c r="BI75" i="1"/>
  <c r="BH75" i="1"/>
  <c r="BC75" i="1"/>
  <c r="BB75" i="1"/>
  <c r="BA75" i="1"/>
  <c r="AV75" i="1"/>
  <c r="AU75" i="1"/>
  <c r="AT75" i="1"/>
  <c r="AO75" i="1"/>
  <c r="AN75" i="1"/>
  <c r="AC75" i="1"/>
  <c r="Y75" i="1"/>
  <c r="S75" i="1"/>
  <c r="K75" i="1"/>
  <c r="J75" i="1"/>
  <c r="C75" i="1"/>
  <c r="EV74" i="1"/>
  <c r="EU74" i="1"/>
  <c r="ET74" i="1"/>
  <c r="EC74" i="1"/>
  <c r="DQ74" i="1"/>
  <c r="DK74" i="1"/>
  <c r="DH74" i="1"/>
  <c r="DD74" i="1"/>
  <c r="CW74" i="1"/>
  <c r="CP74" i="1"/>
  <c r="CL74" i="1"/>
  <c r="CG74" i="1"/>
  <c r="CB74" i="1"/>
  <c r="BW74" i="1"/>
  <c r="BV74" i="1"/>
  <c r="BQ74" i="1"/>
  <c r="BP74" i="1"/>
  <c r="BO74" i="1"/>
  <c r="BJ74" i="1"/>
  <c r="BI74" i="1"/>
  <c r="BH74" i="1"/>
  <c r="BC74" i="1"/>
  <c r="BB74" i="1"/>
  <c r="BA74" i="1"/>
  <c r="AV74" i="1"/>
  <c r="AU74" i="1"/>
  <c r="AT74" i="1"/>
  <c r="AO74" i="1"/>
  <c r="AN74" i="1"/>
  <c r="AC74" i="1"/>
  <c r="Y74" i="1"/>
  <c r="S74" i="1"/>
  <c r="K74" i="1"/>
  <c r="J74" i="1"/>
  <c r="C74" i="1"/>
  <c r="EV73" i="1"/>
  <c r="EU73" i="1"/>
  <c r="ET73" i="1"/>
  <c r="EG73" i="1"/>
  <c r="EC73" i="1"/>
  <c r="DY73" i="1"/>
  <c r="DQ73" i="1"/>
  <c r="DK73" i="1"/>
  <c r="DH73" i="1"/>
  <c r="DD73" i="1"/>
  <c r="CW73" i="1"/>
  <c r="CP73" i="1"/>
  <c r="CL73" i="1"/>
  <c r="CG73" i="1"/>
  <c r="CB73" i="1"/>
  <c r="BW73" i="1"/>
  <c r="BV73" i="1"/>
  <c r="BQ73" i="1"/>
  <c r="BP73" i="1"/>
  <c r="BO73" i="1"/>
  <c r="BJ73" i="1"/>
  <c r="BI73" i="1"/>
  <c r="BH73" i="1"/>
  <c r="BC73" i="1"/>
  <c r="BB73" i="1"/>
  <c r="BA73" i="1"/>
  <c r="AV73" i="1"/>
  <c r="AU73" i="1"/>
  <c r="AT73" i="1"/>
  <c r="AO73" i="1"/>
  <c r="AN73" i="1"/>
  <c r="AJ73" i="1"/>
  <c r="AC73" i="1"/>
  <c r="AB73" i="1"/>
  <c r="Y73" i="1"/>
  <c r="S73" i="1"/>
  <c r="K73" i="1"/>
  <c r="J73" i="1"/>
  <c r="C73" i="1"/>
  <c r="EV72" i="1"/>
  <c r="EU72" i="1"/>
  <c r="ET72" i="1"/>
  <c r="EC72" i="1"/>
  <c r="DQ72" i="1"/>
  <c r="DK72" i="1"/>
  <c r="DH72" i="1"/>
  <c r="DD72" i="1"/>
  <c r="CW72" i="1"/>
  <c r="CP72" i="1"/>
  <c r="CL72" i="1"/>
  <c r="CG72" i="1"/>
  <c r="CB72" i="1"/>
  <c r="BW72" i="1"/>
  <c r="BV72" i="1"/>
  <c r="BQ72" i="1"/>
  <c r="BP72" i="1"/>
  <c r="BO72" i="1"/>
  <c r="BJ72" i="1"/>
  <c r="BI72" i="1"/>
  <c r="BH72" i="1"/>
  <c r="BC72" i="1"/>
  <c r="BB72" i="1"/>
  <c r="BA72" i="1"/>
  <c r="AV72" i="1"/>
  <c r="AU72" i="1"/>
  <c r="AT72" i="1"/>
  <c r="AO72" i="1"/>
  <c r="AN72" i="1"/>
  <c r="AC72" i="1"/>
  <c r="Y72" i="1"/>
  <c r="S72" i="1"/>
  <c r="K72" i="1"/>
  <c r="J72" i="1"/>
  <c r="C72" i="1"/>
  <c r="EV71" i="1"/>
  <c r="EU71" i="1"/>
  <c r="ET71" i="1"/>
  <c r="EC71" i="1"/>
  <c r="DQ71" i="1"/>
  <c r="DK71" i="1"/>
  <c r="DH71" i="1"/>
  <c r="DD71" i="1"/>
  <c r="CW71" i="1"/>
  <c r="CP71" i="1"/>
  <c r="CL71" i="1"/>
  <c r="CG71" i="1"/>
  <c r="CB71" i="1"/>
  <c r="BW71" i="1"/>
  <c r="BV71" i="1"/>
  <c r="BQ71" i="1"/>
  <c r="BP71" i="1"/>
  <c r="BO71" i="1"/>
  <c r="BJ71" i="1"/>
  <c r="BI71" i="1"/>
  <c r="BH71" i="1"/>
  <c r="BC71" i="1"/>
  <c r="BB71" i="1"/>
  <c r="BA71" i="1"/>
  <c r="AV71" i="1"/>
  <c r="AU71" i="1"/>
  <c r="AT71" i="1"/>
  <c r="AO71" i="1"/>
  <c r="AN71" i="1"/>
  <c r="AC71" i="1"/>
  <c r="Y71" i="1"/>
  <c r="S71" i="1"/>
  <c r="K71" i="1"/>
  <c r="J71" i="1"/>
  <c r="C71" i="1"/>
  <c r="EV70" i="1"/>
  <c r="EU70" i="1"/>
  <c r="ET70" i="1"/>
  <c r="EG70" i="1"/>
  <c r="EC70" i="1"/>
  <c r="DQ70" i="1"/>
  <c r="DK70" i="1"/>
  <c r="DH70" i="1"/>
  <c r="DD70" i="1"/>
  <c r="CW70" i="1"/>
  <c r="CP70" i="1"/>
  <c r="CL70" i="1"/>
  <c r="CG70" i="1"/>
  <c r="CB70" i="1"/>
  <c r="BW70" i="1"/>
  <c r="BV70" i="1"/>
  <c r="BQ70" i="1"/>
  <c r="BP70" i="1"/>
  <c r="BO70" i="1"/>
  <c r="BJ70" i="1"/>
  <c r="BI70" i="1"/>
  <c r="BH70" i="1"/>
  <c r="BC70" i="1"/>
  <c r="BB70" i="1"/>
  <c r="BA70" i="1"/>
  <c r="AV70" i="1"/>
  <c r="AU70" i="1"/>
  <c r="AT70" i="1"/>
  <c r="AO70" i="1"/>
  <c r="AN70" i="1"/>
  <c r="AC70" i="1"/>
  <c r="AB70" i="1"/>
  <c r="Y70" i="1"/>
  <c r="S70" i="1"/>
  <c r="K70" i="1"/>
  <c r="J70" i="1"/>
  <c r="C70" i="1"/>
  <c r="EV69" i="1"/>
  <c r="EU69" i="1"/>
  <c r="ET69" i="1"/>
  <c r="EC69" i="1"/>
  <c r="DQ69" i="1"/>
  <c r="DK69" i="1"/>
  <c r="DH69" i="1"/>
  <c r="DD69" i="1"/>
  <c r="CW69" i="1"/>
  <c r="CP69" i="1"/>
  <c r="CL69" i="1"/>
  <c r="CG69" i="1"/>
  <c r="CB69" i="1"/>
  <c r="BW69" i="1"/>
  <c r="BV69" i="1"/>
  <c r="BQ69" i="1"/>
  <c r="BP69" i="1"/>
  <c r="BO69" i="1"/>
  <c r="BJ69" i="1"/>
  <c r="BI69" i="1"/>
  <c r="BH69" i="1"/>
  <c r="BC69" i="1"/>
  <c r="BB69" i="1"/>
  <c r="BA69" i="1"/>
  <c r="AV69" i="1"/>
  <c r="AU69" i="1"/>
  <c r="AT69" i="1"/>
  <c r="AO69" i="1"/>
  <c r="AN69" i="1"/>
  <c r="AC69" i="1"/>
  <c r="Y69" i="1"/>
  <c r="S69" i="1"/>
  <c r="K69" i="1"/>
  <c r="J69" i="1"/>
  <c r="C69" i="1"/>
  <c r="EV68" i="1"/>
  <c r="EU68" i="1"/>
  <c r="ET68" i="1"/>
  <c r="EC68" i="1"/>
  <c r="DQ68" i="1"/>
  <c r="DK68" i="1"/>
  <c r="DH68" i="1"/>
  <c r="DD68" i="1"/>
  <c r="CW68" i="1"/>
  <c r="CP68" i="1"/>
  <c r="CL68" i="1"/>
  <c r="CG68" i="1"/>
  <c r="CB68" i="1"/>
  <c r="BW68" i="1"/>
  <c r="BV68" i="1"/>
  <c r="BQ68" i="1"/>
  <c r="BP68" i="1"/>
  <c r="BO68" i="1"/>
  <c r="BJ68" i="1"/>
  <c r="BI68" i="1"/>
  <c r="BH68" i="1"/>
  <c r="BC68" i="1"/>
  <c r="BB68" i="1"/>
  <c r="BA68" i="1"/>
  <c r="AV68" i="1"/>
  <c r="AU68" i="1"/>
  <c r="AT68" i="1"/>
  <c r="AO68" i="1"/>
  <c r="AN68" i="1"/>
  <c r="AC68" i="1"/>
  <c r="Y68" i="1"/>
  <c r="S68" i="1"/>
  <c r="K68" i="1"/>
  <c r="J68" i="1"/>
  <c r="C68" i="1"/>
  <c r="C67" i="1"/>
  <c r="EV66" i="1"/>
  <c r="EU66" i="1"/>
  <c r="ET66" i="1"/>
  <c r="EC66" i="1"/>
  <c r="DY66" i="1"/>
  <c r="DQ66" i="1"/>
  <c r="DK66" i="1"/>
  <c r="DH66" i="1"/>
  <c r="DD66" i="1"/>
  <c r="CW66" i="1"/>
  <c r="CP66" i="1"/>
  <c r="CL66" i="1"/>
  <c r="CG66" i="1"/>
  <c r="CB66" i="1"/>
  <c r="BW66" i="1"/>
  <c r="BV66" i="1"/>
  <c r="BQ66" i="1"/>
  <c r="BP66" i="1"/>
  <c r="BO66" i="1"/>
  <c r="BJ66" i="1"/>
  <c r="BI66" i="1"/>
  <c r="BH66" i="1"/>
  <c r="BC66" i="1"/>
  <c r="BB66" i="1"/>
  <c r="BA66" i="1"/>
  <c r="AV66" i="1"/>
  <c r="AU66" i="1"/>
  <c r="AT66" i="1"/>
  <c r="AO66" i="1"/>
  <c r="AN66" i="1"/>
  <c r="AJ66" i="1"/>
  <c r="AC66" i="1"/>
  <c r="Y66" i="1"/>
  <c r="S66" i="1"/>
  <c r="K66" i="1"/>
  <c r="J66" i="1"/>
  <c r="C66" i="1"/>
  <c r="EV65" i="1"/>
  <c r="EU65" i="1"/>
  <c r="ET65" i="1"/>
  <c r="EG65" i="1"/>
  <c r="EC65" i="1"/>
  <c r="DQ65" i="1"/>
  <c r="DK65" i="1"/>
  <c r="DH65" i="1"/>
  <c r="DD65" i="1"/>
  <c r="CW65" i="1"/>
  <c r="CP65" i="1"/>
  <c r="CL65" i="1"/>
  <c r="CG65" i="1"/>
  <c r="CB65" i="1"/>
  <c r="BW65" i="1"/>
  <c r="BV65" i="1"/>
  <c r="BQ65" i="1"/>
  <c r="BP65" i="1"/>
  <c r="BO65" i="1"/>
  <c r="BJ65" i="1"/>
  <c r="BI65" i="1"/>
  <c r="BH65" i="1"/>
  <c r="BC65" i="1"/>
  <c r="BB65" i="1"/>
  <c r="BA65" i="1"/>
  <c r="AV65" i="1"/>
  <c r="AU65" i="1"/>
  <c r="AT65" i="1"/>
  <c r="AO65" i="1"/>
  <c r="AN65" i="1"/>
  <c r="AC65" i="1"/>
  <c r="AB65" i="1"/>
  <c r="Y65" i="1"/>
  <c r="S65" i="1"/>
  <c r="K65" i="1"/>
  <c r="J65" i="1"/>
  <c r="C65" i="1"/>
  <c r="EV64" i="1"/>
  <c r="EU64" i="1"/>
  <c r="ET64" i="1"/>
  <c r="EC64" i="1"/>
  <c r="DQ64" i="1"/>
  <c r="DK64" i="1"/>
  <c r="DH64" i="1"/>
  <c r="DD64" i="1"/>
  <c r="CW64" i="1"/>
  <c r="CP64" i="1"/>
  <c r="CL64" i="1"/>
  <c r="CG64" i="1"/>
  <c r="CB64" i="1"/>
  <c r="BW64" i="1"/>
  <c r="BV64" i="1"/>
  <c r="BQ64" i="1"/>
  <c r="BP64" i="1"/>
  <c r="BO64" i="1"/>
  <c r="BJ64" i="1"/>
  <c r="BI64" i="1"/>
  <c r="BH64" i="1"/>
  <c r="BC64" i="1"/>
  <c r="BB64" i="1"/>
  <c r="BA64" i="1"/>
  <c r="AV64" i="1"/>
  <c r="AU64" i="1"/>
  <c r="AT64" i="1"/>
  <c r="AO64" i="1"/>
  <c r="AN64" i="1"/>
  <c r="AC64" i="1"/>
  <c r="Y64" i="1"/>
  <c r="S64" i="1"/>
  <c r="K64" i="1"/>
  <c r="J64" i="1"/>
  <c r="C64" i="1"/>
  <c r="EV63" i="1"/>
  <c r="EU63" i="1"/>
  <c r="ET63" i="1"/>
  <c r="EC63" i="1"/>
  <c r="DY63" i="1"/>
  <c r="DQ63" i="1"/>
  <c r="DK63" i="1"/>
  <c r="DH63" i="1"/>
  <c r="DD63" i="1"/>
  <c r="CW63" i="1"/>
  <c r="CP63" i="1"/>
  <c r="CL63" i="1"/>
  <c r="CG63" i="1"/>
  <c r="CB63" i="1"/>
  <c r="BW63" i="1"/>
  <c r="BV63" i="1"/>
  <c r="BQ63" i="1"/>
  <c r="BP63" i="1"/>
  <c r="BO63" i="1"/>
  <c r="BJ63" i="1"/>
  <c r="BI63" i="1"/>
  <c r="BH63" i="1"/>
  <c r="BC63" i="1"/>
  <c r="BB63" i="1"/>
  <c r="BA63" i="1"/>
  <c r="AV63" i="1"/>
  <c r="AU63" i="1"/>
  <c r="AT63" i="1"/>
  <c r="AO63" i="1"/>
  <c r="AN63" i="1"/>
  <c r="AJ63" i="1"/>
  <c r="AC63" i="1"/>
  <c r="Y63" i="1"/>
  <c r="S63" i="1"/>
  <c r="K63" i="1"/>
  <c r="J63" i="1"/>
  <c r="C63" i="1"/>
  <c r="EV62" i="1"/>
  <c r="EU62" i="1"/>
  <c r="ET62" i="1"/>
  <c r="EC62" i="1"/>
  <c r="DQ62" i="1"/>
  <c r="DK62" i="1"/>
  <c r="DH62" i="1"/>
  <c r="DD62" i="1"/>
  <c r="CW62" i="1"/>
  <c r="CP62" i="1"/>
  <c r="CL62" i="1"/>
  <c r="CG62" i="1"/>
  <c r="CB62" i="1"/>
  <c r="BW62" i="1"/>
  <c r="BV62" i="1"/>
  <c r="BQ62" i="1"/>
  <c r="BP62" i="1"/>
  <c r="BO62" i="1"/>
  <c r="BJ62" i="1"/>
  <c r="BI62" i="1"/>
  <c r="BH62" i="1"/>
  <c r="BC62" i="1"/>
  <c r="BB62" i="1"/>
  <c r="BA62" i="1"/>
  <c r="AV62" i="1"/>
  <c r="AU62" i="1"/>
  <c r="AT62" i="1"/>
  <c r="AO62" i="1"/>
  <c r="AN62" i="1"/>
  <c r="AC62" i="1"/>
  <c r="Y62" i="1"/>
  <c r="S62" i="1"/>
  <c r="K62" i="1"/>
  <c r="J62" i="1"/>
  <c r="C62" i="1"/>
  <c r="EV61" i="1"/>
  <c r="EU61" i="1"/>
  <c r="ET61" i="1"/>
  <c r="EC61" i="1"/>
  <c r="DQ61" i="1"/>
  <c r="DK61" i="1"/>
  <c r="DH61" i="1"/>
  <c r="DD61" i="1"/>
  <c r="CW61" i="1"/>
  <c r="CP61" i="1"/>
  <c r="CL61" i="1"/>
  <c r="CG61" i="1"/>
  <c r="CB61" i="1"/>
  <c r="BW61" i="1"/>
  <c r="BV61" i="1"/>
  <c r="BQ61" i="1"/>
  <c r="BP61" i="1"/>
  <c r="BO61" i="1"/>
  <c r="BJ61" i="1"/>
  <c r="BI61" i="1"/>
  <c r="BH61" i="1"/>
  <c r="BC61" i="1"/>
  <c r="BB61" i="1"/>
  <c r="BA61" i="1"/>
  <c r="AV61" i="1"/>
  <c r="AU61" i="1"/>
  <c r="AT61" i="1"/>
  <c r="AO61" i="1"/>
  <c r="AN61" i="1"/>
  <c r="AC61" i="1"/>
  <c r="Y61" i="1"/>
  <c r="S61" i="1"/>
  <c r="K61" i="1"/>
  <c r="J61" i="1"/>
  <c r="C61" i="1"/>
  <c r="EV60" i="1"/>
  <c r="EU60" i="1"/>
  <c r="ET60" i="1"/>
  <c r="EG60" i="1"/>
  <c r="EC60" i="1"/>
  <c r="DQ60" i="1"/>
  <c r="DK60" i="1"/>
  <c r="DH60" i="1"/>
  <c r="DD60" i="1"/>
  <c r="CW60" i="1"/>
  <c r="CP60" i="1"/>
  <c r="CL60" i="1"/>
  <c r="CG60" i="1"/>
  <c r="CB60" i="1"/>
  <c r="BW60" i="1"/>
  <c r="BV60" i="1"/>
  <c r="BQ60" i="1"/>
  <c r="BP60" i="1"/>
  <c r="BO60" i="1"/>
  <c r="BJ60" i="1"/>
  <c r="BI60" i="1"/>
  <c r="BH60" i="1"/>
  <c r="BC60" i="1"/>
  <c r="BB60" i="1"/>
  <c r="BA60" i="1"/>
  <c r="AV60" i="1"/>
  <c r="AU60" i="1"/>
  <c r="AT60" i="1"/>
  <c r="AO60" i="1"/>
  <c r="AN60" i="1"/>
  <c r="AC60" i="1"/>
  <c r="AB60" i="1"/>
  <c r="Y60" i="1"/>
  <c r="S60" i="1"/>
  <c r="K60" i="1"/>
  <c r="J60" i="1"/>
  <c r="C60" i="1"/>
  <c r="EV59" i="1"/>
  <c r="EU59" i="1"/>
  <c r="ET59" i="1"/>
  <c r="EG59" i="1"/>
  <c r="EC59" i="1"/>
  <c r="DQ59" i="1"/>
  <c r="DK59" i="1"/>
  <c r="DH59" i="1"/>
  <c r="DD59" i="1"/>
  <c r="CW59" i="1"/>
  <c r="CP59" i="1"/>
  <c r="CL59" i="1"/>
  <c r="CG59" i="1"/>
  <c r="CB59" i="1"/>
  <c r="BW59" i="1"/>
  <c r="BV59" i="1"/>
  <c r="BQ59" i="1"/>
  <c r="BP59" i="1"/>
  <c r="BO59" i="1"/>
  <c r="BJ59" i="1"/>
  <c r="BI59" i="1"/>
  <c r="BH59" i="1"/>
  <c r="BC59" i="1"/>
  <c r="BB59" i="1"/>
  <c r="BA59" i="1"/>
  <c r="AV59" i="1"/>
  <c r="AU59" i="1"/>
  <c r="AT59" i="1"/>
  <c r="AO59" i="1"/>
  <c r="AN59" i="1"/>
  <c r="AC59" i="1"/>
  <c r="AB59" i="1"/>
  <c r="Y59" i="1"/>
  <c r="S59" i="1"/>
  <c r="K59" i="1"/>
  <c r="J59" i="1"/>
  <c r="C59" i="1"/>
  <c r="EV58" i="1"/>
  <c r="EU58" i="1"/>
  <c r="ET58" i="1"/>
  <c r="EG58" i="1"/>
  <c r="EC58" i="1"/>
  <c r="DQ58" i="1"/>
  <c r="DK58" i="1"/>
  <c r="DH58" i="1"/>
  <c r="DD58" i="1"/>
  <c r="CW58" i="1"/>
  <c r="CP58" i="1"/>
  <c r="CL58" i="1"/>
  <c r="CG58" i="1"/>
  <c r="CB58" i="1"/>
  <c r="BW58" i="1"/>
  <c r="BV58" i="1"/>
  <c r="BQ58" i="1"/>
  <c r="BP58" i="1"/>
  <c r="BO58" i="1"/>
  <c r="BJ58" i="1"/>
  <c r="BI58" i="1"/>
  <c r="BH58" i="1"/>
  <c r="BC58" i="1"/>
  <c r="BB58" i="1"/>
  <c r="BA58" i="1"/>
  <c r="AV58" i="1"/>
  <c r="AU58" i="1"/>
  <c r="AT58" i="1"/>
  <c r="AO58" i="1"/>
  <c r="AN58" i="1"/>
  <c r="AC58" i="1"/>
  <c r="AB58" i="1"/>
  <c r="Y58" i="1"/>
  <c r="S58" i="1"/>
  <c r="K58" i="1"/>
  <c r="J58" i="1"/>
  <c r="C58" i="1"/>
  <c r="EV57" i="1"/>
  <c r="EU57" i="1"/>
  <c r="ET57" i="1"/>
  <c r="EC57" i="1"/>
  <c r="DQ57" i="1"/>
  <c r="DK57" i="1"/>
  <c r="DH57" i="1"/>
  <c r="DD57" i="1"/>
  <c r="CW57" i="1"/>
  <c r="CP57" i="1"/>
  <c r="CL57" i="1"/>
  <c r="CG57" i="1"/>
  <c r="CB57" i="1"/>
  <c r="BW57" i="1"/>
  <c r="BV57" i="1"/>
  <c r="BQ57" i="1"/>
  <c r="BP57" i="1"/>
  <c r="BO57" i="1"/>
  <c r="BJ57" i="1"/>
  <c r="BI57" i="1"/>
  <c r="BH57" i="1"/>
  <c r="BC57" i="1"/>
  <c r="BB57" i="1"/>
  <c r="BA57" i="1"/>
  <c r="AV57" i="1"/>
  <c r="AU57" i="1"/>
  <c r="AT57" i="1"/>
  <c r="AO57" i="1"/>
  <c r="AN57" i="1"/>
  <c r="AC57" i="1"/>
  <c r="Y57" i="1"/>
  <c r="S57" i="1"/>
  <c r="K57" i="1"/>
  <c r="J57" i="1"/>
  <c r="C57" i="1"/>
  <c r="EV56" i="1"/>
  <c r="EU56" i="1"/>
  <c r="ET56" i="1"/>
  <c r="EC56" i="1"/>
  <c r="DQ56" i="1"/>
  <c r="DK56" i="1"/>
  <c r="DH56" i="1"/>
  <c r="DD56" i="1"/>
  <c r="CW56" i="1"/>
  <c r="CP56" i="1"/>
  <c r="CL56" i="1"/>
  <c r="CG56" i="1"/>
  <c r="CB56" i="1"/>
  <c r="BW56" i="1"/>
  <c r="BV56" i="1"/>
  <c r="BQ56" i="1"/>
  <c r="BP56" i="1"/>
  <c r="BO56" i="1"/>
  <c r="BJ56" i="1"/>
  <c r="BI56" i="1"/>
  <c r="BH56" i="1"/>
  <c r="BC56" i="1"/>
  <c r="BB56" i="1"/>
  <c r="BA56" i="1"/>
  <c r="AV56" i="1"/>
  <c r="AU56" i="1"/>
  <c r="AT56" i="1"/>
  <c r="AO56" i="1"/>
  <c r="AN56" i="1"/>
  <c r="AC56" i="1"/>
  <c r="Y56" i="1"/>
  <c r="S56" i="1"/>
  <c r="K56" i="1"/>
  <c r="J56" i="1"/>
  <c r="C56" i="1"/>
  <c r="EV55" i="1"/>
  <c r="EU55" i="1"/>
  <c r="ET55" i="1"/>
  <c r="EG55" i="1"/>
  <c r="EC55" i="1"/>
  <c r="DQ55" i="1"/>
  <c r="DK55" i="1"/>
  <c r="DH55" i="1"/>
  <c r="DD55" i="1"/>
  <c r="CW55" i="1"/>
  <c r="CP55" i="1"/>
  <c r="CL55" i="1"/>
  <c r="CG55" i="1"/>
  <c r="CB55" i="1"/>
  <c r="BW55" i="1"/>
  <c r="BV55" i="1"/>
  <c r="BQ55" i="1"/>
  <c r="BP55" i="1"/>
  <c r="BO55" i="1"/>
  <c r="BJ55" i="1"/>
  <c r="BI55" i="1"/>
  <c r="BH55" i="1"/>
  <c r="BC55" i="1"/>
  <c r="BB55" i="1"/>
  <c r="BA55" i="1"/>
  <c r="AV55" i="1"/>
  <c r="AU55" i="1"/>
  <c r="AT55" i="1"/>
  <c r="AO55" i="1"/>
  <c r="AN55" i="1"/>
  <c r="AC55" i="1"/>
  <c r="AB55" i="1"/>
  <c r="Y55" i="1"/>
  <c r="S55" i="1"/>
  <c r="K55" i="1"/>
  <c r="J55" i="1"/>
  <c r="C55" i="1"/>
  <c r="EV54" i="1"/>
  <c r="EU54" i="1"/>
  <c r="ET54" i="1"/>
  <c r="EG54" i="1"/>
  <c r="EC54" i="1"/>
  <c r="DQ54" i="1"/>
  <c r="DK54" i="1"/>
  <c r="DH54" i="1"/>
  <c r="DD54" i="1"/>
  <c r="CW54" i="1"/>
  <c r="CP54" i="1"/>
  <c r="CL54" i="1"/>
  <c r="CG54" i="1"/>
  <c r="CB54" i="1"/>
  <c r="BW54" i="1"/>
  <c r="BV54" i="1"/>
  <c r="BQ54" i="1"/>
  <c r="BP54" i="1"/>
  <c r="BO54" i="1"/>
  <c r="BJ54" i="1"/>
  <c r="BI54" i="1"/>
  <c r="BH54" i="1"/>
  <c r="BC54" i="1"/>
  <c r="BB54" i="1"/>
  <c r="BA54" i="1"/>
  <c r="AV54" i="1"/>
  <c r="AU54" i="1"/>
  <c r="AT54" i="1"/>
  <c r="AO54" i="1"/>
  <c r="AN54" i="1"/>
  <c r="AC54" i="1"/>
  <c r="AB54" i="1"/>
  <c r="Y54" i="1"/>
  <c r="S54" i="1"/>
  <c r="K54" i="1"/>
  <c r="J54" i="1"/>
  <c r="C54" i="1"/>
  <c r="EV53" i="1"/>
  <c r="EU53" i="1"/>
  <c r="ET53" i="1"/>
  <c r="EG53" i="1"/>
  <c r="EC53" i="1"/>
  <c r="DQ53" i="1"/>
  <c r="DK53" i="1"/>
  <c r="DH53" i="1"/>
  <c r="DD53" i="1"/>
  <c r="CW53" i="1"/>
  <c r="CP53" i="1"/>
  <c r="CL53" i="1"/>
  <c r="CG53" i="1"/>
  <c r="CB53" i="1"/>
  <c r="BW53" i="1"/>
  <c r="BV53" i="1"/>
  <c r="BQ53" i="1"/>
  <c r="BP53" i="1"/>
  <c r="BO53" i="1"/>
  <c r="BJ53" i="1"/>
  <c r="BI53" i="1"/>
  <c r="BH53" i="1"/>
  <c r="BC53" i="1"/>
  <c r="BB53" i="1"/>
  <c r="BA53" i="1"/>
  <c r="AV53" i="1"/>
  <c r="AU53" i="1"/>
  <c r="AT53" i="1"/>
  <c r="AO53" i="1"/>
  <c r="AN53" i="1"/>
  <c r="AC53" i="1"/>
  <c r="AB53" i="1"/>
  <c r="Y53" i="1"/>
  <c r="S53" i="1"/>
  <c r="K53" i="1"/>
  <c r="J53" i="1"/>
  <c r="C53" i="1"/>
  <c r="EV52" i="1"/>
  <c r="EU52" i="1"/>
  <c r="ET52" i="1"/>
  <c r="EC52" i="1"/>
  <c r="DQ52" i="1"/>
  <c r="DK52" i="1"/>
  <c r="DH52" i="1"/>
  <c r="DD52" i="1"/>
  <c r="CW52" i="1"/>
  <c r="CP52" i="1"/>
  <c r="CL52" i="1"/>
  <c r="CG52" i="1"/>
  <c r="CB52" i="1"/>
  <c r="BW52" i="1"/>
  <c r="BV52" i="1"/>
  <c r="BQ52" i="1"/>
  <c r="BP52" i="1"/>
  <c r="BO52" i="1"/>
  <c r="BJ52" i="1"/>
  <c r="BI52" i="1"/>
  <c r="BH52" i="1"/>
  <c r="BC52" i="1"/>
  <c r="BB52" i="1"/>
  <c r="BA52" i="1"/>
  <c r="AV52" i="1"/>
  <c r="AU52" i="1"/>
  <c r="AT52" i="1"/>
  <c r="AO52" i="1"/>
  <c r="AN52" i="1"/>
  <c r="AC52" i="1"/>
  <c r="Y52" i="1"/>
  <c r="S52" i="1"/>
  <c r="K52" i="1"/>
  <c r="J52" i="1"/>
  <c r="C52" i="1"/>
  <c r="EV51" i="1"/>
  <c r="EU51" i="1"/>
  <c r="ET51" i="1"/>
  <c r="EC51" i="1"/>
  <c r="DQ51" i="1"/>
  <c r="DK51" i="1"/>
  <c r="DH51" i="1"/>
  <c r="DD51" i="1"/>
  <c r="CW51" i="1"/>
  <c r="CP51" i="1"/>
  <c r="CL51" i="1"/>
  <c r="CG51" i="1"/>
  <c r="CB51" i="1"/>
  <c r="BW51" i="1"/>
  <c r="BV51" i="1"/>
  <c r="BQ51" i="1"/>
  <c r="BP51" i="1"/>
  <c r="BO51" i="1"/>
  <c r="BJ51" i="1"/>
  <c r="BI51" i="1"/>
  <c r="BH51" i="1"/>
  <c r="BC51" i="1"/>
  <c r="BB51" i="1"/>
  <c r="BA51" i="1"/>
  <c r="AV51" i="1"/>
  <c r="AU51" i="1"/>
  <c r="AT51" i="1"/>
  <c r="AO51" i="1"/>
  <c r="AN51" i="1"/>
  <c r="AC51" i="1"/>
  <c r="Y51" i="1"/>
  <c r="S51" i="1"/>
  <c r="K51" i="1"/>
  <c r="J51" i="1"/>
  <c r="C51" i="1"/>
  <c r="EV50" i="1"/>
  <c r="EU50" i="1"/>
  <c r="ET50" i="1"/>
  <c r="EC50" i="1"/>
  <c r="DQ50" i="1"/>
  <c r="DK50" i="1"/>
  <c r="DH50" i="1"/>
  <c r="DD50" i="1"/>
  <c r="CW50" i="1"/>
  <c r="CP50" i="1"/>
  <c r="CL50" i="1"/>
  <c r="CG50" i="1"/>
  <c r="CB50" i="1"/>
  <c r="BW50" i="1"/>
  <c r="BV50" i="1"/>
  <c r="BQ50" i="1"/>
  <c r="BP50" i="1"/>
  <c r="BO50" i="1"/>
  <c r="BJ50" i="1"/>
  <c r="BI50" i="1"/>
  <c r="BH50" i="1"/>
  <c r="BC50" i="1"/>
  <c r="BB50" i="1"/>
  <c r="BA50" i="1"/>
  <c r="AV50" i="1"/>
  <c r="AU50" i="1"/>
  <c r="AT50" i="1"/>
  <c r="AO50" i="1"/>
  <c r="AN50" i="1"/>
  <c r="AC50" i="1"/>
  <c r="Y50" i="1"/>
  <c r="S50" i="1"/>
  <c r="K50" i="1"/>
  <c r="J50" i="1"/>
  <c r="C50" i="1"/>
  <c r="EV49" i="1"/>
  <c r="EU49" i="1"/>
  <c r="ET49" i="1"/>
  <c r="EG49" i="1"/>
  <c r="EC49" i="1"/>
  <c r="DQ49" i="1"/>
  <c r="DK49" i="1"/>
  <c r="DH49" i="1"/>
  <c r="DD49" i="1"/>
  <c r="CW49" i="1"/>
  <c r="CP49" i="1"/>
  <c r="CL49" i="1"/>
  <c r="CG49" i="1"/>
  <c r="CB49" i="1"/>
  <c r="BW49" i="1"/>
  <c r="BV49" i="1"/>
  <c r="BQ49" i="1"/>
  <c r="BP49" i="1"/>
  <c r="BO49" i="1"/>
  <c r="BJ49" i="1"/>
  <c r="BI49" i="1"/>
  <c r="BH49" i="1"/>
  <c r="BC49" i="1"/>
  <c r="BB49" i="1"/>
  <c r="BA49" i="1"/>
  <c r="AV49" i="1"/>
  <c r="AU49" i="1"/>
  <c r="AT49" i="1"/>
  <c r="AO49" i="1"/>
  <c r="AN49" i="1"/>
  <c r="AC49" i="1"/>
  <c r="AB49" i="1"/>
  <c r="K49" i="1"/>
  <c r="J49" i="1"/>
  <c r="C49" i="1"/>
  <c r="EV48" i="1"/>
  <c r="EU48" i="1"/>
  <c r="ET48" i="1"/>
  <c r="EC48" i="1"/>
  <c r="DQ48" i="1"/>
  <c r="DK48" i="1"/>
  <c r="DH48" i="1"/>
  <c r="DD48" i="1"/>
  <c r="CW48" i="1"/>
  <c r="CP48" i="1"/>
  <c r="CL48" i="1"/>
  <c r="CG48" i="1"/>
  <c r="CB48" i="1"/>
  <c r="BW48" i="1"/>
  <c r="BV48" i="1"/>
  <c r="BQ48" i="1"/>
  <c r="BP48" i="1"/>
  <c r="BO48" i="1"/>
  <c r="BJ48" i="1"/>
  <c r="BI48" i="1"/>
  <c r="BH48" i="1"/>
  <c r="BC48" i="1"/>
  <c r="BB48" i="1"/>
  <c r="BA48" i="1"/>
  <c r="AV48" i="1"/>
  <c r="AU48" i="1"/>
  <c r="AT48" i="1"/>
  <c r="AO48" i="1"/>
  <c r="AN48" i="1"/>
  <c r="AC48" i="1"/>
  <c r="Y48" i="1"/>
  <c r="S48" i="1"/>
  <c r="K48" i="1"/>
  <c r="J48" i="1"/>
  <c r="C48" i="1"/>
  <c r="EV47" i="1"/>
  <c r="EU47" i="1"/>
  <c r="ET47" i="1"/>
  <c r="EC47" i="1"/>
  <c r="DQ47" i="1"/>
  <c r="DK47" i="1"/>
  <c r="DH47" i="1"/>
  <c r="DD47" i="1"/>
  <c r="CW47" i="1"/>
  <c r="CP47" i="1"/>
  <c r="CL47" i="1"/>
  <c r="CG47" i="1"/>
  <c r="CB47" i="1"/>
  <c r="BW47" i="1"/>
  <c r="BV47" i="1"/>
  <c r="BQ47" i="1"/>
  <c r="BP47" i="1"/>
  <c r="BO47" i="1"/>
  <c r="BJ47" i="1"/>
  <c r="BI47" i="1"/>
  <c r="BH47" i="1"/>
  <c r="BC47" i="1"/>
  <c r="BB47" i="1"/>
  <c r="BA47" i="1"/>
  <c r="AV47" i="1"/>
  <c r="AU47" i="1"/>
  <c r="AT47" i="1"/>
  <c r="AO47" i="1"/>
  <c r="AN47" i="1"/>
  <c r="AC47" i="1"/>
  <c r="Y47" i="1"/>
  <c r="S47" i="1"/>
  <c r="K47" i="1"/>
  <c r="J47" i="1"/>
  <c r="C47" i="1"/>
  <c r="EV46" i="1"/>
  <c r="EU46" i="1"/>
  <c r="ET46" i="1"/>
  <c r="EG46" i="1"/>
  <c r="EC46" i="1"/>
  <c r="DQ46" i="1"/>
  <c r="DK46" i="1"/>
  <c r="DH46" i="1"/>
  <c r="DD46" i="1"/>
  <c r="CW46" i="1"/>
  <c r="CP46" i="1"/>
  <c r="CL46" i="1"/>
  <c r="CG46" i="1"/>
  <c r="CB46" i="1"/>
  <c r="BW46" i="1"/>
  <c r="BV46" i="1"/>
  <c r="BQ46" i="1"/>
  <c r="BP46" i="1"/>
  <c r="BO46" i="1"/>
  <c r="BJ46" i="1"/>
  <c r="BI46" i="1"/>
  <c r="BH46" i="1"/>
  <c r="BC46" i="1"/>
  <c r="BB46" i="1"/>
  <c r="BA46" i="1"/>
  <c r="AV46" i="1"/>
  <c r="AU46" i="1"/>
  <c r="AT46" i="1"/>
  <c r="AO46" i="1"/>
  <c r="AN46" i="1"/>
  <c r="AC46" i="1"/>
  <c r="AB46" i="1"/>
  <c r="Y46" i="1"/>
  <c r="S46" i="1"/>
  <c r="K46" i="1"/>
  <c r="J46" i="1"/>
  <c r="C46" i="1"/>
  <c r="EV45" i="1"/>
  <c r="EU45" i="1"/>
  <c r="ET45" i="1"/>
  <c r="EC45" i="1"/>
  <c r="DQ45" i="1"/>
  <c r="DK45" i="1"/>
  <c r="DH45" i="1"/>
  <c r="DD45" i="1"/>
  <c r="CW45" i="1"/>
  <c r="CP45" i="1"/>
  <c r="CL45" i="1"/>
  <c r="CG45" i="1"/>
  <c r="CB45" i="1"/>
  <c r="BW45" i="1"/>
  <c r="BV45" i="1"/>
  <c r="BQ45" i="1"/>
  <c r="BP45" i="1"/>
  <c r="BO45" i="1"/>
  <c r="BJ45" i="1"/>
  <c r="BI45" i="1"/>
  <c r="BH45" i="1"/>
  <c r="BC45" i="1"/>
  <c r="BB45" i="1"/>
  <c r="BA45" i="1"/>
  <c r="AV45" i="1"/>
  <c r="AU45" i="1"/>
  <c r="AT45" i="1"/>
  <c r="AO45" i="1"/>
  <c r="AN45" i="1"/>
  <c r="AC45" i="1"/>
  <c r="Y45" i="1"/>
  <c r="S45" i="1"/>
  <c r="K45" i="1"/>
  <c r="J45" i="1"/>
  <c r="C45" i="1"/>
  <c r="EV44" i="1"/>
  <c r="EU44" i="1"/>
  <c r="ET44" i="1"/>
  <c r="EC44" i="1"/>
  <c r="DQ44" i="1"/>
  <c r="DK44" i="1"/>
  <c r="DH44" i="1"/>
  <c r="DD44" i="1"/>
  <c r="CW44" i="1"/>
  <c r="CP44" i="1"/>
  <c r="CL44" i="1"/>
  <c r="CG44" i="1"/>
  <c r="CB44" i="1"/>
  <c r="BW44" i="1"/>
  <c r="BV44" i="1"/>
  <c r="BQ44" i="1"/>
  <c r="BP44" i="1"/>
  <c r="BO44" i="1"/>
  <c r="BJ44" i="1"/>
  <c r="BI44" i="1"/>
  <c r="BH44" i="1"/>
  <c r="BC44" i="1"/>
  <c r="BB44" i="1"/>
  <c r="BA44" i="1"/>
  <c r="AV44" i="1"/>
  <c r="AU44" i="1"/>
  <c r="AT44" i="1"/>
  <c r="AO44" i="1"/>
  <c r="AN44" i="1"/>
  <c r="AC44" i="1"/>
  <c r="Y44" i="1"/>
  <c r="S44" i="1"/>
  <c r="K44" i="1"/>
  <c r="J44" i="1"/>
  <c r="C44" i="1"/>
  <c r="EV43" i="1"/>
  <c r="EU43" i="1"/>
  <c r="ET43" i="1"/>
  <c r="EG43" i="1"/>
  <c r="EC43" i="1"/>
  <c r="DQ43" i="1"/>
  <c r="DK43" i="1"/>
  <c r="DH43" i="1"/>
  <c r="DD43" i="1"/>
  <c r="CW43" i="1"/>
  <c r="CP43" i="1"/>
  <c r="CL43" i="1"/>
  <c r="CG43" i="1"/>
  <c r="CB43" i="1"/>
  <c r="BW43" i="1"/>
  <c r="BV43" i="1"/>
  <c r="BQ43" i="1"/>
  <c r="BP43" i="1"/>
  <c r="BO43" i="1"/>
  <c r="BJ43" i="1"/>
  <c r="BI43" i="1"/>
  <c r="BH43" i="1"/>
  <c r="BC43" i="1"/>
  <c r="BB43" i="1"/>
  <c r="BA43" i="1"/>
  <c r="AV43" i="1"/>
  <c r="AU43" i="1"/>
  <c r="AT43" i="1"/>
  <c r="AO43" i="1"/>
  <c r="AN43" i="1"/>
  <c r="AC43" i="1"/>
  <c r="AB43" i="1"/>
  <c r="Y43" i="1"/>
  <c r="K43" i="1"/>
  <c r="J43" i="1"/>
  <c r="C43" i="1"/>
  <c r="EV42" i="1"/>
  <c r="EU42" i="1"/>
  <c r="ET42" i="1"/>
  <c r="EC42" i="1"/>
  <c r="DQ42" i="1"/>
  <c r="DK42" i="1"/>
  <c r="DH42" i="1"/>
  <c r="DD42" i="1"/>
  <c r="CW42" i="1"/>
  <c r="CP42" i="1"/>
  <c r="CL42" i="1"/>
  <c r="CG42" i="1"/>
  <c r="CB42" i="1"/>
  <c r="BW42" i="1"/>
  <c r="BV42" i="1"/>
  <c r="BQ42" i="1"/>
  <c r="BP42" i="1"/>
  <c r="BO42" i="1"/>
  <c r="BJ42" i="1"/>
  <c r="BI42" i="1"/>
  <c r="BH42" i="1"/>
  <c r="BC42" i="1"/>
  <c r="BB42" i="1"/>
  <c r="BA42" i="1"/>
  <c r="AV42" i="1"/>
  <c r="AU42" i="1"/>
  <c r="AT42" i="1"/>
  <c r="AO42" i="1"/>
  <c r="AN42" i="1"/>
  <c r="AC42" i="1"/>
  <c r="Y42" i="1"/>
  <c r="S42" i="1"/>
  <c r="K42" i="1"/>
  <c r="J42" i="1"/>
  <c r="C42" i="1"/>
  <c r="EV41" i="1"/>
  <c r="EU41" i="1"/>
  <c r="ET41" i="1"/>
  <c r="EC41" i="1"/>
  <c r="DQ41" i="1"/>
  <c r="DK41" i="1"/>
  <c r="DH41" i="1"/>
  <c r="DD41" i="1"/>
  <c r="CW41" i="1"/>
  <c r="CP41" i="1"/>
  <c r="CL41" i="1"/>
  <c r="CG41" i="1"/>
  <c r="CB41" i="1"/>
  <c r="BW41" i="1"/>
  <c r="BV41" i="1"/>
  <c r="BQ41" i="1"/>
  <c r="BP41" i="1"/>
  <c r="BO41" i="1"/>
  <c r="BJ41" i="1"/>
  <c r="BI41" i="1"/>
  <c r="BH41" i="1"/>
  <c r="BC41" i="1"/>
  <c r="BB41" i="1"/>
  <c r="BA41" i="1"/>
  <c r="AV41" i="1"/>
  <c r="AU41" i="1"/>
  <c r="AT41" i="1"/>
  <c r="AO41" i="1"/>
  <c r="AN41" i="1"/>
  <c r="AC41" i="1"/>
  <c r="Y41" i="1"/>
  <c r="S41" i="1"/>
  <c r="K41" i="1"/>
  <c r="J41" i="1"/>
  <c r="C41" i="1"/>
  <c r="EV40" i="1"/>
  <c r="EU40" i="1"/>
  <c r="ET40" i="1"/>
  <c r="EC40" i="1"/>
  <c r="DQ40" i="1"/>
  <c r="DK40" i="1"/>
  <c r="DH40" i="1"/>
  <c r="DD40" i="1"/>
  <c r="CW40" i="1"/>
  <c r="CP40" i="1"/>
  <c r="CL40" i="1"/>
  <c r="CG40" i="1"/>
  <c r="CB40" i="1"/>
  <c r="BW40" i="1"/>
  <c r="BV40" i="1"/>
  <c r="BQ40" i="1"/>
  <c r="BP40" i="1"/>
  <c r="BO40" i="1"/>
  <c r="BJ40" i="1"/>
  <c r="BI40" i="1"/>
  <c r="BH40" i="1"/>
  <c r="BC40" i="1"/>
  <c r="BB40" i="1"/>
  <c r="BA40" i="1"/>
  <c r="AV40" i="1"/>
  <c r="AU40" i="1"/>
  <c r="AT40" i="1"/>
  <c r="AO40" i="1"/>
  <c r="AN40" i="1"/>
  <c r="AC40" i="1"/>
  <c r="Y40" i="1"/>
  <c r="S40" i="1"/>
  <c r="K40" i="1"/>
  <c r="J40" i="1"/>
  <c r="C40" i="1"/>
  <c r="EV39" i="1"/>
  <c r="EU39" i="1"/>
  <c r="ET39" i="1"/>
  <c r="EG39" i="1"/>
  <c r="EC39" i="1"/>
  <c r="DQ39" i="1"/>
  <c r="DK39" i="1"/>
  <c r="DH39" i="1"/>
  <c r="DD39" i="1"/>
  <c r="CW39" i="1"/>
  <c r="CP39" i="1"/>
  <c r="CL39" i="1"/>
  <c r="CG39" i="1"/>
  <c r="CB39" i="1"/>
  <c r="BW39" i="1"/>
  <c r="BV39" i="1"/>
  <c r="BQ39" i="1"/>
  <c r="BP39" i="1"/>
  <c r="BO39" i="1"/>
  <c r="BJ39" i="1"/>
  <c r="BI39" i="1"/>
  <c r="BH39" i="1"/>
  <c r="BC39" i="1"/>
  <c r="BB39" i="1"/>
  <c r="BA39" i="1"/>
  <c r="AV39" i="1"/>
  <c r="AU39" i="1"/>
  <c r="AT39" i="1"/>
  <c r="AO39" i="1"/>
  <c r="AN39" i="1"/>
  <c r="AC39" i="1"/>
  <c r="AB39" i="1"/>
  <c r="Y39" i="1"/>
  <c r="S39" i="1"/>
  <c r="K39" i="1"/>
  <c r="J39" i="1"/>
  <c r="C39" i="1"/>
  <c r="EV38" i="1"/>
  <c r="EU38" i="1"/>
  <c r="ET38" i="1"/>
  <c r="EG38" i="1"/>
  <c r="EC38" i="1"/>
  <c r="DQ38" i="1"/>
  <c r="DK38" i="1"/>
  <c r="DH38" i="1"/>
  <c r="DD38" i="1"/>
  <c r="CW38" i="1"/>
  <c r="CP38" i="1"/>
  <c r="CL38" i="1"/>
  <c r="CG38" i="1"/>
  <c r="CB38" i="1"/>
  <c r="BW38" i="1"/>
  <c r="BV38" i="1"/>
  <c r="BQ38" i="1"/>
  <c r="BP38" i="1"/>
  <c r="BO38" i="1"/>
  <c r="BJ38" i="1"/>
  <c r="BI38" i="1"/>
  <c r="BH38" i="1"/>
  <c r="BC38" i="1"/>
  <c r="BB38" i="1"/>
  <c r="BA38" i="1"/>
  <c r="AV38" i="1"/>
  <c r="AU38" i="1"/>
  <c r="AT38" i="1"/>
  <c r="AO38" i="1"/>
  <c r="AN38" i="1"/>
  <c r="AC38" i="1"/>
  <c r="AB38" i="1"/>
  <c r="Y38" i="1"/>
  <c r="S38" i="1"/>
  <c r="K38" i="1"/>
  <c r="J38" i="1"/>
  <c r="C38" i="1"/>
  <c r="C37" i="1"/>
  <c r="EV36" i="1"/>
  <c r="EU36" i="1"/>
  <c r="ET36" i="1"/>
  <c r="EC36" i="1"/>
  <c r="DQ36" i="1"/>
  <c r="DK36" i="1"/>
  <c r="DH36" i="1"/>
  <c r="DD36" i="1"/>
  <c r="CW36" i="1"/>
  <c r="CP36" i="1"/>
  <c r="CL36" i="1"/>
  <c r="CG36" i="1"/>
  <c r="CB36" i="1"/>
  <c r="BW36" i="1"/>
  <c r="BV36" i="1"/>
  <c r="BQ36" i="1"/>
  <c r="BP36" i="1"/>
  <c r="BO36" i="1"/>
  <c r="BJ36" i="1"/>
  <c r="BI36" i="1"/>
  <c r="BH36" i="1"/>
  <c r="BC36" i="1"/>
  <c r="BB36" i="1"/>
  <c r="BA36" i="1"/>
  <c r="AV36" i="1"/>
  <c r="AU36" i="1"/>
  <c r="AT36" i="1"/>
  <c r="AO36" i="1"/>
  <c r="AN36" i="1"/>
  <c r="AC36" i="1"/>
  <c r="Y36" i="1"/>
  <c r="S36" i="1"/>
  <c r="K36" i="1"/>
  <c r="J36" i="1"/>
  <c r="C36" i="1"/>
  <c r="EV35" i="1"/>
  <c r="EU35" i="1"/>
  <c r="ET35" i="1"/>
  <c r="EC35" i="1"/>
  <c r="DQ35" i="1"/>
  <c r="DK35" i="1"/>
  <c r="DH35" i="1"/>
  <c r="DD35" i="1"/>
  <c r="CW35" i="1"/>
  <c r="CP35" i="1"/>
  <c r="CL35" i="1"/>
  <c r="CG35" i="1"/>
  <c r="CB35" i="1"/>
  <c r="BW35" i="1"/>
  <c r="BV35" i="1"/>
  <c r="BQ35" i="1"/>
  <c r="BP35" i="1"/>
  <c r="BO35" i="1"/>
  <c r="BJ35" i="1"/>
  <c r="BI35" i="1"/>
  <c r="BH35" i="1"/>
  <c r="BC35" i="1"/>
  <c r="BB35" i="1"/>
  <c r="BA35" i="1"/>
  <c r="AV35" i="1"/>
  <c r="AU35" i="1"/>
  <c r="AT35" i="1"/>
  <c r="AO35" i="1"/>
  <c r="AN35" i="1"/>
  <c r="AC35" i="1"/>
  <c r="Y35" i="1"/>
  <c r="S35" i="1"/>
  <c r="K35" i="1"/>
  <c r="J35" i="1"/>
  <c r="C35" i="1"/>
  <c r="EV34" i="1"/>
  <c r="EU34" i="1"/>
  <c r="ET34" i="1"/>
  <c r="EC34" i="1"/>
  <c r="DQ34" i="1"/>
  <c r="DK34" i="1"/>
  <c r="DH34" i="1"/>
  <c r="DD34" i="1"/>
  <c r="CW34" i="1"/>
  <c r="CP34" i="1"/>
  <c r="CL34" i="1"/>
  <c r="CG34" i="1"/>
  <c r="CB34" i="1"/>
  <c r="BW34" i="1"/>
  <c r="BV34" i="1"/>
  <c r="BQ34" i="1"/>
  <c r="BP34" i="1"/>
  <c r="BO34" i="1"/>
  <c r="BJ34" i="1"/>
  <c r="BI34" i="1"/>
  <c r="BH34" i="1"/>
  <c r="BC34" i="1"/>
  <c r="BB34" i="1"/>
  <c r="BA34" i="1"/>
  <c r="AV34" i="1"/>
  <c r="AU34" i="1"/>
  <c r="AT34" i="1"/>
  <c r="AO34" i="1"/>
  <c r="AN34" i="1"/>
  <c r="AC34" i="1"/>
  <c r="Y34" i="1"/>
  <c r="S34" i="1"/>
  <c r="K34" i="1"/>
  <c r="J34" i="1"/>
  <c r="C34" i="1"/>
  <c r="C33" i="1"/>
  <c r="EV32" i="1"/>
  <c r="EU32" i="1"/>
  <c r="ET32" i="1"/>
  <c r="EC32" i="1"/>
  <c r="DY32" i="1"/>
  <c r="DQ32" i="1"/>
  <c r="DK32" i="1"/>
  <c r="DH32" i="1"/>
  <c r="DD32" i="1"/>
  <c r="CW32" i="1"/>
  <c r="CP32" i="1"/>
  <c r="CL32" i="1"/>
  <c r="CG32" i="1"/>
  <c r="CB32" i="1"/>
  <c r="BW32" i="1"/>
  <c r="BV32" i="1"/>
  <c r="BQ32" i="1"/>
  <c r="BP32" i="1"/>
  <c r="BO32" i="1"/>
  <c r="BJ32" i="1"/>
  <c r="BI32" i="1"/>
  <c r="BH32" i="1"/>
  <c r="BC32" i="1"/>
  <c r="BB32" i="1"/>
  <c r="BA32" i="1"/>
  <c r="AV32" i="1"/>
  <c r="AU32" i="1"/>
  <c r="AT32" i="1"/>
  <c r="AO32" i="1"/>
  <c r="AN32" i="1"/>
  <c r="AJ32" i="1"/>
  <c r="AC32" i="1"/>
  <c r="Y32" i="1"/>
  <c r="S32" i="1"/>
  <c r="K32" i="1"/>
  <c r="J32" i="1"/>
  <c r="C32" i="1"/>
  <c r="EV31" i="1"/>
  <c r="EU31" i="1"/>
  <c r="ET31" i="1"/>
  <c r="EG31" i="1"/>
  <c r="EC31" i="1"/>
  <c r="DQ31" i="1"/>
  <c r="DK31" i="1"/>
  <c r="DH31" i="1"/>
  <c r="DD31" i="1"/>
  <c r="CW31" i="1"/>
  <c r="CP31" i="1"/>
  <c r="CL31" i="1"/>
  <c r="CG31" i="1"/>
  <c r="CB31" i="1"/>
  <c r="BW31" i="1"/>
  <c r="BV31" i="1"/>
  <c r="BQ31" i="1"/>
  <c r="BP31" i="1"/>
  <c r="BO31" i="1"/>
  <c r="BJ31" i="1"/>
  <c r="BI31" i="1"/>
  <c r="BH31" i="1"/>
  <c r="BC31" i="1"/>
  <c r="BB31" i="1"/>
  <c r="BA31" i="1"/>
  <c r="AV31" i="1"/>
  <c r="AU31" i="1"/>
  <c r="AT31" i="1"/>
  <c r="AO31" i="1"/>
  <c r="AN31" i="1"/>
  <c r="AC31" i="1"/>
  <c r="AB31" i="1"/>
  <c r="Y31" i="1"/>
  <c r="S31" i="1"/>
  <c r="K31" i="1"/>
  <c r="J31" i="1"/>
  <c r="C31" i="1"/>
  <c r="EV30" i="1"/>
  <c r="EU30" i="1"/>
  <c r="ET30" i="1"/>
  <c r="EC30" i="1"/>
  <c r="DY30" i="1"/>
  <c r="DQ30" i="1"/>
  <c r="DK30" i="1"/>
  <c r="DH30" i="1"/>
  <c r="DD30" i="1"/>
  <c r="CW30" i="1"/>
  <c r="CP30" i="1"/>
  <c r="CL30" i="1"/>
  <c r="CG30" i="1"/>
  <c r="CB30" i="1"/>
  <c r="BW30" i="1"/>
  <c r="BV30" i="1"/>
  <c r="BQ30" i="1"/>
  <c r="BP30" i="1"/>
  <c r="BO30" i="1"/>
  <c r="BJ30" i="1"/>
  <c r="BI30" i="1"/>
  <c r="BH30" i="1"/>
  <c r="BC30" i="1"/>
  <c r="BB30" i="1"/>
  <c r="BA30" i="1"/>
  <c r="AV30" i="1"/>
  <c r="AU30" i="1"/>
  <c r="AT30" i="1"/>
  <c r="AO30" i="1"/>
  <c r="AN30" i="1"/>
  <c r="AJ30" i="1"/>
  <c r="AC30" i="1"/>
  <c r="Y30" i="1"/>
  <c r="S30" i="1"/>
  <c r="K30" i="1"/>
  <c r="J30" i="1"/>
  <c r="C30" i="1"/>
  <c r="EV29" i="1"/>
  <c r="EU29" i="1"/>
  <c r="ET29" i="1"/>
  <c r="EC29" i="1"/>
  <c r="DQ29" i="1"/>
  <c r="DK29" i="1"/>
  <c r="DH29" i="1"/>
  <c r="DD29" i="1"/>
  <c r="CW29" i="1"/>
  <c r="CP29" i="1"/>
  <c r="CL29" i="1"/>
  <c r="CG29" i="1"/>
  <c r="CB29" i="1"/>
  <c r="BW29" i="1"/>
  <c r="BV29" i="1"/>
  <c r="BQ29" i="1"/>
  <c r="BP29" i="1"/>
  <c r="BO29" i="1"/>
  <c r="BJ29" i="1"/>
  <c r="BI29" i="1"/>
  <c r="BH29" i="1"/>
  <c r="BC29" i="1"/>
  <c r="BB29" i="1"/>
  <c r="BA29" i="1"/>
  <c r="AV29" i="1"/>
  <c r="AU29" i="1"/>
  <c r="AT29" i="1"/>
  <c r="AO29" i="1"/>
  <c r="AN29" i="1"/>
  <c r="AC29" i="1"/>
  <c r="Y29" i="1"/>
  <c r="S29" i="1"/>
  <c r="K29" i="1"/>
  <c r="J29" i="1"/>
  <c r="C29" i="1"/>
  <c r="EV28" i="1"/>
  <c r="EU28" i="1"/>
  <c r="ET28" i="1"/>
  <c r="EC28" i="1"/>
  <c r="DQ28" i="1"/>
  <c r="DK28" i="1"/>
  <c r="DH28" i="1"/>
  <c r="DD28" i="1"/>
  <c r="CW28" i="1"/>
  <c r="CP28" i="1"/>
  <c r="CL28" i="1"/>
  <c r="CG28" i="1"/>
  <c r="CB28" i="1"/>
  <c r="BW28" i="1"/>
  <c r="BV28" i="1"/>
  <c r="BQ28" i="1"/>
  <c r="BP28" i="1"/>
  <c r="BO28" i="1"/>
  <c r="BJ28" i="1"/>
  <c r="BI28" i="1"/>
  <c r="BH28" i="1"/>
  <c r="BC28" i="1"/>
  <c r="BB28" i="1"/>
  <c r="BA28" i="1"/>
  <c r="AV28" i="1"/>
  <c r="AU28" i="1"/>
  <c r="AT28" i="1"/>
  <c r="AO28" i="1"/>
  <c r="AN28" i="1"/>
  <c r="AC28" i="1"/>
  <c r="Y28" i="1"/>
  <c r="S28" i="1"/>
  <c r="K28" i="1"/>
  <c r="J28" i="1"/>
  <c r="C28" i="1"/>
  <c r="EV27" i="1"/>
  <c r="EU27" i="1"/>
  <c r="ET27" i="1"/>
  <c r="EC27" i="1"/>
  <c r="DQ27" i="1"/>
  <c r="DK27" i="1"/>
  <c r="DH27" i="1"/>
  <c r="DD27" i="1"/>
  <c r="CW27" i="1"/>
  <c r="CP27" i="1"/>
  <c r="CL27" i="1"/>
  <c r="CG27" i="1"/>
  <c r="CB27" i="1"/>
  <c r="BW27" i="1"/>
  <c r="BV27" i="1"/>
  <c r="BQ27" i="1"/>
  <c r="BP27" i="1"/>
  <c r="BO27" i="1"/>
  <c r="BJ27" i="1"/>
  <c r="BI27" i="1"/>
  <c r="BH27" i="1"/>
  <c r="BC27" i="1"/>
  <c r="BB27" i="1"/>
  <c r="BA27" i="1"/>
  <c r="AV27" i="1"/>
  <c r="AU27" i="1"/>
  <c r="AT27" i="1"/>
  <c r="AO27" i="1"/>
  <c r="AN27" i="1"/>
  <c r="AC27" i="1"/>
  <c r="Y27" i="1"/>
  <c r="S27" i="1"/>
  <c r="K27" i="1"/>
  <c r="J27" i="1"/>
  <c r="C27" i="1"/>
  <c r="EV26" i="1"/>
  <c r="EU26" i="1"/>
  <c r="ET26" i="1"/>
  <c r="EC26" i="1"/>
  <c r="DQ26" i="1"/>
  <c r="DK26" i="1"/>
  <c r="DH26" i="1"/>
  <c r="DD26" i="1"/>
  <c r="CW26" i="1"/>
  <c r="CP26" i="1"/>
  <c r="CL26" i="1"/>
  <c r="CG26" i="1"/>
  <c r="CB26" i="1"/>
  <c r="BW26" i="1"/>
  <c r="BV26" i="1"/>
  <c r="BQ26" i="1"/>
  <c r="BP26" i="1"/>
  <c r="BO26" i="1"/>
  <c r="BJ26" i="1"/>
  <c r="BI26" i="1"/>
  <c r="BH26" i="1"/>
  <c r="BC26" i="1"/>
  <c r="BB26" i="1"/>
  <c r="BA26" i="1"/>
  <c r="AV26" i="1"/>
  <c r="AU26" i="1"/>
  <c r="AT26" i="1"/>
  <c r="AO26" i="1"/>
  <c r="AN26" i="1"/>
  <c r="AC26" i="1"/>
  <c r="Y26" i="1"/>
  <c r="S26" i="1"/>
  <c r="K26" i="1"/>
  <c r="J26" i="1"/>
  <c r="C26" i="1"/>
  <c r="EV25" i="1"/>
  <c r="EU25" i="1"/>
  <c r="ET25" i="1"/>
  <c r="EG25" i="1"/>
  <c r="EC25" i="1"/>
  <c r="DY25" i="1"/>
  <c r="DQ25" i="1"/>
  <c r="DK25" i="1"/>
  <c r="DH25" i="1"/>
  <c r="DD25" i="1"/>
  <c r="CW25" i="1"/>
  <c r="CP25" i="1"/>
  <c r="CL25" i="1"/>
  <c r="CG25" i="1"/>
  <c r="CB25" i="1"/>
  <c r="BW25" i="1"/>
  <c r="BV25" i="1"/>
  <c r="BQ25" i="1"/>
  <c r="BP25" i="1"/>
  <c r="BO25" i="1"/>
  <c r="BJ25" i="1"/>
  <c r="BI25" i="1"/>
  <c r="BH25" i="1"/>
  <c r="BC25" i="1"/>
  <c r="BB25" i="1"/>
  <c r="BA25" i="1"/>
  <c r="AV25" i="1"/>
  <c r="AU25" i="1"/>
  <c r="AT25" i="1"/>
  <c r="AO25" i="1"/>
  <c r="AN25" i="1"/>
  <c r="AJ25" i="1"/>
  <c r="AC25" i="1"/>
  <c r="AB25" i="1"/>
  <c r="Y25" i="1"/>
  <c r="S25" i="1"/>
  <c r="K25" i="1"/>
  <c r="J25" i="1"/>
  <c r="C25" i="1"/>
  <c r="EV24" i="1"/>
  <c r="EU24" i="1"/>
  <c r="ET24" i="1"/>
  <c r="EC24" i="1"/>
  <c r="DQ24" i="1"/>
  <c r="DK24" i="1"/>
  <c r="DH24" i="1"/>
  <c r="DD24" i="1"/>
  <c r="CW24" i="1"/>
  <c r="CP24" i="1"/>
  <c r="CL24" i="1"/>
  <c r="CG24" i="1"/>
  <c r="CB24" i="1"/>
  <c r="BW24" i="1"/>
  <c r="BV24" i="1"/>
  <c r="BQ24" i="1"/>
  <c r="BP24" i="1"/>
  <c r="BO24" i="1"/>
  <c r="BJ24" i="1"/>
  <c r="BI24" i="1"/>
  <c r="BH24" i="1"/>
  <c r="BC24" i="1"/>
  <c r="BB24" i="1"/>
  <c r="BA24" i="1"/>
  <c r="AV24" i="1"/>
  <c r="AU24" i="1"/>
  <c r="AT24" i="1"/>
  <c r="AO24" i="1"/>
  <c r="AN24" i="1"/>
  <c r="AC24" i="1"/>
  <c r="Y24" i="1"/>
  <c r="S24" i="1"/>
  <c r="K24" i="1"/>
  <c r="J24" i="1"/>
  <c r="C24" i="1"/>
  <c r="EV23" i="1"/>
  <c r="EU23" i="1"/>
  <c r="ET23" i="1"/>
  <c r="EC23" i="1"/>
  <c r="DY23" i="1"/>
  <c r="DQ23" i="1"/>
  <c r="DK23" i="1"/>
  <c r="DH23" i="1"/>
  <c r="DD23" i="1"/>
  <c r="CW23" i="1"/>
  <c r="CP23" i="1"/>
  <c r="CL23" i="1"/>
  <c r="CG23" i="1"/>
  <c r="CB23" i="1"/>
  <c r="BW23" i="1"/>
  <c r="BV23" i="1"/>
  <c r="BQ23" i="1"/>
  <c r="BP23" i="1"/>
  <c r="BO23" i="1"/>
  <c r="BJ23" i="1"/>
  <c r="BI23" i="1"/>
  <c r="BH23" i="1"/>
  <c r="BC23" i="1"/>
  <c r="BB23" i="1"/>
  <c r="BA23" i="1"/>
  <c r="AV23" i="1"/>
  <c r="AU23" i="1"/>
  <c r="AT23" i="1"/>
  <c r="AO23" i="1"/>
  <c r="AN23" i="1"/>
  <c r="AJ23" i="1"/>
  <c r="AC23" i="1"/>
  <c r="Y23" i="1"/>
  <c r="S23" i="1"/>
  <c r="K23" i="1"/>
  <c r="J23" i="1"/>
  <c r="C23" i="1"/>
  <c r="EV22" i="1"/>
  <c r="EU22" i="1"/>
  <c r="ET22" i="1"/>
  <c r="EC22" i="1"/>
  <c r="DQ22" i="1"/>
  <c r="DK22" i="1"/>
  <c r="DH22" i="1"/>
  <c r="DD22" i="1"/>
  <c r="CW22" i="1"/>
  <c r="CP22" i="1"/>
  <c r="CL22" i="1"/>
  <c r="CG22" i="1"/>
  <c r="CB22" i="1"/>
  <c r="BW22" i="1"/>
  <c r="BV22" i="1"/>
  <c r="BQ22" i="1"/>
  <c r="BP22" i="1"/>
  <c r="BO22" i="1"/>
  <c r="BJ22" i="1"/>
  <c r="BI22" i="1"/>
  <c r="BH22" i="1"/>
  <c r="BC22" i="1"/>
  <c r="BB22" i="1"/>
  <c r="BA22" i="1"/>
  <c r="AV22" i="1"/>
  <c r="AU22" i="1"/>
  <c r="AT22" i="1"/>
  <c r="AO22" i="1"/>
  <c r="AN22" i="1"/>
  <c r="AC22" i="1"/>
  <c r="Y22" i="1"/>
  <c r="S22" i="1"/>
  <c r="K22" i="1"/>
  <c r="J22" i="1"/>
  <c r="C22" i="1"/>
  <c r="EV21" i="1"/>
  <c r="EU21" i="1"/>
  <c r="ET21" i="1"/>
  <c r="EC21" i="1"/>
  <c r="DQ21" i="1"/>
  <c r="DK21" i="1"/>
  <c r="DH21" i="1"/>
  <c r="DD21" i="1"/>
  <c r="CW21" i="1"/>
  <c r="CP21" i="1"/>
  <c r="CL21" i="1"/>
  <c r="CG21" i="1"/>
  <c r="CB21" i="1"/>
  <c r="BW21" i="1"/>
  <c r="BV21" i="1"/>
  <c r="BQ21" i="1"/>
  <c r="BP21" i="1"/>
  <c r="BO21" i="1"/>
  <c r="BJ21" i="1"/>
  <c r="BI21" i="1"/>
  <c r="BH21" i="1"/>
  <c r="BC21" i="1"/>
  <c r="BB21" i="1"/>
  <c r="BA21" i="1"/>
  <c r="AV21" i="1"/>
  <c r="AU21" i="1"/>
  <c r="AT21" i="1"/>
  <c r="AO21" i="1"/>
  <c r="AN21" i="1"/>
  <c r="AC21" i="1"/>
  <c r="Y21" i="1"/>
  <c r="S21" i="1"/>
  <c r="K21" i="1"/>
  <c r="J21" i="1"/>
  <c r="C21" i="1"/>
  <c r="EV20" i="1"/>
  <c r="EU20" i="1"/>
  <c r="ET20" i="1"/>
  <c r="EC20" i="1"/>
  <c r="DQ20" i="1"/>
  <c r="DK20" i="1"/>
  <c r="DH20" i="1"/>
  <c r="DD20" i="1"/>
  <c r="CW20" i="1"/>
  <c r="CP20" i="1"/>
  <c r="CL20" i="1"/>
  <c r="CG20" i="1"/>
  <c r="CB20" i="1"/>
  <c r="BW20" i="1"/>
  <c r="BV20" i="1"/>
  <c r="BQ20" i="1"/>
  <c r="BP20" i="1"/>
  <c r="BO20" i="1"/>
  <c r="BJ20" i="1"/>
  <c r="BI20" i="1"/>
  <c r="BH20" i="1"/>
  <c r="BC20" i="1"/>
  <c r="BB20" i="1"/>
  <c r="BA20" i="1"/>
  <c r="AV20" i="1"/>
  <c r="AU20" i="1"/>
  <c r="AT20" i="1"/>
  <c r="AO20" i="1"/>
  <c r="AN20" i="1"/>
  <c r="AC20" i="1"/>
  <c r="Y20" i="1"/>
  <c r="S20" i="1"/>
  <c r="K20" i="1"/>
  <c r="J20" i="1"/>
  <c r="C20" i="1"/>
  <c r="EV19" i="1"/>
  <c r="EU19" i="1"/>
  <c r="ET19" i="1"/>
  <c r="EC19" i="1"/>
  <c r="DY19" i="1"/>
  <c r="DQ19" i="1"/>
  <c r="DK19" i="1"/>
  <c r="DH19" i="1"/>
  <c r="DD19" i="1"/>
  <c r="CW19" i="1"/>
  <c r="CP19" i="1"/>
  <c r="CL19" i="1"/>
  <c r="CG19" i="1"/>
  <c r="CB19" i="1"/>
  <c r="BW19" i="1"/>
  <c r="BV19" i="1"/>
  <c r="BQ19" i="1"/>
  <c r="BP19" i="1"/>
  <c r="BO19" i="1"/>
  <c r="BJ19" i="1"/>
  <c r="BI19" i="1"/>
  <c r="BH19" i="1"/>
  <c r="BC19" i="1"/>
  <c r="BB19" i="1"/>
  <c r="BA19" i="1"/>
  <c r="AV19" i="1"/>
  <c r="AU19" i="1"/>
  <c r="AT19" i="1"/>
  <c r="AO19" i="1"/>
  <c r="AN19" i="1"/>
  <c r="AJ19" i="1"/>
  <c r="AC19" i="1"/>
  <c r="Y19" i="1"/>
  <c r="S19" i="1"/>
  <c r="K19" i="1"/>
  <c r="J19" i="1"/>
  <c r="C19" i="1"/>
  <c r="EV18" i="1"/>
  <c r="EU18" i="1"/>
  <c r="ET18" i="1"/>
  <c r="EG18" i="1"/>
  <c r="EC18" i="1"/>
  <c r="DY18" i="1"/>
  <c r="DQ18" i="1"/>
  <c r="DK18" i="1"/>
  <c r="DH18" i="1"/>
  <c r="DD18" i="1"/>
  <c r="CW18" i="1"/>
  <c r="CP18" i="1"/>
  <c r="CL18" i="1"/>
  <c r="CG18" i="1"/>
  <c r="CB18" i="1"/>
  <c r="BW18" i="1"/>
  <c r="BV18" i="1"/>
  <c r="BQ18" i="1"/>
  <c r="BP18" i="1"/>
  <c r="BO18" i="1"/>
  <c r="BJ18" i="1"/>
  <c r="BI18" i="1"/>
  <c r="BH18" i="1"/>
  <c r="BC18" i="1"/>
  <c r="BB18" i="1"/>
  <c r="BA18" i="1"/>
  <c r="AV18" i="1"/>
  <c r="AU18" i="1"/>
  <c r="AT18" i="1"/>
  <c r="AO18" i="1"/>
  <c r="AN18" i="1"/>
  <c r="AJ18" i="1"/>
  <c r="AC18" i="1"/>
  <c r="AB18" i="1"/>
  <c r="Y18" i="1"/>
  <c r="S18" i="1"/>
  <c r="K18" i="1"/>
  <c r="J18" i="1"/>
  <c r="C18" i="1"/>
  <c r="EV17" i="1"/>
  <c r="EU17" i="1"/>
  <c r="ET17" i="1"/>
  <c r="EC17" i="1"/>
  <c r="DQ17" i="1"/>
  <c r="DK17" i="1"/>
  <c r="DH17" i="1"/>
  <c r="DD17" i="1"/>
  <c r="CW17" i="1"/>
  <c r="CP17" i="1"/>
  <c r="CL17" i="1"/>
  <c r="CG17" i="1"/>
  <c r="BW17" i="1"/>
  <c r="BV17" i="1"/>
  <c r="BQ17" i="1"/>
  <c r="BP17" i="1"/>
  <c r="BO17" i="1"/>
  <c r="BJ17" i="1"/>
  <c r="BI17" i="1"/>
  <c r="BH17" i="1"/>
  <c r="BC17" i="1"/>
  <c r="BB17" i="1"/>
  <c r="BA17" i="1"/>
  <c r="AV17" i="1"/>
  <c r="AU17" i="1"/>
  <c r="AT17" i="1"/>
  <c r="AO17" i="1"/>
  <c r="AN17" i="1"/>
  <c r="AC17" i="1"/>
  <c r="Y17" i="1"/>
  <c r="S17" i="1"/>
  <c r="K17" i="1"/>
  <c r="J17" i="1"/>
  <c r="C17" i="1"/>
  <c r="EV16" i="1"/>
  <c r="EU16" i="1"/>
  <c r="ET16" i="1"/>
  <c r="EG16" i="1"/>
  <c r="EC16" i="1"/>
  <c r="DY16" i="1"/>
  <c r="DQ16" i="1"/>
  <c r="DK16" i="1"/>
  <c r="DH16" i="1"/>
  <c r="DD16" i="1"/>
  <c r="CW16" i="1"/>
  <c r="CP16" i="1"/>
  <c r="CL16" i="1"/>
  <c r="CG16" i="1"/>
  <c r="CB16" i="1"/>
  <c r="BW16" i="1"/>
  <c r="BV16" i="1"/>
  <c r="BQ16" i="1"/>
  <c r="BP16" i="1"/>
  <c r="BO16" i="1"/>
  <c r="BJ16" i="1"/>
  <c r="BI16" i="1"/>
  <c r="BH16" i="1"/>
  <c r="BC16" i="1"/>
  <c r="BB16" i="1"/>
  <c r="BA16" i="1"/>
  <c r="AV16" i="1"/>
  <c r="AU16" i="1"/>
  <c r="AT16" i="1"/>
  <c r="AO16" i="1"/>
  <c r="AN16" i="1"/>
  <c r="AJ16" i="1"/>
  <c r="AC16" i="1"/>
  <c r="AB16" i="1"/>
  <c r="Y16" i="1"/>
  <c r="S16" i="1"/>
  <c r="K16" i="1"/>
  <c r="J16" i="1"/>
  <c r="C16" i="1"/>
  <c r="EV15" i="1"/>
  <c r="EU15" i="1"/>
  <c r="ET15" i="1"/>
  <c r="EC15" i="1"/>
  <c r="DQ15" i="1"/>
  <c r="DK15" i="1"/>
  <c r="DH15" i="1"/>
  <c r="DD15" i="1"/>
  <c r="CW15" i="1"/>
  <c r="CP15" i="1"/>
  <c r="CL15" i="1"/>
  <c r="CG15" i="1"/>
  <c r="CB15" i="1"/>
  <c r="BW15" i="1"/>
  <c r="BV15" i="1"/>
  <c r="BQ15" i="1"/>
  <c r="BP15" i="1"/>
  <c r="BO15" i="1"/>
  <c r="BJ15" i="1"/>
  <c r="BI15" i="1"/>
  <c r="BH15" i="1"/>
  <c r="BC15" i="1"/>
  <c r="BB15" i="1"/>
  <c r="BA15" i="1"/>
  <c r="AV15" i="1"/>
  <c r="AU15" i="1"/>
  <c r="AT15" i="1"/>
  <c r="AO15" i="1"/>
  <c r="AN15" i="1"/>
  <c r="AC15" i="1"/>
  <c r="Y15" i="1"/>
  <c r="S15" i="1"/>
  <c r="K15" i="1"/>
  <c r="J15" i="1"/>
  <c r="C15" i="1"/>
  <c r="EV14" i="1"/>
  <c r="EU14" i="1"/>
  <c r="ET14" i="1"/>
  <c r="EG14" i="1"/>
  <c r="EC14" i="1"/>
  <c r="DY14" i="1"/>
  <c r="DQ14" i="1"/>
  <c r="DK14" i="1"/>
  <c r="DH14" i="1"/>
  <c r="DD14" i="1"/>
  <c r="CW14" i="1"/>
  <c r="CP14" i="1"/>
  <c r="CL14" i="1"/>
  <c r="CG14" i="1"/>
  <c r="CB14" i="1"/>
  <c r="BW14" i="1"/>
  <c r="BV14" i="1"/>
  <c r="BQ14" i="1"/>
  <c r="BP14" i="1"/>
  <c r="BO14" i="1"/>
  <c r="BJ14" i="1"/>
  <c r="BI14" i="1"/>
  <c r="BH14" i="1"/>
  <c r="BC14" i="1"/>
  <c r="BB14" i="1"/>
  <c r="BA14" i="1"/>
  <c r="AV14" i="1"/>
  <c r="AU14" i="1"/>
  <c r="AT14" i="1"/>
  <c r="AO14" i="1"/>
  <c r="AN14" i="1"/>
  <c r="AJ14" i="1"/>
  <c r="AC14" i="1"/>
  <c r="AB14" i="1"/>
  <c r="Y14" i="1"/>
  <c r="S14" i="1"/>
  <c r="K14" i="1"/>
  <c r="J14" i="1"/>
  <c r="C14" i="1"/>
  <c r="EV13" i="1"/>
  <c r="EU13" i="1"/>
  <c r="ET13" i="1"/>
  <c r="EC13" i="1"/>
  <c r="DQ13" i="1"/>
  <c r="DK13" i="1"/>
  <c r="DH13" i="1"/>
  <c r="DD13" i="1"/>
  <c r="CW13" i="1"/>
  <c r="CP13" i="1"/>
  <c r="CL13" i="1"/>
  <c r="CG13" i="1"/>
  <c r="CB13" i="1"/>
  <c r="BQ13" i="1"/>
  <c r="BP13" i="1"/>
  <c r="BO13" i="1"/>
  <c r="BJ13" i="1"/>
  <c r="BI13" i="1"/>
  <c r="BH13" i="1"/>
  <c r="BC13" i="1"/>
  <c r="BB13" i="1"/>
  <c r="BA13" i="1"/>
  <c r="AV13" i="1"/>
  <c r="AU13" i="1"/>
  <c r="AT13" i="1"/>
  <c r="AO13" i="1"/>
  <c r="AN13" i="1"/>
  <c r="AC13" i="1"/>
  <c r="Y13" i="1"/>
  <c r="S13" i="1"/>
  <c r="K13" i="1"/>
  <c r="J13" i="1"/>
  <c r="C13" i="1"/>
  <c r="EV12" i="1"/>
  <c r="EU12" i="1"/>
  <c r="ET12" i="1"/>
  <c r="EC12" i="1"/>
  <c r="DQ12" i="1"/>
  <c r="DK12" i="1"/>
  <c r="DH12" i="1"/>
  <c r="DD12" i="1"/>
  <c r="CW12" i="1"/>
  <c r="CP12" i="1"/>
  <c r="CL12" i="1"/>
  <c r="CG12" i="1"/>
  <c r="CB12" i="1"/>
  <c r="BW12" i="1"/>
  <c r="BV12" i="1"/>
  <c r="BQ12" i="1"/>
  <c r="BP12" i="1"/>
  <c r="BO12" i="1"/>
  <c r="BJ12" i="1"/>
  <c r="BI12" i="1"/>
  <c r="BH12" i="1"/>
  <c r="BC12" i="1"/>
  <c r="BB12" i="1"/>
  <c r="BA12" i="1"/>
  <c r="AV12" i="1"/>
  <c r="AU12" i="1"/>
  <c r="AT12" i="1"/>
  <c r="AO12" i="1"/>
  <c r="AN12" i="1"/>
  <c r="AC12" i="1"/>
  <c r="Y12" i="1"/>
  <c r="S12" i="1"/>
  <c r="K12" i="1"/>
  <c r="J12" i="1"/>
  <c r="C12" i="1"/>
  <c r="EV11" i="1"/>
  <c r="EU11" i="1"/>
  <c r="ET11" i="1"/>
  <c r="EC11" i="1"/>
  <c r="DQ11" i="1"/>
  <c r="DK11" i="1"/>
  <c r="DH11" i="1"/>
  <c r="DD11" i="1"/>
  <c r="CW11" i="1"/>
  <c r="CP11" i="1"/>
  <c r="CL11" i="1"/>
  <c r="CG11" i="1"/>
  <c r="CB11" i="1"/>
  <c r="BW11" i="1"/>
  <c r="BV11" i="1"/>
  <c r="BQ11" i="1"/>
  <c r="BP11" i="1"/>
  <c r="BO11" i="1"/>
  <c r="BJ11" i="1"/>
  <c r="BI11" i="1"/>
  <c r="BH11" i="1"/>
  <c r="BC11" i="1"/>
  <c r="BB11" i="1"/>
  <c r="BA11" i="1"/>
  <c r="AV11" i="1"/>
  <c r="AU11" i="1"/>
  <c r="AT11" i="1"/>
  <c r="AO11" i="1"/>
  <c r="AN11" i="1"/>
  <c r="AC11" i="1"/>
  <c r="Y11" i="1"/>
  <c r="S11" i="1"/>
  <c r="K11" i="1"/>
  <c r="J11" i="1"/>
  <c r="C11" i="1"/>
  <c r="EV10" i="1"/>
  <c r="EU10" i="1"/>
  <c r="ET10" i="1"/>
  <c r="EC10" i="1"/>
  <c r="DQ10" i="1"/>
  <c r="DK10" i="1"/>
  <c r="DH10" i="1"/>
  <c r="DD10" i="1"/>
  <c r="CW10" i="1"/>
  <c r="CP10" i="1"/>
  <c r="CL10" i="1"/>
  <c r="CG10" i="1"/>
  <c r="CB10" i="1"/>
  <c r="BW10" i="1"/>
  <c r="BV10" i="1"/>
  <c r="BQ10" i="1"/>
  <c r="BP10" i="1"/>
  <c r="BO10" i="1"/>
  <c r="BJ10" i="1"/>
  <c r="BI10" i="1"/>
  <c r="BH10" i="1"/>
  <c r="BC10" i="1"/>
  <c r="BB10" i="1"/>
  <c r="BA10" i="1"/>
  <c r="AV10" i="1"/>
  <c r="AU10" i="1"/>
  <c r="AT10" i="1"/>
  <c r="AO10" i="1"/>
  <c r="AN10" i="1"/>
  <c r="AC10" i="1"/>
  <c r="Y10" i="1"/>
  <c r="S10" i="1"/>
  <c r="K10" i="1"/>
  <c r="J10" i="1"/>
  <c r="C10" i="1"/>
  <c r="EV9" i="1"/>
  <c r="EU9" i="1"/>
  <c r="ET9" i="1"/>
  <c r="EC9" i="1"/>
  <c r="DY9" i="1"/>
  <c r="DQ9" i="1"/>
  <c r="DK9" i="1"/>
  <c r="DH9" i="1"/>
  <c r="DD9" i="1"/>
  <c r="CW9" i="1"/>
  <c r="CP9" i="1"/>
  <c r="CL9" i="1"/>
  <c r="CG9" i="1"/>
  <c r="CB9" i="1"/>
  <c r="BW9" i="1"/>
  <c r="BV9" i="1"/>
  <c r="BQ9" i="1"/>
  <c r="BP9" i="1"/>
  <c r="BO9" i="1"/>
  <c r="BJ9" i="1"/>
  <c r="BI9" i="1"/>
  <c r="BH9" i="1"/>
  <c r="BC9" i="1"/>
  <c r="BB9" i="1"/>
  <c r="BA9" i="1"/>
  <c r="AV9" i="1"/>
  <c r="AU9" i="1"/>
  <c r="AT9" i="1"/>
  <c r="AO9" i="1"/>
  <c r="AN9" i="1"/>
  <c r="AJ9" i="1"/>
  <c r="AC9" i="1"/>
  <c r="Y9" i="1"/>
  <c r="S9" i="1"/>
  <c r="K9" i="1"/>
  <c r="J9" i="1"/>
  <c r="C9" i="1"/>
  <c r="DH8" i="1"/>
  <c r="J8" i="1"/>
  <c r="C8" i="1"/>
  <c r="EV7" i="1"/>
  <c r="EU7" i="1"/>
  <c r="ET7" i="1"/>
  <c r="EC7" i="1"/>
  <c r="DQ7" i="1"/>
  <c r="DK7" i="1"/>
  <c r="DH7" i="1"/>
  <c r="DD7" i="1"/>
  <c r="CW7" i="1"/>
  <c r="CP7" i="1"/>
  <c r="CL7" i="1"/>
  <c r="CG7" i="1"/>
  <c r="CB7" i="1"/>
  <c r="BW7" i="1"/>
  <c r="BV7" i="1"/>
  <c r="BQ7" i="1"/>
  <c r="BP7" i="1"/>
  <c r="BO7" i="1"/>
  <c r="BJ7" i="1"/>
  <c r="BI7" i="1"/>
  <c r="BH7" i="1"/>
  <c r="BC7" i="1"/>
  <c r="BB7" i="1"/>
  <c r="BA7" i="1"/>
  <c r="AV7" i="1"/>
  <c r="AU7" i="1"/>
  <c r="AT7" i="1"/>
  <c r="AO7" i="1"/>
  <c r="AN7" i="1"/>
  <c r="AC7" i="1"/>
  <c r="Y7" i="1"/>
  <c r="S7" i="1"/>
  <c r="K7" i="1"/>
  <c r="J7" i="1"/>
  <c r="C7" i="1"/>
  <c r="DH6" i="1"/>
  <c r="J6" i="1"/>
  <c r="C6" i="1"/>
  <c r="DH5" i="1"/>
  <c r="J5" i="1"/>
  <c r="C5" i="1"/>
  <c r="EV4" i="1"/>
  <c r="EU4" i="1"/>
  <c r="ET4" i="1"/>
  <c r="EC4" i="1"/>
  <c r="DQ4" i="1"/>
  <c r="DK4" i="1"/>
  <c r="DH4" i="1"/>
  <c r="DD4" i="1"/>
  <c r="CW4" i="1"/>
  <c r="CP4" i="1"/>
  <c r="CL4" i="1"/>
  <c r="CG4" i="1"/>
  <c r="CB4" i="1"/>
  <c r="BQ4" i="1"/>
  <c r="BP4" i="1"/>
  <c r="BO4" i="1"/>
  <c r="BJ4" i="1"/>
  <c r="BI4" i="1"/>
  <c r="BH4" i="1"/>
  <c r="BC4" i="1"/>
  <c r="BB4" i="1"/>
  <c r="BA4" i="1"/>
  <c r="AV4" i="1"/>
  <c r="AU4" i="1"/>
  <c r="AT4" i="1"/>
  <c r="AO4" i="1"/>
  <c r="AN4" i="1"/>
  <c r="AC4" i="1"/>
  <c r="Y4" i="1"/>
  <c r="S4" i="1"/>
  <c r="K4" i="1"/>
  <c r="J4" i="1"/>
  <c r="C4" i="1"/>
  <c r="EV3" i="1"/>
  <c r="EU3" i="1"/>
  <c r="ET3" i="1"/>
  <c r="EG3" i="1"/>
  <c r="EC3" i="1"/>
  <c r="DY3" i="1"/>
  <c r="DQ3" i="1"/>
  <c r="DK3" i="1"/>
  <c r="DH3" i="1"/>
  <c r="DD3" i="1"/>
  <c r="CW3" i="1"/>
  <c r="CP3" i="1"/>
  <c r="CL3" i="1"/>
  <c r="CG3" i="1"/>
  <c r="CB3" i="1"/>
  <c r="BW3" i="1"/>
  <c r="BV3" i="1"/>
  <c r="BQ3" i="1"/>
  <c r="BP3" i="1"/>
  <c r="BO3" i="1"/>
  <c r="BJ3" i="1"/>
  <c r="BI3" i="1"/>
  <c r="BH3" i="1"/>
  <c r="BC3" i="1"/>
  <c r="BB3" i="1"/>
  <c r="BA3" i="1"/>
  <c r="AV3" i="1"/>
  <c r="AU3" i="1"/>
  <c r="AT3" i="1"/>
  <c r="AO3" i="1"/>
  <c r="AN3" i="1"/>
  <c r="AJ3" i="1"/>
  <c r="AC3" i="1"/>
  <c r="AB3" i="1"/>
  <c r="Y3" i="1"/>
  <c r="S3" i="1"/>
  <c r="K3" i="1"/>
  <c r="J3" i="1"/>
  <c r="C3" i="1"/>
  <c r="C2" i="1"/>
  <c r="DK1" i="1"/>
  <c r="AO1" i="1"/>
</calcChain>
</file>

<file path=xl/sharedStrings.xml><?xml version="1.0" encoding="utf-8"?>
<sst xmlns="http://schemas.openxmlformats.org/spreadsheetml/2006/main" count="29336" uniqueCount="6021">
  <si>
    <t>Seq name (Nuc)</t>
  </si>
  <si>
    <t>logFC</t>
  </si>
  <si>
    <t>FC</t>
  </si>
  <si>
    <t>logCPM</t>
  </si>
  <si>
    <t>LR</t>
  </si>
  <si>
    <t>PValue</t>
  </si>
  <si>
    <t>FDR</t>
  </si>
  <si>
    <t>Gene name</t>
  </si>
  <si>
    <t>Gene type</t>
  </si>
  <si>
    <t>Vector base</t>
  </si>
  <si>
    <t>Seq name</t>
  </si>
  <si>
    <t>First residue</t>
  </si>
  <si>
    <t>Seq size</t>
  </si>
  <si>
    <t>%X</t>
  </si>
  <si>
    <t>DP's</t>
  </si>
  <si>
    <t>Class (updated)</t>
  </si>
  <si>
    <t>DBase</t>
  </si>
  <si>
    <t>Evalue</t>
  </si>
  <si>
    <t>% Coverage</t>
  </si>
  <si>
    <t>Contig Name</t>
  </si>
  <si>
    <t>Comments</t>
  </si>
  <si>
    <t>Class</t>
  </si>
  <si>
    <t>Dbase</t>
  </si>
  <si>
    <t>% coverage</t>
  </si>
  <si>
    <t>Predicted Tyr-SO4 - Prosite rules</t>
  </si>
  <si>
    <t>SigP Result</t>
  </si>
  <si>
    <t>Cleavage Position</t>
  </si>
  <si>
    <t>MW</t>
  </si>
  <si>
    <t>pI</t>
  </si>
  <si>
    <t>Mature MW</t>
  </si>
  <si>
    <t xml:space="preserve">pI </t>
  </si>
  <si>
    <t>TMHMM result</t>
  </si>
  <si>
    <t>Predicted helices</t>
  </si>
  <si>
    <t>% membrane</t>
  </si>
  <si>
    <t>% outside</t>
  </si>
  <si>
    <t>% inside</t>
  </si>
  <si>
    <t xml:space="preserve">DGPI GPI anchor prediction </t>
  </si>
  <si>
    <t>Percent Ser+Thr</t>
  </si>
  <si>
    <t>Percent Gly</t>
  </si>
  <si>
    <t>Percent Pro</t>
  </si>
  <si>
    <t xml:space="preserve">Percent GGY </t>
  </si>
  <si>
    <t>Best match to NR-LIGHT protein database</t>
  </si>
  <si>
    <t>E value</t>
  </si>
  <si>
    <t>Match</t>
  </si>
  <si>
    <t>% identity</t>
  </si>
  <si>
    <t>% similarity</t>
  </si>
  <si>
    <t xml:space="preserve">Species of best match </t>
  </si>
  <si>
    <t>Best match to REFSEQ-INVERTEBRATE protein database</t>
  </si>
  <si>
    <t>Best match to REFSEQ-PROTOZOA protein database</t>
  </si>
  <si>
    <t>Best match to SWISSP protein database</t>
  </si>
  <si>
    <t>Best match to FLYBASE database</t>
  </si>
  <si>
    <t>E value and link to Flybase</t>
  </si>
  <si>
    <t>Length of best match</t>
  </si>
  <si>
    <t>Best match to CDD database</t>
  </si>
  <si>
    <t>Coverage</t>
  </si>
  <si>
    <t>Description</t>
  </si>
  <si>
    <t xml:space="preserve">All CDD domains </t>
  </si>
  <si>
    <t>Best match to KOG database</t>
  </si>
  <si>
    <t>Best match to PFAM database</t>
  </si>
  <si>
    <t xml:space="preserve">Description </t>
  </si>
  <si>
    <t>Best match to SMART database</t>
  </si>
  <si>
    <t>Name</t>
  </si>
  <si>
    <t>Sequence name</t>
  </si>
  <si>
    <t>Database</t>
  </si>
  <si>
    <t>Species</t>
  </si>
  <si>
    <t>Chromosome</t>
  </si>
  <si>
    <t>KEGG MAP</t>
  </si>
  <si>
    <t xml:space="preserve">ProP furin cleavage predictions </t>
  </si>
  <si>
    <t>Lenght</t>
  </si>
  <si>
    <t>DGPI GPI anchor prediction</t>
  </si>
  <si>
    <t>Sum of residues</t>
  </si>
  <si>
    <t>Increased AA</t>
  </si>
  <si>
    <t>Cys number</t>
  </si>
  <si>
    <t>R(K)GD flanked by Cys</t>
  </si>
  <si>
    <t>% Ser + Thr</t>
  </si>
  <si>
    <t>% Pro</t>
  </si>
  <si>
    <t>% Gly</t>
  </si>
  <si>
    <t>% Gly+Pro</t>
  </si>
  <si>
    <t>Number of possible HO-Pro [LPAE]-P-G</t>
  </si>
  <si>
    <t>Number of possible OH-lysines X-Lys-Gly not Lys-Gly-Pro</t>
  </si>
  <si>
    <t>Number of PG's</t>
  </si>
  <si>
    <t>WC coxy motif</t>
  </si>
  <si>
    <t>WP coxy motif</t>
  </si>
  <si>
    <t>CPC coxy motif</t>
  </si>
  <si>
    <t>P-I-I-X-G-X(7-15)-C</t>
  </si>
  <si>
    <t>Species of best match</t>
  </si>
  <si>
    <t>AGAP010335.R621</t>
  </si>
  <si>
    <t>NEL-LIKE PROTEIN 1</t>
  </si>
  <si>
    <t>protein coding gene</t>
  </si>
  <si>
    <t>VectorBase: AGAP010335</t>
  </si>
  <si>
    <t>G</t>
  </si>
  <si>
    <t>MTKHLWNCDTSWRCVQALAVILTILLLPGTGGA</t>
  </si>
  <si>
    <t>AGAP001802-RA</t>
  </si>
  <si>
    <t xml:space="preserve">unspecified product </t>
  </si>
  <si>
    <t xml:space="preserve">protein_coding_gene </t>
  </si>
  <si>
    <t>M</t>
  </si>
  <si>
    <t>mitofusin</t>
  </si>
  <si>
    <t>Conserved plasma membrane protein</t>
  </si>
  <si>
    <t>uc/memb</t>
  </si>
  <si>
    <t>AGAP001802-PA</t>
  </si>
  <si>
    <t xml:space="preserve"> mitofusin 1 gtpase</t>
  </si>
  <si>
    <t>pm</t>
  </si>
  <si>
    <t xml:space="preserve"> </t>
  </si>
  <si>
    <t>ExpAA=16.10 First60=0.00 PredHel=1 Topology=o648-667i</t>
  </si>
  <si>
    <t xml:space="preserve">. </t>
  </si>
  <si>
    <t>Anopheles gambiae str. PEST</t>
  </si>
  <si>
    <t>Capsaspora owczarzaki ATCC 30864</t>
  </si>
  <si>
    <t>Drosophila melanogaster</t>
  </si>
  <si>
    <t>pfam04799, Fzo_mitofusin, fzo-like conserved region.  Family of putative transmembrane GTPase. The fzo protein is a mediator of mitochondrial fusion. This conserved region is also found in the human mitofusin protein.</t>
  </si>
  <si>
    <t>Fzo_mitofusin 4e-067| DLP_2 4e-038| Dynamin_N 6e-027| Era_like 0.004| ThdF 0.005| Ras_like_GTPase 0.012| YfjP 0.023| MMR_HSR1 0.027| trmE 0.035| YihA_EngB 0.072|</t>
  </si>
  <si>
    <t>KOG0448, KOG0448, KOG0448, Mitofusin 1 GTPase, involved in mitochondrila biogenesis [Posttranslational modification, protein turnover, chaperones].</t>
  </si>
  <si>
    <t xml:space="preserve">Posttranslational modification, protein turnover, chaperones </t>
  </si>
  <si>
    <t>smart00053, DYNc, Dynamin, GTPase.  Large GTPases that mediate vesicle trafficking. Dynamin participates in the endocytic uptake of receptors, associated ligands, and plasma membrane following an exocytic event.</t>
  </si>
  <si>
    <t>Anopheles_gambiae_str._PEST</t>
  </si>
  <si>
    <t xml:space="preserve"> AgamP4_2R:10611606-10614755(+) </t>
  </si>
  <si>
    <t>C</t>
  </si>
  <si>
    <t>ExpAA=16.10 First60=0.00 PredHel=1 Topology=o650-669i</t>
  </si>
  <si>
    <t>AGAP008696-RA</t>
  </si>
  <si>
    <t>T</t>
  </si>
  <si>
    <t>peptidase inhibitor 16 isoform X3 - probable fragment - 70 OH-glycosylation sites</t>
  </si>
  <si>
    <t>s/protinh</t>
  </si>
  <si>
    <t>AGAP008696-PA</t>
  </si>
  <si>
    <t>Conserved protein with signal anchor - 70 OH-glycosylation sites - Membrane anchor detected -  70 NetOglyc sites</t>
  </si>
  <si>
    <t>uc/anchor membrAnchor</t>
  </si>
  <si>
    <t>ExpAA=0.01 First60=0.00 PredHel=0 Topology=o</t>
  </si>
  <si>
    <t>.</t>
  </si>
  <si>
    <t>Cyanidioschyzon merolae strain 10D</t>
  </si>
  <si>
    <t>Homo sapiens</t>
  </si>
  <si>
    <t>PHA03247, PHA03247, large tegument protein UL36; Provisional.</t>
  </si>
  <si>
    <t>PHA03247 3e-007| Hamartin 0.004| retinal_rod 0.008| PRK12323 0.015| KAR9 | Spc7_N | PHA03307 | PTZ00449 | DUF3295 |</t>
  </si>
  <si>
    <t>KOG0162, KOG0162, KOG0162, Myosin class I heavy chain [Cytoskeleton].</t>
  </si>
  <si>
    <t xml:space="preserve">Cytoskeleton </t>
  </si>
  <si>
    <t>pfam04388, Hamartin, Hamartin protein.  This family includes the hamartin protein which is thought to function as a tumor suppressor. The hamartin protein interacts with the tuberin protein pfam03542. Tuberous sclerosis complex (TSC) is an autosomal dominant disorder and is characterized by the presence of hamartomas in many organs, such as brain, skin, heart, lung, and kidney. It is caused by mutation either TSC1 or TSC2 tumor suppressor gene. TSC1 encodes a protein, hamartin, containing two coiled-coil regions, which have been shown to mediate binding to tuberin. The TSC2 gene codes for tuberin pfam03542. These two proteins function within the same pathway(s) regulating cell cycle, cell growth, adhesion, and vesicular trafficking.</t>
  </si>
  <si>
    <t>smart01071, CDC37_N, Cdc37 N terminal kinase binding.  Cdc37 is a molecular chaperone required for the activity of numerous eukaryotic protein kinases. This domain corresponds to the N terminal domain which binds predominantly to protein kinases.and is found N terminal to the Hsp (Heat shocked protein) 90-binding domain. Expression of a construct consisting of only the N-terminal domain of Saccharomyces pombe Cdc37 results in cellular viability. This indicates that interactions with the cochaperone Hsp90 may not be essential for Cdc37 function.</t>
  </si>
  <si>
    <t xml:space="preserve"> AgamP4_3R:15080141-15089915(+) </t>
  </si>
  <si>
    <t>A</t>
  </si>
  <si>
    <t xml:space="preserve">3 | 66    TTPRPRR|ST  0.705 *ProP*  | 86    PLTRRRR|ST  0.523 *ProP*  | 118    TRPRSRR|TA  0.709 *ProP*  | </t>
  </si>
  <si>
    <t>P(3.63)R(3.34)T(3.55)</t>
  </si>
  <si>
    <t>AGAP028815-RA</t>
  </si>
  <si>
    <t>5.8S ribosomal RNA [Source:RFAM;Acc:RF00002]</t>
  </si>
  <si>
    <t>ncRNA gene</t>
  </si>
  <si>
    <t>CYT</t>
  </si>
  <si>
    <t>N/A</t>
  </si>
  <si>
    <t>AGAP029039-RA</t>
  </si>
  <si>
    <t>Metazoan signal recognition particle RNA [Source:RFAM;Acc:RF00017]</t>
  </si>
  <si>
    <t>AGAP000468-RA</t>
  </si>
  <si>
    <t>hypothetical conserved secreted protein precursor</t>
  </si>
  <si>
    <t>s/mucin</t>
  </si>
  <si>
    <t>AGAP000468-PA</t>
  </si>
  <si>
    <t xml:space="preserve"> mucin-5ac-like protein - 180 OH-glycosylation sites - signalP detected</t>
  </si>
  <si>
    <t xml:space="preserve"> 22-23</t>
  </si>
  <si>
    <t>ExpAA=3.59 First60=3.58 PredHel=0 Topology=o</t>
  </si>
  <si>
    <t>PHA03247 1e-014| Atrophin-1 2e-007| PRK12323 4e-007| retinal_rod 6e-007| PHA03307 8e-007| Herpes_BLLF1 8e-007| COG3889 5e-006| TALPID3 8e-006| PHA03378 3e-005| PRK07003 4e-005|</t>
  </si>
  <si>
    <t>KOG0566, KOG0566, KOG0566, Inositol-1,4,5-triphosphate 5-phosphatase (synaptojanin), INP51/INP52/INP53 family [Intracellular trafficking, secretion, and vesicular transport].</t>
  </si>
  <si>
    <t xml:space="preserve">Intracellular trafficking, secretion, and vesicular transport </t>
  </si>
  <si>
    <t>pfam03154, Atrophin-1, Atrophin-1 family.  Atrophin-1 is the protein product of the dentatorubral-pallidoluysian atrophy (DRPLA) gene. DRPLA OMIM:125370 is a progressive neurodegenerative disorder. It is caused by the expansion of a CAG repeat in the DRPLA gene on chromosome 12p. This results in an extended polyglutamine region in atrophin-1, that is thought to confer toxicity to the protein, possibly through altering its interactions with other proteins. The expansion of a CAG repeat is also the underlying defect in six other neurodegenerative disorders, including Huntington's disease. One interaction of expanded polyglutamine repeats that is thought to be pathogenic is that with the short glutamine repeat in the transcriptional coactivator CREB binding protein, CBP. This interaction draws CBP away from its usual nuclear location to the expanded polyglutamine repeat protein aggregates that are characteristic of the polyglutamine neurodegenerative disorders. This interferes with CBP-mediated transcription and causes cytotoxicity.</t>
  </si>
  <si>
    <t>smart00494, ChtBD2, Chitin-binding domain type 2.</t>
  </si>
  <si>
    <t xml:space="preserve"> AgamP4_X:8090995-8094135(+) </t>
  </si>
  <si>
    <t>T(3.46)</t>
  </si>
  <si>
    <t>AGAP013708-RA</t>
  </si>
  <si>
    <t>AGAP007367-RA</t>
  </si>
  <si>
    <t xml:space="preserve">solute carrier family 6 (neurotransmitter transporter, dopamine) member 3 </t>
  </si>
  <si>
    <t>solute carrier family 6 (neurotransmitter transporter, dopamine) member 3</t>
  </si>
  <si>
    <t>Sodium-neurotransmitter symporter - 12 predicted membrane helices</t>
  </si>
  <si>
    <t>st membrane</t>
  </si>
  <si>
    <t>AGAP007367-PA</t>
  </si>
  <si>
    <t xml:space="preserve"> protein - 12 predicted membrane helices</t>
  </si>
  <si>
    <t>tr membrane</t>
  </si>
  <si>
    <t>ExpAA=261.84 First60=0.00 PredHel=12 Topology=i101-120o130-152i173-195o283-305i314-336o359-381i401-423o438-460i496-518o528-550i571-590o605-627i</t>
  </si>
  <si>
    <t>Emiliania huxleyi CCMP1516</t>
  </si>
  <si>
    <t>cd11556, SLC6sbd_SERT-like_u1, uncharacterized subgroup of the SERT-like Na(+)- and Cl(-)-dependent monoamine transporter subfamily; solute binding domain.  SERT-like Na(+)- and Cl(-)-dependent monoamine transporters, transport monoamine neurotransmitters from synaptic spaces into presynaptic neurons. Members include: the norepinephrine transporter NET, the serotonin transporter SERT , and the dopamine transporter DAT1. These latter may play a role in diseases or disorders including depression, anxiety disorders, and attention-deficit hyperactivity disorder, and in the control of human behavior and emotional states. They belongs to the solute carrier 6 (SLC6) transporter family. Members of this subgroup are uncharacterized.</t>
  </si>
  <si>
    <t>SLC6sbd_SERT-like_u1 | SLC6sbd_SERT-like | SNF | SLC6sbd-TauT-like | SLC6sbd_SERT | SLC6sbd_NET | SLC6sbd_DAT1 | SLC6sbd_PROT | SLC6sbd_TauT e-166| SLC6sbd_CT1 e-165|</t>
  </si>
  <si>
    <t>KOG3659, KOG3659, KOG3659, Sodium-neurotransmitter symporter [Signal transduction mechanisms].</t>
  </si>
  <si>
    <t xml:space="preserve">Signal transduction mechanisms </t>
  </si>
  <si>
    <t>pfam00209, SNF, Sodium:neurotransmitter symporter family.  These are twelve xTM-containing region transporters.</t>
  </si>
  <si>
    <t>smart00635, BID_2, Bacterial Ig-like domain 2.</t>
  </si>
  <si>
    <t xml:space="preserve"> AgamP4_2L:46091622-46108936(+) </t>
  </si>
  <si>
    <t>AGAP005834-RA</t>
  </si>
  <si>
    <t xml:space="preserve">carboxylesterase </t>
  </si>
  <si>
    <t>COEJHE2E: carboxylesterase</t>
  </si>
  <si>
    <t>Esterases and lipases</t>
  </si>
  <si>
    <t>met/lipd</t>
  </si>
  <si>
    <t>AGAP005834-PA</t>
  </si>
  <si>
    <t xml:space="preserve"> protein</t>
  </si>
  <si>
    <t xml:space="preserve"> 23-24</t>
  </si>
  <si>
    <t>ExpAA=16.22 First60=10.19 PredHel=0 Topology=o</t>
  </si>
  <si>
    <t>Acytostelium subglobosum LB1</t>
  </si>
  <si>
    <t>Apis mellifera</t>
  </si>
  <si>
    <t>pfam00135, COesterase, Carboxylesterase family.</t>
  </si>
  <si>
    <t>COesterase e-111| Esterase_lipase e-105| PnbA 1e-056| Aes 3e-007| Abhydrolase_3 5e-005| PRK08059 | PRK00087 | Esterase | alt_bact_glmU | VacB |</t>
  </si>
  <si>
    <t>KOG1516, KOG1516, KOG1516, Carboxylesterase and related proteins [General function prediction only].</t>
  </si>
  <si>
    <t xml:space="preserve">General function prediction only </t>
  </si>
  <si>
    <t>smart00035, CLa, CLUSTERIN alpha chain.</t>
  </si>
  <si>
    <t xml:space="preserve"> AgamP4_2L:22299368-22304167(-) </t>
  </si>
  <si>
    <t>AGAP005172-RA</t>
  </si>
  <si>
    <t>AGAP005172-PA</t>
  </si>
  <si>
    <t>uc</t>
  </si>
  <si>
    <t xml:space="preserve"> os-coluzzii ox-834 pe-4 sv</t>
  </si>
  <si>
    <t>ExpAA=0.01 First60=0.01 PredHel=0 Topology=o</t>
  </si>
  <si>
    <t>Hammondia hammondi</t>
  </si>
  <si>
    <t>Drosophila hydei</t>
  </si>
  <si>
    <t>PRK12704, PRK12704, phosphodiesterase; Provisional.</t>
  </si>
  <si>
    <t>PRK12704 | PHD_TAF3 | PHD_Cfp1 | PHD_SPP1 | STKc_MLCK-like | PHD_Ecm5p_Lid2p_like | ValS | PHD | PHD | MAT1 |</t>
  </si>
  <si>
    <t>KOG0892, KOG0892, KOG0892, Protein kinase ATM/Tel1, involved in telomere length regulation and DNA repair [Signal transduction mechanisms, Chromatin structure and dynamics, Replication, recombination and repair, Cell cycle control, cell division, chromosome partitioning].</t>
  </si>
  <si>
    <t xml:space="preserve">Signal transduction mechanisms, Chromatin structure and dynamics, Replication, recombination and repair, Cell cycle control, cell division, chromosome partitioning </t>
  </si>
  <si>
    <t>pfam00628, PHD, PHD-finger.  PHD folds into an interleaved type of Zn-finger chelating 2 Zn ions in a similar manner to that of the RING and FYVE domains. Several PHD fingers have been identified as binding modules of methylated histone H3.</t>
  </si>
  <si>
    <t>smart00249, PHD, PHD zinc finger.  The plant homeodomain (PHD) finger is a C4HC3 zinc-finger-like motif found in nuclear proteins thought to be involved in epigenetics and chromatin-mediated transcriptional regulation. The PHD finger binds two zinc ions using the so-called 'cross-brace' motif and is thus structurally related to the RING finger and the FYVE finger. It is not yet known if PHD fingers have a common molecular function. Several reports suggest that it can function as a protein-protein interacton domain and it was recently demonstrated that the PHD finger of p300 can cooperate with the adjacent BROMO domain in nucleosome binding in vitro. Other reports suggesting that the PHD finger is a ubiquitin ligase have been refuted as these domains were RING fingers misidentified as PHD fingers.</t>
  </si>
  <si>
    <t xml:space="preserve"> AgamP4_2L:11340609-11341921(+) </t>
  </si>
  <si>
    <t xml:space="preserve">1 | 178    KAKRSKR|SY  0.725 *ProP*  | </t>
  </si>
  <si>
    <t>AGAP000976-RA</t>
  </si>
  <si>
    <t>AGAP000976-PA</t>
  </si>
  <si>
    <t>ExpAA=0.00 First60=0.00 PredHel=0 Topology=o</t>
  </si>
  <si>
    <t>Cavenderia fasciculata</t>
  </si>
  <si>
    <t>Danio rerio</t>
  </si>
  <si>
    <t>TIGR03813, put_Glu_GABA_T, putative glutamate/gamma-aminobutyrate antiporter.  Members of this protein family are putative putative glutamate/gamma-aminobutyrate antiporters. Each member of the seed alignment is found adjacent to a glutamate decarboxylase, which converts glutamate (Glu) to gamma-aminobutyrate (GABA). However, the majority belong to genome contexts with a glutaminase (converts Gln to Glu) as well as the decarboxylase that converts Glu to GABA. The specificity of the transporter remains uncertain.</t>
  </si>
  <si>
    <t>put_Glu_GABA_T | DUF3444 | PRK13845 | AlkD_like | DUF2544 | PRK12571 | MDM10 |</t>
  </si>
  <si>
    <t>KOG2229, KOG2229, KOG2229, Protein required for actin cytoskeleton organization and cell cycle progression [Cell cycle control, cell division, chromosome partitioning, Cytoskeleton].</t>
  </si>
  <si>
    <t xml:space="preserve">Cell cycle control, cell division, chromosome partitioning, Cytoskeleton </t>
  </si>
  <si>
    <t>pfam11926, DUF3444, Domain of unknown function (DUF3444).  This presumed domain is functionally uncharacterized. This domain is found in eukaryotes. This domain is about 210 amino acids in length. This domain is found associated with pfam00226. This domain has two conserved sequence motifs: FSH and FSH.</t>
  </si>
  <si>
    <t>smart00770, Zn_dep_PLPC, Zinc dependent phospholipase C (alpha toxin).  This domain conveys a zinc dependent phospholipase C activity (EC 3.1.4.3). It is found in a monomeric phospholipase C of Bacillus cereus as well as in the alpha toxin of Clostridium perfringens and Clostridium bifermentans, which is involved in haemolysis and cell rupture. It is also found in a lecithinase of Listeria monocytogenes, which is involved in breaking the 2-membrane vacuoles that surround the bacterium. Structure information: PDB 1ca1.</t>
  </si>
  <si>
    <t xml:space="preserve"> AgamP4_X:18787716-18787973(-) </t>
  </si>
  <si>
    <t xml:space="preserve">1 | 57    TASRCTR|SR  0.633 *ProP*  | </t>
  </si>
  <si>
    <t>AGAP002134-RA</t>
  </si>
  <si>
    <t>Glycine-rich cell wall structural protein 1.8 - signalP detected</t>
  </si>
  <si>
    <t>extmat</t>
  </si>
  <si>
    <t>AGAP002134-PA</t>
  </si>
  <si>
    <t>Conserved secreted protein precursor</t>
  </si>
  <si>
    <t>s/ucs</t>
  </si>
  <si>
    <t xml:space="preserve"> 20-21</t>
  </si>
  <si>
    <t>ExpAA=2.74 First60=2.74 PredHel=0 Topology=o</t>
  </si>
  <si>
    <t>Aureococcus anophagefferens</t>
  </si>
  <si>
    <t>Phaseolus vulgaris</t>
  </si>
  <si>
    <t>TIGR00927, retinal_rod, K+-dependent Na+/Ca+ exchanger.  [Transport and binding proteins, Cations and iron carrying compounds].</t>
  </si>
  <si>
    <t>retinal_rod 2e-006| Zip | SelP_N | PRK09565 | PRP | PRK10737 | Lamprin |</t>
  </si>
  <si>
    <t>KOG2044, KOG2044, KOG2044, 5'-3' exonuclease HKE1/RAT1 [Replication, recombination and repair, RNA processing and modification].</t>
  </si>
  <si>
    <t xml:space="preserve">Replication, recombination and repair, RNA processing and modification </t>
  </si>
  <si>
    <t>pfam02535, Zip, ZIP Zinc transporter.  The ZIP family consists of zinc transport proteins and many putative metal transporters. The main contribution to this family is from the Arabidopsis thaliana ZIP protein family these proteins are responsible for zinc uptake in the plant. Also found within this family are C. elegans proteins of unknown function which are annotated as being similar to human growth arrest inducible gene product, although this protein in not found within this family.</t>
  </si>
  <si>
    <t>smart00283, MA, Methyl-accepting chemotaxis-like domains (chemotaxis sensory transducer).  Thought to undergo reversible methylation in response to attractants or repellants during bacterial chemotaxis.</t>
  </si>
  <si>
    <t xml:space="preserve"> AgamP4_2R:16220896-16222419(+) </t>
  </si>
  <si>
    <t xml:space="preserve">1 | 96    ASSRAKR|SV  0.874 *ProP*  | </t>
  </si>
  <si>
    <t>G(3.82)H(6.47)</t>
  </si>
  <si>
    <t>AGAP001027-RC</t>
  </si>
  <si>
    <t xml:space="preserve">sugar transporter ERD6-like 7 </t>
  </si>
  <si>
    <t>sugar transporter ERD6-like 7</t>
  </si>
  <si>
    <t>MFS transporter - 12 predicted membrane helices</t>
  </si>
  <si>
    <t>AGAP001027-PC</t>
  </si>
  <si>
    <t xml:space="preserve"> solute carrier family 2 - 12 predicted membrane helices</t>
  </si>
  <si>
    <t>ExpAA=262.87 First60=22.36 PredHel=12 Topology=i32-54o74-96i103-122o127-149i162-184o188-207i269-291o306-328i335-357o372-394i399-421o436-458i</t>
  </si>
  <si>
    <t>Monosiga brevicollis MX1</t>
  </si>
  <si>
    <t>Anopheles gambiae</t>
  </si>
  <si>
    <t>pfam00083, Sugar_tr, Sugar (and other) transporter.</t>
  </si>
  <si>
    <t>Sugar_tr 3e-073| Membrane_transporter 1e-066| xylE 4e-038| organic_anion_transporter 2e-017| MFS 1e-014| MFS_1 1e-013| transport_protein 2e-012| Putative_metabolite_transport_protein 5e-007| Probable_glucarate_transporter 1e-006| AraJ 5e-006|</t>
  </si>
  <si>
    <t>KOG0254, KOG0254, KOG0254, Predicted transporter (major facilitator superfamily) [General function prediction only].</t>
  </si>
  <si>
    <t>smart01046, c-SKI_SMAD_bind, c-SKI Smad4 binding domain.  c-SKI is an oncoprotein that inhibits TGF-beta signaling through interaction with Smad proteins. This domain binds to Smad4.</t>
  </si>
  <si>
    <t xml:space="preserve"> AgamP4_X:19726928-19731226(-) </t>
  </si>
  <si>
    <t>AGAP007347-RA</t>
  </si>
  <si>
    <t xml:space="preserve">C-type lysozyme </t>
  </si>
  <si>
    <t>LYSC1: C-type lysozyme</t>
  </si>
  <si>
    <t>Lysozyme c-1 - signalP detected</t>
  </si>
  <si>
    <t>imm/secreted Lysozyme</t>
  </si>
  <si>
    <t>AGAP007347-PA</t>
  </si>
  <si>
    <t xml:space="preserve"> lysozyme - signalP detected</t>
  </si>
  <si>
    <t xml:space="preserve">imm/secreted </t>
  </si>
  <si>
    <t>ExpAA=0.64 First60=0.64 PredHel=0 Topology=o</t>
  </si>
  <si>
    <t>cd00119, LYZ1, C-type lysozyme (1, 4-beta-N-acetylmuramidase, LYZ) and alpha-lactalbumin (lactose synthase B protein, LA). They have a close evolutionary relationship and similar tertiary structure, however, functionally they are quite different. Lysozymes have primarily bacteriolytic function; hydrolysis of peptidoglycan of prokaryotic cell walls and transglycosylation. LA is a calcium-binding metalloprotein that is expressed exclusively in the mammary gland during lactation. LA is the regulatory subunit of the enzyme lactose synthase. The association of LA with the catalytic component of lactose synthase, galactosyltransferase, alters the acceptor substrate specificity of this glycosyltransferase, facilitating biosynthesis of lactose.</t>
  </si>
  <si>
    <t>LYZ1 5e-048| LYZ1 8e-045| Lys 3e-032| PRK15328 | COG3214 | ARS_like | ACAD_FadE2 | C2_C2cd3 | DUF4300 | PLN02245 |</t>
  </si>
  <si>
    <t>KOG2831, KOG2831, KOG2831, ATP phosphoribosyltransferase [Amino acid transport and metabolism].</t>
  </si>
  <si>
    <t xml:space="preserve">Amino acid transport and metabolism </t>
  </si>
  <si>
    <t>pfam00062, Lys, C-type lysozyme/alpha-lactalbumin family. Alpha-lactalbumin is the regulatory subunit of lactose synthase, changing the substrate specificity of galactosyltransferase from N-acetylglucosamine to glucose. C-type lysozymes are secreted bacteriolytic enzymes that cleave the peptidoglycan of bacterial cell walls. Structure is a multi-domain, mixed alpha and beta fold, containing four conserved disulfide bonds.</t>
  </si>
  <si>
    <t>smart00263, LYZ1, Alpha-lactalbumin / lysozyme C.</t>
  </si>
  <si>
    <t xml:space="preserve"> AgamP4_2L:45981093-45981661(-) </t>
  </si>
  <si>
    <t>C(3.91)</t>
  </si>
  <si>
    <t>AGAP006647-RA</t>
  </si>
  <si>
    <t>leucine-rich repeat-containing G-protein coupled receptor 5 - 2 predicted membrane helices</t>
  </si>
  <si>
    <t>AGAP006647-PA</t>
  </si>
  <si>
    <t xml:space="preserve"> leucine-rich repeat protein - 2 predicted membrane helices</t>
  </si>
  <si>
    <t>met/nuc membrane</t>
  </si>
  <si>
    <t xml:space="preserve"> 29-30</t>
  </si>
  <si>
    <t>ExpAA=39.99 First60=18.35 PredHel=2 Topology=i5-27o300-322i</t>
  </si>
  <si>
    <t>Guillardia theta CCMP2712</t>
  </si>
  <si>
    <t>Arabidopsis thaliana</t>
  </si>
  <si>
    <t>sd00033, LRR_RI, leucine-rich repeats, ribonuclease inhibitor (RI)-like subfamily.  A leucine-rich repeat (LRR) is a structural protein motif of 20-30 amino acids that is unusually rich in the hydrophobic amino acid leucine. The conserved eleven-residue sequence motif (LxxLxLxxN/CxL) within the LRRs corresponds to the beta-strand and adjacent loop regions, whereas the remaining parts of the repeats are variable. LRRs fold together to form a solenoid protein domain, termed leucine-rich repeat domain. Leucine-rich repeats are usually involved in protein-protein interactions.</t>
  </si>
  <si>
    <t>LRR_RI 8e-023| LRR_1 2e-017| PLN00113 7e-009| LRR_8 2e-008| COG4886 4e-007| PRK15370 1e-006| PLN03150 2e-004| LRR_RI 0.006| LRR_3 0.050| LRR_4 |</t>
  </si>
  <si>
    <t>KOG0472, KOG0472, KOG0472, Leucine-rich repeat protein [Function unknown].</t>
  </si>
  <si>
    <t xml:space="preserve">Function unknown </t>
  </si>
  <si>
    <t>pfam13855, LRR_8, Leucine rich repeat.</t>
  </si>
  <si>
    <t>smart00370, LRR, Leucine-rich repeats, outliers.</t>
  </si>
  <si>
    <t xml:space="preserve"> AgamP4_2L:35660795-35663299(+) </t>
  </si>
  <si>
    <t>AGAP001889-RA</t>
  </si>
  <si>
    <t>AGAP001889-PA</t>
  </si>
  <si>
    <t xml:space="preserve"> tra0a82yjua0a82yju anost os-stephensi pe-4 sv</t>
  </si>
  <si>
    <t>ExpAA=0.00 First60=0.00 PredHel=0 Topology=i</t>
  </si>
  <si>
    <t>Trichomonas vaginalis G3</t>
  </si>
  <si>
    <t>KOG4194, KOG4194, KOG4194, Membrane glycoprotein LIG-1 [Signal transduction mechanisms].</t>
  </si>
  <si>
    <t>pfam12785, VESA1_N, Variant erythrocyte surface antigen-1.  This family represents the N-terminal of the variant erythrocyte surface antigen 1, versions a and b, of Babesia. Babesia bovis is a tick-borne, intra-erythrocytic, protozoal parasite of cattle that shares many lifestyle parallels with the most virulent of the human malarial parasites, Plasmodium falciparum. Babesia uses antigenic variation to establish consistent infections of long duration. The two variants of VESA1, a and b, are expressed from different but closely related genes, and variation is achieved through the involvement of a segmental gene conversion mechanism and low-frequency epigenetic in situ switching of transcriptional activity from the VESA1 gene-pair to a possible other gene pair.</t>
  </si>
  <si>
    <t>smart00467, GS, GS motif.  Aa approx. 30 amino acid motif that precedes the kinase domain in types I and II TGF beta receptors. Mutation of two or more of the serines or threonines in the TTSGSGSG of TGF-beta type I receptor impairs phosphorylation and signaling activity.</t>
  </si>
  <si>
    <t xml:space="preserve"> AgamP4_2R:11911986-11912204(-) </t>
  </si>
  <si>
    <t>C(15.8)</t>
  </si>
  <si>
    <t>AGAP002566-RA</t>
  </si>
  <si>
    <t xml:space="preserve">putative histamine receptor </t>
  </si>
  <si>
    <t>GPRHIS: putative histamine receptor</t>
  </si>
  <si>
    <t>Conserved plasma membrane protein - 6 predicted membrane helices</t>
  </si>
  <si>
    <t>AGAP002566-PA</t>
  </si>
  <si>
    <t xml:space="preserve"> tra0as4gfaa0as4gfa anoga histamine receptor os-ox-76 pe-3 sv - 6 predicted membrane helices</t>
  </si>
  <si>
    <t>ExpAA=142.30 First60=43.93 PredHel=6 Topology=i7-29o39-61i226-248o310-332i631-653o663-685i</t>
  </si>
  <si>
    <t>Rattus norvegicus</t>
  </si>
  <si>
    <t>cd00637, 7tm_classA_rhodopsin-like, rhodopsin receptor-like class A family of the seven-transmembrane G protein-coupled receptor superfamily.  Class A rhodopsin-like receptors constitute about 90% of all GPCRs. The class A GPCRs include the light-sensitive rhodopsin as well as receptors for biogenic amines, lipids, nucleotides, odorants, peptide hormones, and a variety of other ligands. All GPCRs have a common structural architecture comprising of seven-transmembrane (TM) alpha-helices interconnected by three extracellular and three intracellular loops. A general feature of GPCR signaling is agonist-induced conformational changes in the receptors, leading to activation of the heterotrimeric G proteins, which consist of the guanine nucleotide-binding G-alpha subunit and the dimeric G-beta-gamma subunits. The activated G proteins then bind to and activate numerous downstream effector proteins, which generate second messengers that mediate a broad range of cellular and physiological processes. Based on sequence similarity, GPCRs can be divided into six major classes: class A (rhodopsin-like family), class B (Methuselah-like, adhesion and secretin-like receptor family), class C (metabotropic glutamate receptor family), class D (fungal mating pheromone receptors), class E (cAMP receptor family), and class F (frizzled/smoothened receptor family). Nearly 800 human GPCR genes have been identified and are involved essentially in all major physiological processes. Approximately 40% of clinically marketed drugs mediate their effects through modulation of GPCR function for the treatment of a variety of human diseases including bacterial infections.</t>
  </si>
  <si>
    <t>7tm_classA_rhodopsin-like 3e-009| 7tmA_Opsins_type2_animals 3e-007| 7tm_GPCRs 6e-007| 7tmA_amine_R-like 2e-005| 7tmA_Melanopsin-like 7e-005| 7tmA_TAARs 9e-005| 7tm_1 1e-004| 7tmA_TAAR5-like 2e-004| 7tmA_Histamine_H2R 3e-004| 7tmA_PAR2 0.001|</t>
  </si>
  <si>
    <t>KOG4274, KOG4274, KOG4274, Positive cofactor 2 (PC2), subunit of a multiprotein coactivator of RNA polymerase II [Transcription].</t>
  </si>
  <si>
    <t xml:space="preserve">Transcription </t>
  </si>
  <si>
    <t>pfam00001, 7tm_1, 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</si>
  <si>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smart00818, Amelogenin, Amelogenins, cell adhesion proteins, play a role in the biomineralisation of teeth.  They seem to regulate formation of crystallites during the secretory stage of tooth enamel development and are thought to play a major role in the structural organisation and mineralisation of developing enamel. The extracellular matrix of the developing enamel comprises two major classes of protein: the hydrophobic amelogenins and the acidic enamelins. Circular dichroism studies of porcine amelogenin have shown that the protein consists of 3 discrete folding units: the N-terminal region appears to contain beta-strand structures, while the C-terminal region displays characteristics of a random coil conformation. Subsequent studies on the bovine protein have indicated the amelogenin structure to contain a repetitive beta-turn segment and a "beta-spiral" between Gln112 and Leu138, which sequester a (Pro, Leu, Gln) rich region. The beta-spiral offers a probable site for interactions with Ca2+ ions. Muatations in the human amelogenin gene (AMGX) cause X-linked hypoplastic amelogenesis imperfecta, a disease characterised by defective enamel. A 9bp deletion in exon 2 of AMGX results in the loss of codons for Ile5, Leu6, Phe7 and Ala8, and replacement by a new threonine codon, disrupting the 16-residue (Met1-Ala16) amelogenin signal peptide.</t>
  </si>
  <si>
    <t xml:space="preserve"> AgamP4_2R:22968003-22970561(+) </t>
  </si>
  <si>
    <t xml:space="preserve">1 | 692    RNKRVRR|GV  0.733 *ProP*  | </t>
  </si>
  <si>
    <t>AGAP005721-RA</t>
  </si>
  <si>
    <t xml:space="preserve">chondroitin 4-sulfotransferase </t>
  </si>
  <si>
    <t>chondroitin 4-sulfotransferase</t>
  </si>
  <si>
    <t>carbohydrate sulfotransferase 11 isoform X2</t>
  </si>
  <si>
    <t>detox</t>
  </si>
  <si>
    <t>AGAP005721-PA</t>
  </si>
  <si>
    <t xml:space="preserve"> carbohydrate sulfotransferase os-coluzzii ox-834 pe-3 sv</t>
  </si>
  <si>
    <t>ExpAA=22.41 First60=22.36 PredHel=1 Topology=i12-34o</t>
  </si>
  <si>
    <t>Chondrus crispus</t>
  </si>
  <si>
    <t>pfam03567, Sulfotransfer_2, Sulfotransferase family.  This family includes a variety of sulfotransferase enzymes. Chondroitin 6-sulfotransferase catalyzes the transfer of sulfate to position 6 of the N-acetylgalactosamine residue of chondroitin. This family also includes Heparan sulfate 2-O-sulfotransferase (HS2ST) and Heparan sulfate 6-sulfotransferase (HS6ST). Heparan sulfate (HS) is a co-receptor for a number of growth factors, morphogens, and adhesion proteins. HS biosynthetic modifications may determine the strength and outcome of HS-ligand interactions. Mice that lack HS2ST undergo developmental failure only after midgestation,the most dramatic effect being the complete failure of kidney development. Heparan sulphate 6- O -sulfotransferase (HS6ST) catalyzes the transfer of sulphate from adenosine 3'-phosphate, 5'-phosphosulphate to the 6th position of the N -sulphoglucosamine residue in heparan sulphate.</t>
  </si>
  <si>
    <t>Sulfotransfer_2 2e-045| VI_ClpV1 | ND4 | PLN03043 | CLN3 | hsdR | ARGLU | 7tmA_V1bR | TEL1 | exodeoxyribonuclease_VII_large_subunit...    28   9.7   |</t>
  </si>
  <si>
    <t>KOG4651, KOG4651, KOG4651, Chondroitin 6-sulfotransferase and related sulfotransferases [Cell wall/membrane/envelope biogenesis, Extracellular structures].</t>
  </si>
  <si>
    <t xml:space="preserve">Cell wall/membrane/envelope biogenesis, Extracellular structures </t>
  </si>
  <si>
    <t>smart00825, PKS_KS, Beta-ketoacyl synthase.  The structure of beta-ketoacyl synthase is similar to that of the thiolase family and also chalcone synthase. The active site of beta-ketoacyl synthase is located between the N and C-terminal domains.</t>
  </si>
  <si>
    <t xml:space="preserve"> AgamP4_2L:19597894-19612077(-) </t>
  </si>
  <si>
    <t>AGAP012395-RA</t>
  </si>
  <si>
    <t xml:space="preserve">peptide-methionine (S)-S-oxide reductase </t>
  </si>
  <si>
    <t>peptide-methionine (S)-S-oxide reductase</t>
  </si>
  <si>
    <t>Peptide methionine sulfoxide reductase (Posttranslational modification</t>
  </si>
  <si>
    <t>AGAP012395-PA</t>
  </si>
  <si>
    <t xml:space="preserve"> peptide-methionine s-s-oxide reductase</t>
  </si>
  <si>
    <t>detox/ox</t>
  </si>
  <si>
    <t>ExpAA=0.05 First60=0.05 PredHel=0 Topology=o</t>
  </si>
  <si>
    <t>Dictyostelium purpureum</t>
  </si>
  <si>
    <t>pfam01625, PMSR, Peptide methionine sulfoxide reductase.  This enzyme repairs damaged proteins. Methionine sulfoxide in proteins is reduced to methionine.</t>
  </si>
  <si>
    <t>PMSR 4e-046| MsrA 2e-041| PRK14054 1e-040| PRK05550 9e-039| Peptide_methionine_sulfoxide_reductase...   144   3e-035 3e-035| PRK13014 6e-035| PRK00058 7e-035| PRK14018 6e-017| PRK05528 6e-004| COG4623 |</t>
  </si>
  <si>
    <t>KOG1635, KOG1635, KOG1635, Peptide methionine sulfoxide reductase [Posttranslational modification, protein turnover, chaperones].</t>
  </si>
  <si>
    <t xml:space="preserve"> AgamP4_3L:41712276-41713476(+) </t>
  </si>
  <si>
    <t>AGAP003837-RA</t>
  </si>
  <si>
    <t>AGAP003837-PA</t>
  </si>
  <si>
    <t xml:space="preserve"> mitochondrial potassium channel isoform x1</t>
  </si>
  <si>
    <t>tr</t>
  </si>
  <si>
    <t>ExpAA=15.64 First60=0.17 PredHel=0 Topology=o</t>
  </si>
  <si>
    <t>Paramecium tetraurelia strain d4-2</t>
  </si>
  <si>
    <t>pfam09976, TPR_21, Tetratricopeptide repeat-like domain.  This family resembles a single unit of a TPR repeat.</t>
  </si>
  <si>
    <t>TPR_21 0.047| COG1579 | PLN03187 | Chromosome_partition_protein_Smc | PRK12704 | DFF-C | Mnd1 | chromosome_segregation_protein_related...    29   3.4   | hypothetical_protein | PRK03918 |</t>
  </si>
  <si>
    <t>KOG3915, KOG3915, KOG3915, Transcription regulator dachshund, contains SKI/SNO domain [Transcription].</t>
  </si>
  <si>
    <t>smart00822, PKS_KR, This enzymatic domain is part of bacterial polyketide synthases.  It catalyses the first step in the reductive modification of the beta-carbonyl centres in the growing polyketide chain. It uses NADPH to reduce the keto group to a hydroxy group.</t>
  </si>
  <si>
    <t xml:space="preserve"> AgamP4_2R:44236285-44237292(-) </t>
  </si>
  <si>
    <t>AGAP028146-RB</t>
  </si>
  <si>
    <t>Protein containing BTB/POZ and Kelch - probable fragment</t>
  </si>
  <si>
    <t>st</t>
  </si>
  <si>
    <t>AGAP028146-PB</t>
  </si>
  <si>
    <t xml:space="preserve"> actin-binding protein ipp</t>
  </si>
  <si>
    <t>cs</t>
  </si>
  <si>
    <t>ExpAA=0.29 First60=0.06 PredHel=0 Topology=o</t>
  </si>
  <si>
    <t>Anopheles darlingi</t>
  </si>
  <si>
    <t>Aedes albopictus</t>
  </si>
  <si>
    <t>Aphanomyces astaci</t>
  </si>
  <si>
    <t>Pongo abelii</t>
  </si>
  <si>
    <t>pfam00651, BTB, BTB/POZ domain.  The BTB (for BR-C, ttk and bab) or POZ (for Pox virus and Zinc finger) domain is present near the N-terminus of a fraction of zinc finger (pfam00096) proteins and in proteins that contain the pfam01344 motif such as Kelch and a family of pox virus proteins. The BTB/POZ domain mediates homomeric dimerisation and in some instances heteromeric dimerisation. The structure of the dimerized PLZF BTB/POZ domain has been solved and consists of a tightly intertwined homodimer. The central scaffolding of the protein is made up of a cluster of alpha-helices flanked by short beta-sheets at both the top and bottom of the molecule. POZ domains from several zinc finger proteins have been shown to mediate transcriptional repression and to interact with components of histone deacetylase co-repressor complexes including N-CoR and SMRT. The POZ or BTB domain is also known as BR-C/Ttk or ZiN.</t>
  </si>
  <si>
    <t>BTB 5e-018| BTB 3e-012| PHA03098 4e-007| STKc_DMPK_like | mycothione_red | DEXDc2 | ATP-dependent_helicase/nuclease_subuni...    29   3.3   | STKc_MRCK_alpha | STKc_MRCK_beta |</t>
  </si>
  <si>
    <t>KOG4441, KOG4441, KOG4441, Proteins containing BTB/POZ and Kelch domains, involved in regulatory/signal transduction processes [Signal transduction mechanisms, General function prediction only].</t>
  </si>
  <si>
    <t xml:space="preserve">Signal transduction mechanisms, General function prediction only </t>
  </si>
  <si>
    <t>smart00225, BTB, Broad-Complex, Tramtrack and Bric a brac.  Domain in Broad-Complex, Tramtrack and Bric a brac. Also known as POZ (poxvirus and zinc finger) domain. Known to be a protein-protein interaction motif found at the N-termini of several C2H2-type transcription factors as well as Shaw-type potassium channels. Known structure reveals a tightly intertwined dimer formed via interactions between N-terminal strand and helix structures. However in a subset of BTB/POZ domains, these two secondary structures appear to be missing. Be aware SMART predicts BTB/POZ domains without the beta1- and alpha1-secondary structures.</t>
  </si>
  <si>
    <t xml:space="preserve"> AgamP4_3L:2351022-2353661(-) </t>
  </si>
  <si>
    <t>Anopheles stephensi</t>
  </si>
  <si>
    <t>AGAP013004-RA</t>
  </si>
  <si>
    <t>agap013004-pa - signalP detected - 2 predicted membrane helices</t>
  </si>
  <si>
    <t>AGAP013004-PA</t>
  </si>
  <si>
    <t xml:space="preserve"> protein - signalP detected - 2 predicted membrane helices</t>
  </si>
  <si>
    <t xml:space="preserve"> 28-29</t>
  </si>
  <si>
    <t>ExpAA=29.87 First60=28.68 PredHel=2 Topology=i9-31o46-63i</t>
  </si>
  <si>
    <t>Plasmodium gaboni</t>
  </si>
  <si>
    <t>cd13142, MATE_like_12, Uncharacterized subfamily of the multidrug and toxic compound extrusion (MATE) proteins.  The integral membrane proteins from the MATE family are involved in exporting metabolites across the cell membrane and are responsible for multidrug resistance (MDR) in many bacteria and animals. A number of family members are involved in the synthesis of peptidoglycan components in bacteria.</t>
  </si>
  <si>
    <t>MATE_like_12 | 7tmA_OR51_52-like | 7tmA_OR51-like | 7tmA_OR56-like | TrbL | CuRO_1_FVIII_like | PHA03023 | hyfE | 7tmA_OR52E-like | STIMATE |</t>
  </si>
  <si>
    <t>KOG4471, KOG4471, KOG4471, Phosphatidylinositol 3-phosphate 3-phosphatase myotubularin MTM1 [Lipid transport and metabolism, Intracellular trafficking, secretion, and vesicular transport].</t>
  </si>
  <si>
    <t xml:space="preserve">Lipid transport and metabolism, Intracellular trafficking, secretion, and vesicular transport </t>
  </si>
  <si>
    <t>pfam04610, TrbL, TrbL/VirB6 plasmid conjugal transfer protein.</t>
  </si>
  <si>
    <t>smart00242, MYSc, Myosin. Large ATPases.  ATPase; molecular motor. Muscle contraction consists of a cyclical interaction between myosin and actin. The core of the myosin structure is similar in fold to that of kinesin.</t>
  </si>
  <si>
    <t xml:space="preserve"> AgamP4_2R:47625185-47642379(-) </t>
  </si>
  <si>
    <t>AGAP005023-RA</t>
  </si>
  <si>
    <t xml:space="preserve">Histone H4 [Source:UniProtKB/TrEMBL;Acc:Q7PCX0] </t>
  </si>
  <si>
    <t>Histone H4</t>
  </si>
  <si>
    <t>nr</t>
  </si>
  <si>
    <t>AGAP005023-PA</t>
  </si>
  <si>
    <t xml:space="preserve"> histone h4</t>
  </si>
  <si>
    <t>Aedes aegypti</t>
  </si>
  <si>
    <t>Bombyx mori</t>
  </si>
  <si>
    <t>Sphaeroforma arctica JP610</t>
  </si>
  <si>
    <t>Tigriopus californicus</t>
  </si>
  <si>
    <t>PLN00035, PLN00035, histone H4; Provisional.</t>
  </si>
  <si>
    <t>PLN00035 2e-040| PTZ00015 5e-038| H4 1e-032| H4 3e-030| HHT1 2e-021| PLN00163 1e-013| TAF 3e-004| TAF6 3e-004| CENP-T_C 5e-004| TAF9 0.006|</t>
  </si>
  <si>
    <t>KOG3467, KOG3467, KOG3467, Histone H4 [Chromatin structure and dynamics].</t>
  </si>
  <si>
    <t xml:space="preserve">Chromatin structure and dynamics </t>
  </si>
  <si>
    <t>pfam15511, CENP-T_C, Centromere kinetochore component CENP-T histone fold.  CENP-T is a family of vertebral kinetochore proteins that associates directly with CENP-W. The N-terminus of CENP-T proteins interacts directly with the Ndc80 complex in the outer kinetochore. Importantly, the CENP-T-W complex does not directly associate with CENP-A, but with histone H3 in the centromere region. CENP-T and -W form a hetero-tetramer with CENP-S and -X and bind to a ~100 bp region of nucleosome-free DNA forming a nucleosome-like structure. The DNA-CENP-T-W-S-X complex is likely to be associated with histone H3-containing nucleosomes rather than with CENP-nucleosomes. This domain is the C-terminal histone fold domain of CENP-T, which associates with chromatin.</t>
  </si>
  <si>
    <t>smart00417, H4, Histone H4.</t>
  </si>
  <si>
    <t>Vanessa tameamea</t>
  </si>
  <si>
    <t>AGAP005988-RA</t>
  </si>
  <si>
    <t xml:space="preserve">concentrative nucleoside transporter 1 </t>
  </si>
  <si>
    <t>CNT1: concentrative nucleoside transporter 1</t>
  </si>
  <si>
    <t>Concentrative Na+-nucleoside cotransporter CNT1/CNT2 - 12 predicted membrane helices</t>
  </si>
  <si>
    <t>AGAP005988-PA</t>
  </si>
  <si>
    <t>ExpAA=268.71 First60=0.01 PredHel=12 Topology=i78-100o115-134i162-181o191-208i220-239o279-301i314-336o356-378i385-404o437-459i536-558o573-595i</t>
  </si>
  <si>
    <t>Eptatretus stoutii</t>
  </si>
  <si>
    <t>TIGR00804, Purine_nucleoside_transport_protein_NupG, nucleoside transporter.  The Concentrative Nucleoside Transporter (CNT) Family (TC 2.A.41) Members of the CNT family mediate nucleoside uptake. In bacteria they are energized by H+ symport, but in mammals they are energized by Na+ symport. The different transporters exhibit differing specificities for nucleosides. The E. coli NupC permease transports all nucleosides (both ribo- and deoxyribonucleosides) except hypoxanthine and guanine nucleosides. The B. subtilis NupC is specific for pyrimidine nucleosides (cytidine and uridine and the corresponding deoxyribonucleosides). The mammalian permease members of the CNT family also exhibit differing specificities. Thus, rats possess at least two NupC homologues, one specific for both purine and pyrimidine nucleosides and one specific for purine nucleosides. At least three paralogues have been characterized from humans. One human homologue(CNT1) transports pyrimidine nucleosides and adenosine, but deoxyadenosine and guanosine are poor substrates of this permease. Another (CNT2) is selective for purine nucleosides. Alteration of just a few amino acyl residues in TMSs 7 and 8 interconverts their specificities. [Transport and binding proteins, Nucleosides, purines and pyrimidines].</t>
  </si>
  <si>
    <t>Purine_nucleoside_transport_protein_Nu...   428   e-120 e-120| NupC e-110| Nucleos_tra2_C 1e-075| Nucleos_tra2_N 6e-018| Gate 2e-008| PRK14716 0.045|</t>
  </si>
  <si>
    <t>KOG3747, KOG3747, KOG3747, Concentrative Na+-nucleoside cotransporter CNT1/CNT2 [Nucleotide transport and metabolism, Inorganic ion transport and metabolism].</t>
  </si>
  <si>
    <t xml:space="preserve">Nucleotide transport and metabolism, Inorganic ion transport and metabolism </t>
  </si>
  <si>
    <t>pfam07662, Nucleos_tra2_C, Na+ dependent nucleoside transporter C-terminus.  This family consists of nucleoside transport proteins. Rat Slc28a2 is a purine-specific Na+-nucleoside cotransporter localized to the bile canalicular membrane. Rat Slc28a1 is a a Na+-dependent nucleoside transporter selective for pyrimidine nucleosides and adenosine it also transports the anti-viral nucleoside analogues AZT and ddC. This alignment covers the C-terminus of this family of transporters.</t>
  </si>
  <si>
    <t>smart00846, Gp_dh_N, Glyceraldehyde 3-phosphate dehydrogenase, NAD binding domain.  GAPDH is a tetrameric NAD-binding enzyme involved in glycolysis and glyconeogenesis. N-terminal domain is a Rossmann NAD(P) binding fold.</t>
  </si>
  <si>
    <t xml:space="preserve"> AgamP4_2L:24559100-24561917(+) </t>
  </si>
  <si>
    <t>AGAP004685-RB</t>
  </si>
  <si>
    <t xml:space="preserve">DNA replication ATP-dependent helicase Dna2 </t>
  </si>
  <si>
    <t>DNA replication ATP-dependent helicase Dna2</t>
  </si>
  <si>
    <t>RNA helicase nonsense mRNA reducing factor (pNORF1) - probable fragment</t>
  </si>
  <si>
    <t>tm</t>
  </si>
  <si>
    <t>AGAP004685-PB</t>
  </si>
  <si>
    <t xml:space="preserve"> dna replication atp-dependent helicase/nuclease dna2</t>
  </si>
  <si>
    <t>ExpAA=0.04 First60=0.01 PredHel=0 Topology=o</t>
  </si>
  <si>
    <t>TIGR00376, DNA-binding_protein_SMUBP-2, DNA helicase, putative. The gene product may represent a DNA helicase. Eukaryotic members of this family have been characterized as binding certain single-stranded G-rich DNA sequences (GGGGT and GGGCT). A number of related proteins are characterized as helicases. [DNA metabolism, DNA replication, recombination, and repair].</t>
  </si>
  <si>
    <t>DNA-binding_protein_SMUBP-2 2e-040| COG1112 2e-034| AAA_12 4e-034| Dna2 2e-026| AAA_11 5e-014| AAA_19 2e-009| conserved_hypothetical_protein 1e-008| Cas4_I-A_I-B_I-C_I-D_II-B 7e-007| recD 3e-006| AAA_30 3e-006|</t>
  </si>
  <si>
    <t>KOG1805, KOG1805, KOG1805, DNA replication helicase [Replication, recombination and repair].</t>
  </si>
  <si>
    <t xml:space="preserve">Replication, recombination and repair </t>
  </si>
  <si>
    <t>pfam13087, AAA_12, AAA domain.  This family of domains contain a P-loop motif that is characteristic of the AAA superfamily. Many of the proteins in this family are conjugative transfer proteins.</t>
  </si>
  <si>
    <t>smart00487, DEXDc, DEAD-like helicases superfamily.</t>
  </si>
  <si>
    <t xml:space="preserve"> AgamP4_2L:493633-496897(-) </t>
  </si>
  <si>
    <t xml:space="preserve">2 | 616    PLLRSKR|FL  0.543 *ProP*  | 636    IKSVEAR|SL  0.544 *ProP*  | </t>
  </si>
  <si>
    <t>AGAP007751-RB</t>
  </si>
  <si>
    <t>AGAP007751-PA</t>
  </si>
  <si>
    <t>AGAP007751-PB</t>
  </si>
  <si>
    <t>Salpingoeca rosetta</t>
  </si>
  <si>
    <t>pfam01155, HypA, Hydrogenase/urease nickel incorporation, metallochaperone, hypA.  HypA is a metallochaperone that binds nickel to bring it safely to its target. The targets for Hypa are the nickel-containing enzymes [Ni,Fe]-hydrogenase and urease. The nickel coordinates with four nitrogens within the protein. The four conserved cysteines towards the C-terminus bind one zinc moiety probably to stabilize the protein fold.</t>
  </si>
  <si>
    <t>HypA 0.064| carboxyl-terminal_protease_family_prot...    31   0.34  | PRK06260 | PRK14894 | SIR2H | EFh_PI-PLCdelta3 | ThrC | MltA | Ig_Versican | PRK05192 |</t>
  </si>
  <si>
    <t>KOG2343, KOG2343, KOG2343, Glucose-repressible protein and related proteins [General function prediction only].</t>
  </si>
  <si>
    <t>smart00410, IG_like, Immunoglobulin like.  IG domains that cannot be classified into one of IGv1, IGc1, IGc2, IG.</t>
  </si>
  <si>
    <t xml:space="preserve"> AgamP4_3R:254027-255599(+) </t>
  </si>
  <si>
    <t>C(3.78)</t>
  </si>
  <si>
    <t>AGAP006598-RA</t>
  </si>
  <si>
    <t>mucin-3A-like - 11 OH-glycosylation sites -  11 NetOglyc sites</t>
  </si>
  <si>
    <t>s/</t>
  </si>
  <si>
    <t>AGAP006598-PA</t>
  </si>
  <si>
    <t xml:space="preserve"> storkhead-box protein 1 - 11 OH-glycosylation sites -  11 NetOglyc sites</t>
  </si>
  <si>
    <t>met/energy</t>
  </si>
  <si>
    <t>Leishmania mexicana MHOM/GT/2001/U1103</t>
  </si>
  <si>
    <t>pfam10264, Stork_head, Winged helix Storkhead-box1 domain.  This is the conserved N-terminal winged helix domain of Storkhead-box1 protein which is likely to be a DNA binding domain. In humans the full-length protein controls polyploidization of extravillus trophoblast and is implicated in pre-eclampsia.</t>
  </si>
  <si>
    <t>Stork_head 2e-030| PHA03247 0.022| PAP1 | PI-PLCc_eta | PI-PLCc_delta3 | COG2096 | PRK11901 | Hamartin | DUF3498 | DUF1635 |</t>
  </si>
  <si>
    <t>KOG3897, KOG3897, KOG3897, Conserved protein Knockout [Function unknown].</t>
  </si>
  <si>
    <t>smart00092, RNAse_Pc, Pancreatic ribonuclease.</t>
  </si>
  <si>
    <t xml:space="preserve"> AgamP4_2L:34617824-34632568(+) </t>
  </si>
  <si>
    <t xml:space="preserve">2 | 313    SSKRLQR|SA  0.537 *ProP*  | 371    IFRRSTR|SK  0.520 *ProP*  | </t>
  </si>
  <si>
    <t>AGAP004208-RA</t>
  </si>
  <si>
    <t>AGAP004208-PA partial</t>
  </si>
  <si>
    <t>AGAP004208-PA</t>
  </si>
  <si>
    <t xml:space="preserve"> trq7qb32q7qb32 anoga meiosis-specific nuclear structural protein</t>
  </si>
  <si>
    <t>Xenopus tropicalis</t>
  </si>
  <si>
    <t>PTZ00121, PTZ00121, MAEBL; Provisional.</t>
  </si>
  <si>
    <t>PTZ00121 4e-006| Smc 8e-004| Chromosome_partition_protein_Smc 0.003| SbcC 0.058| mukB 0.071| TPH | chromosome_segregation_protein_related...    34   0.23  | SMC_N | DUF3584 |</t>
  </si>
  <si>
    <t>KOG1029, KOG1029, KOG1029, Endocytic adaptor protein intersectin [Signal transduction mechanisms, Intracellular trafficking, secretion, and vesicular transport].</t>
  </si>
  <si>
    <t xml:space="preserve">Signal transduction mechanisms, Intracellular trafficking, secretion, and vesicular transport </t>
  </si>
  <si>
    <t>pfam13868, TPH, Trichohyalin-plectin-homology domain.  This family is a mixtrue of two different families of eukaryotic proteins. Trichoplein or mitostatin, was first defined as a meiosis-specific nuclear structural protein. It has since been linked with mitochondrial movement. It is associated with the mitochondrial outer membrane, and over-expression leads to reduction in mitochondrial motility whereas lack of it enhances mitochondrial movement. The activity appears to be mediated through binding the mitochondria to the actin intermediate filaments (IFs). The family is in the trichohyalin-plectin-homology domain.</t>
  </si>
  <si>
    <t>smart00498, FH2, Formin Homology 2 Domain.  FH proteins control rearrangements of the actin cytoskeleton, especially in the context of cytokinesis and cell polarisation. Members of this family have been found to interact with Rho-GTPases, profilin and other actin-assoziated proteins. These interactions are mediated by the proline-rich FH1 domain, usually located in front of FH2 (but not listed in SMART). Despite this cytosolic function, vertebrate formins have been assigned functions within the nucleus. A set of Formin-Binding Proteins (FBPs) has been shown to bind FH1 with their WW domain.</t>
  </si>
  <si>
    <t xml:space="preserve"> AgamP4_2R:51869977-51871491(-) </t>
  </si>
  <si>
    <t xml:space="preserve">1 | 176    NEKRILR|SA  0.552 *ProP*  | </t>
  </si>
  <si>
    <t>AGAP009897-RA</t>
  </si>
  <si>
    <t xml:space="preserve">proton-coupled amino acid transporter </t>
  </si>
  <si>
    <t>proton-coupled amino acid transporter</t>
  </si>
  <si>
    <t>Amino acid transporters - 12 predicted membrane helices</t>
  </si>
  <si>
    <t>AGAP009897-PA</t>
  </si>
  <si>
    <t xml:space="preserve"> proton-coupled amino acid transporter 4 - 12 predicted membrane helices</t>
  </si>
  <si>
    <t>ExpAA=236.63 First60=0.00 PredHel=11 Topology=i88-110o114-136i177-199o214-233i240-262o277-299i315-337o357-379i400-419o424-446i466-485o</t>
  </si>
  <si>
    <t>pfam01490, Aa_trans, Transmembrane amino acid transporter protein. This transmembrane region is found in many amino acid transporters including UNC-47 and MTR. UNC-47 encodes a vesicular amino butyric acid (GABA) transporter, (VGAT). UNC-47 is predicted to have 10 transmembrane domains. MTR is a N system amino acid transporter system protein involved in methyltryptophan resistance. Other members of this family include proline transporters and amino acid permeases.</t>
  </si>
  <si>
    <t>Aa_trans 9e-060| SdaC 1e-023| PTZ00206 4e-006| PLN03074 0.068| AA_permease_2 | MscS_TM | hypothetical_protein_HMPREF9455_00034 | 7TM_GPCR_Srz |</t>
  </si>
  <si>
    <t>KOG1304, KOG1304, KOG1304, Amino acid transporters [Amino acid transport and metabolism].</t>
  </si>
  <si>
    <t>smart00385, CYCLIN, domain present in cyclins, TFIIB and Retinoblastoma.  A helical domain present in cyclins and TFIIB (twice) and Retinoblastoma (once). A protein recognition domain functioning in cell-cycle and transcription control.</t>
  </si>
  <si>
    <t xml:space="preserve"> AgamP4_3R:44949254-44962188(+) </t>
  </si>
  <si>
    <t>AGAP011234-RA</t>
  </si>
  <si>
    <t>AGAP011234-PA</t>
  </si>
  <si>
    <t>ExpAA=0.03 First60=0.00 PredHel=0 Topology=o</t>
  </si>
  <si>
    <t>Gallus gallus</t>
  </si>
  <si>
    <t>pfam01753, zf-MYND, MYND finger.</t>
  </si>
  <si>
    <t>zf-MYND 3e-006| SET 1e-005| SET 0.001| COG2940 | PRK15278 | SBP56 | NptA | PLN02511 | Rhodanese_C | MR_like |</t>
  </si>
  <si>
    <t>KOG2084, KOG2084, KOG2084, Predicted histone tail methylase containing SET domain [Chromatin structure and dynamics].</t>
  </si>
  <si>
    <t>smart00317, SET, SET (Su(var)3-9, Enhancer-of-zeste, Trithorax) domain.  Putative methyl transferase, based on outlier plant homologues.</t>
  </si>
  <si>
    <t xml:space="preserve"> AgamP4_3L:19887611-19889626(-) </t>
  </si>
  <si>
    <t>AGAP005121-RB</t>
  </si>
  <si>
    <t xml:space="preserve">PRA1 family protein [Source:UniProtKB/TrEMBL;Acc:Q7Q9P5] </t>
  </si>
  <si>
    <t>PRA1 family protein</t>
  </si>
  <si>
    <t>Glutamate transporter EAAC1-interacting protein GTRAP3-18 - 4 predicted membrane helices</t>
  </si>
  <si>
    <t>AGAP005121-PB</t>
  </si>
  <si>
    <t xml:space="preserve"> gnlcdd231981 glutamate transporter eaac1-interacting protein gtrap3-18 amino acid transport - 4 predicted membrane helices</t>
  </si>
  <si>
    <t>met/aa membrane</t>
  </si>
  <si>
    <t>ExpAA=75.34 First60=10.81 PredHel=4 Topology=i50-72o76-93i113-130o134-153i</t>
  </si>
  <si>
    <t>pfam03208, PRA1, PRA1 family protein.  This family includes the PRA1 (Prenylated rab acceptor) protein which is a Rab guanine dissociation inhibitor (GDI) displacement factor. This family also includes the glutamate transporter EAAC1 interacting protein GTRAP3-18.</t>
  </si>
  <si>
    <t>PRA1 6e-028| PT_UbiA_5 0.065| YIP3 0.070| PRK13024 | DUF2070 | PRK10207 | 7tmA_5-HT2B | 7tmA_5-HT2 |</t>
  </si>
  <si>
    <t>KOG4050, KOG4050, KOG4050, Glutamate transporter EAAC1-interacting protein GTRAP3-18 [Amino acid transport and metabolism, Signal transduction mechanisms].</t>
  </si>
  <si>
    <t xml:space="preserve">Amino acid transport and metabolism, Signal transduction mechanisms </t>
  </si>
  <si>
    <t>smart00245, TSPc, tail specific protease.  tail specific protease.</t>
  </si>
  <si>
    <t>AGAP010373.R324</t>
  </si>
  <si>
    <t>arginine-tRNA-protein transferase</t>
  </si>
  <si>
    <t>VectorBase: AGAP010373</t>
  </si>
  <si>
    <t>AGAP007959-RB</t>
  </si>
  <si>
    <t>AGAP007959-PA</t>
  </si>
  <si>
    <t>AGAP007959-PB</t>
  </si>
  <si>
    <t xml:space="preserve"> trq7q3n2q7q3n2 anoga os-ox-76 gn-agap agap00799 pe-4 sv-2</t>
  </si>
  <si>
    <t>COG5422, ROM1, RhoGEF, Guanine nucleotide exchange factor for Rho/Rac/Cdc42-like GTPases [Signal transduction mechanisms].</t>
  </si>
  <si>
    <t>ROM1 | sifB | PLN02527 | AsmA | 7tmF_FZD1_insect | PRK09752 | MYSc_Myo18 | PRK10436 | minC |</t>
  </si>
  <si>
    <t>KOG1939, KOG1939, KOG1939, Oxoprolinase [Amino acid transport and metabolism].</t>
  </si>
  <si>
    <t>pfam05170, AsmA, AsmA family.  The AsmA gene, whose product is involved in the assembly of outer membrane proteins in Escherichia coli. AsmA mutations were isolated as extragenic suppressors of an OmpF assembly mutant. AsmA may have a role in LPS biogenesis.</t>
  </si>
  <si>
    <t>smart00073, HPT, Histidine Phosphotransfer domain.  Contains an active histidine residue that mediates phosphotransfer reactions. Domain detected only in eubacteria. This alignment is an extension to that shown in the Cell structure paper.</t>
  </si>
  <si>
    <t xml:space="preserve"> AgamP4_3R:3317951-3318688(+) </t>
  </si>
  <si>
    <t xml:space="preserve">1 | 82    SLKRTKR|TV  0.718 *ProP*  | </t>
  </si>
  <si>
    <t>AGAP010071-RA</t>
  </si>
  <si>
    <t xml:space="preserve">acyl-CoA synthetase </t>
  </si>
  <si>
    <t>acyl-CoA synthetase</t>
  </si>
  <si>
    <t>acyl-CoA synthetase family member 4 homolog isoform X1</t>
  </si>
  <si>
    <t>AGAP010071-PA</t>
  </si>
  <si>
    <t xml:space="preserve"> tra0as4h2u4a0as4h2u4 anoga acyl-coa synthetase os-ox-76 pe-4 sv</t>
  </si>
  <si>
    <t>ExpAA=15.44 First60=1.78 PredHel=0 Topology=o</t>
  </si>
  <si>
    <t>cd05930, A_NRPS, The adenylation domain of nonribosomal peptide synthetases (NRPS).  The adenylation (A) domain of NRPS recognizes a specific amino acid or hydroxy acid and activates it as an (amino) acyl adenylate by hydrolysis of ATP. The activated acyl moiety then forms a thioester bond to the enzyme-bound cofactor phosphopantetheine of a peptidyl carrier protein domain. NRPSs are large multifunctional enzymes which synthesize many therapeutically useful peptides in bacteria and fungi via a template-directed, nucleic acid independent nonribosomal mechanism. These natural products include antibiotics, immunosuppressants, plant and animal toxins, and enzyme inhibitors. NRPS has a distinct modular structure in which each module is responsible for the recognition, activation, and in some cases, modification of a single amino acid residue of the final peptide product. The modules can be subdivided into domains that catalyze specific biochemical reactions.</t>
  </si>
  <si>
    <t>A_NRPS 1e-046| A_NRPS_Ta1_like 5e-042| non-ribosomal_peptide_synthetase 2e-039| A_NRPS_Srf_like 6e-036| A_NRPS_TlmIV_like 2e-034| EntF 9e-034| PRK12467 2e-032| DltA 3e-032| AFD_class_I 3e-032| PRK12316 3e-028|</t>
  </si>
  <si>
    <t>KOG4649, KOG4649, KOG4649, PQQ (pyrrolo-quinoline quinone) repeat protein [Secondary metabolites biosynthesis, transport and catabolism].</t>
  </si>
  <si>
    <t xml:space="preserve">Secondary metabolites biosynthesis, transport and catabolism </t>
  </si>
  <si>
    <t>pfam00501, AMP-binding, AMP-binding enzyme.</t>
  </si>
  <si>
    <t>smart00564, PQQ, beta-propeller repeat.  Beta-propeller repeat occurring in enzymes with pyrrolo-quinoline quinone (PQQ) as cofactor, in Ire1p-like Ser/Thr kinases, and in prokaryotic dehydrogenases.</t>
  </si>
  <si>
    <t xml:space="preserve"> AgamP4_3R:48614181-48617380(+) </t>
  </si>
  <si>
    <t>AGAP010550-RA</t>
  </si>
  <si>
    <t xml:space="preserve">venom allergen </t>
  </si>
  <si>
    <t>venom allergen</t>
  </si>
  <si>
    <t>SCP-like extracellular protein domain - signalP detected</t>
  </si>
  <si>
    <t>s/antigen5</t>
  </si>
  <si>
    <t>AGAP010550-PA</t>
  </si>
  <si>
    <t xml:space="preserve"> antigen 5 like allergen cul n 1-like protein - signalP detected</t>
  </si>
  <si>
    <t xml:space="preserve"> 21-22</t>
  </si>
  <si>
    <t>ExpAA=3.94 First60=2.72 PredHel=0 Topology=o</t>
  </si>
  <si>
    <t>Tetrahymena thermophila SB210</t>
  </si>
  <si>
    <t>Dolichovespula maculata</t>
  </si>
  <si>
    <t>cd05380, SCP_euk, SCP_euk: SCP-like extracellular protein domain, as found mainly in eukaryotes. This family includes plant pathogenesis-related protein 1 (PR-1), CRISPs, mammalian cysteine-rich secretory proteins, and allergen 5 from vespid venom. It has been proposed that SCP domains may function as endopeptidases.</t>
  </si>
  <si>
    <t>SCP_euk 1e-033| SCP 5e-016| SCP_HrTT-1 3e-009| SCP 1e-008| CAP 2e-007| SCP_GLIPR-1_like 2e-006| SCP_CRISP 5e-006| SCP_GAPR-1_like 1e-005| SCP_PRY1_like 2e-004| SCP_PR-1_like 8e-004|</t>
  </si>
  <si>
    <t>KOG3017, KOG3017, KOG3017, Defense-related protein containing SCP domain [Function unknown].</t>
  </si>
  <si>
    <t>pfam00188, CAP, Cysteine-rich secretory protein family.  This is a large family of cysteine-rich secretory proteins, antigen 5, and pathogenesis-related 1 proteins (CAP) that are found in a wide range of organisms, including prokaryotes and non-vertebrate eukaryotes, The nine subfamilies of the mammalian CAP 'super'family include: the human glioma pathogenesis-related 1 (GLIPR1), Golgi associated pathogenesis related-1 (GAPR1) proteins, peptidase inhibitor 15 (PI15), peptidase inhibitor 16 (PI16), cysteine-rich secretory proteins (CRISPs), CRISP LCCL domain containing 1 (CRISPLD1), CRISP LCCL domain containing 2 (CRISPLD2), mannose receptor like and the R3H domain containing like proteins. Members are most often secreted and have an extracellular endocrine or paracrine function and are involved in processes including the regulation of extracellular matrix and branching morphogenesis, potentially as either proteases or protease inhibitors; in ion channel regulation in fertility; as tumor suppressor or pro-oncogenic genes in tissues including the prostate; and in cell-cell adhesion during fertilisation. The overall protein structural conservation within the CAP 'super'family results in fundamentally similar functions for the CAP domain in all members, yet the diversity outside of this core region dramatically alters the target specificity and, thus, the biological consequences. The Ca++-chelating function would fit with the various signalling processes (e.g. the CRISP proteins) that members of this family are involved in, and also the sequence and structural evidence of a conserved pocket containing two histidines and a glutamate. It also may explain how the cysteine-rich venom protein helothermine blocks the Ca++ transporting ryanodine receptors.</t>
  </si>
  <si>
    <t>smart00198, SCP, SCP / Tpx-1 / Ag5 / PR-1 / Sc7 family of extracellular domains.  Human glioma pathogenesis-related protein GliPR and the plant pathogenesis-related protein represent functional links between plant defense systems and human immune system. This family has no known function.</t>
  </si>
  <si>
    <t xml:space="preserve"> AgamP4_3L:6251431-6252272(+) </t>
  </si>
  <si>
    <t xml:space="preserve">1 | 126    RNTRRYR|TA  0.558 *ProP*  | </t>
  </si>
  <si>
    <t>AGAP004667.R306</t>
  </si>
  <si>
    <t>unspecified product</t>
  </si>
  <si>
    <t>VectorBase: AGAP004667</t>
  </si>
  <si>
    <t>AGAP010317-RA</t>
  </si>
  <si>
    <t>histone PARylation factor 1-like</t>
  </si>
  <si>
    <t>AGAP010317-PA</t>
  </si>
  <si>
    <t xml:space="preserve"> histone parylation factor 1-like protein</t>
  </si>
  <si>
    <t>ExpAA=0.06 First60=0.00 PredHel=0 Topology=o</t>
  </si>
  <si>
    <t>Phytophthora parasitica INRA-310</t>
  </si>
  <si>
    <t>pfam10228, DUF2228, Uncharacterized conserved protein (DUF2228). This is a family of conserved proteins of approximately 700 residues found from worms to humans.</t>
  </si>
  <si>
    <t>DUF2228 2e-095| zf-CCHH 3e-006| M3A_DCP | COG2604 | TruD | COG1365 | PHA03412 | WbuX | COG0585 | Alpha_ANH_like |</t>
  </si>
  <si>
    <t>KOG3952, KOG3952, KOG3952, Uncharacterized conserved protein [Function unknown].</t>
  </si>
  <si>
    <t>smart00903, Flavin_Reduct, Flavin reductase like domain.  This entry represents the FMN-binding domain found in NAD(P)H-flavin oxidoreductases (flavin reductases), a class of enzymes capable of producing reduced flavin for bacterial bioluminescence and other biological processes. This domain is also found in various other oxidoreductase and monooxygenase enzymes... This domain consists of a beta-barrel with Greek key topology, and is related to the ferredoxin reductase-like FAD-binding domain. The flavin reductases have a different dimerisation mode than that found in the PNP oxidase-like family, which also carries an FMN-binding domain with a similar topology.</t>
  </si>
  <si>
    <t xml:space="preserve"> AgamP4_3L:413312-414970(+) </t>
  </si>
  <si>
    <t>AGAP000984-RA</t>
  </si>
  <si>
    <t>RE1-silencing transcription factor isoform X5</t>
  </si>
  <si>
    <t>tf</t>
  </si>
  <si>
    <t>AGAP000984-PA</t>
  </si>
  <si>
    <t xml:space="preserve"> transcriptional repressor salm</t>
  </si>
  <si>
    <t>ExpAA=0.05 First60=0.01 PredHel=0 Topology=o</t>
  </si>
  <si>
    <t>Eimeria mitis</t>
  </si>
  <si>
    <t>sd00017, ZF_C2H2, Zinc finger, C2H2 type.  The C2H2 zinc finger is a classical zinc finger domain. C2H2-type zinc fingers are ubiquitous; more than 1% of all mammalian proteins are predicted to contain at least one zinc finger. They often function as DNA or protein binding structural motifs, such as in eukaryotic transcription factors, and therefore they play important roles in cellular processes such as development, differentiation, and oncosuppression. C2H2 zinc finger proteins contain from 1 to more than 30 zinc finger repeats.</t>
  </si>
  <si>
    <t>ZF_C2H2 3e-017| ZF_C2H2 1e-012| Gly_rich 7e-009| PRK13875 7e-008| Paf1 3e-007| COG5414 5e-006| Loricrin 5e-006| Nop14 7e-006| zf-H2C2_2 2e-005| TPH 2e-005|</t>
  </si>
  <si>
    <t>KOG3576, KOG3576, KOG3576, Ovo and related transcription factors [Transcription].</t>
  </si>
  <si>
    <t>pfam12810, Gly_rich, Glycine rich protein.  This family of proteins is greatly expanded in Trichomonas vaginalis. The proteins are composed of several glycine rich motifs interspersed through the sequence. Although many proteins have been annotated by similarity in the family these annotations given the biased composition of the sequences these are unlikely to be functionally relevant.</t>
  </si>
  <si>
    <t>smart00355, ZnF_C2H2, zinc finger.</t>
  </si>
  <si>
    <t xml:space="preserve"> AgamP4_X:18904974-18913038(+) </t>
  </si>
  <si>
    <t xml:space="preserve">3 | 606    GGRRRKR|AP  0.667 *ProP*  | 1523    GGHLIRR|SA  0.545 *ProP*  | 1718    YRRRRRR|LQ  0.659 *ProP*  | </t>
  </si>
  <si>
    <t>THR</t>
  </si>
  <si>
    <t>AGAP004842-RA</t>
  </si>
  <si>
    <t xml:space="preserve">ubiquinone biosynthesis protein COQ9, mitochondrial </t>
  </si>
  <si>
    <t>ubiquinone biosynthesis protein COQ9, mitochondrial</t>
  </si>
  <si>
    <t>ubiquinone biosynthesis protein COQ9 mitochondrial</t>
  </si>
  <si>
    <t>AGAP004842-PA</t>
  </si>
  <si>
    <t xml:space="preserve"> ubiquinone biosynthesis protein coq9</t>
  </si>
  <si>
    <t>ExpAA=0.02 First60=0.01 PredHel=0 Topology=o</t>
  </si>
  <si>
    <t>TIGR02396, conserved_hypothetical_protein, rpsU-divergently transcribed protein.  This uncharacterized protein is found in a number of Alphaproteobacteria and, with N-terminal regions long enough to be transit peptides, in eukaryotes. This phylogeny suggests mitochondrial derivation. In several Alphaproteobacteria, the gene for this protein is encoded divergently from rpsU, the gene for ribosomal protein S21. S21 is unusual in being encoded outside the usual long ribosomal protein operons, but rather in contexts that suggest regulation of the initiation of protein translation. [Unknown function, General].</t>
  </si>
  <si>
    <t>conserved_hypothetical_protein 3e-047| COQ9 1e-030| COG5590 3e-022| CDK2AP | HPHLAWLY | CbiG_C | GAD-like | Paf1 | Glyco_hydro_42 | hetR |</t>
  </si>
  <si>
    <t>KOG2969, KOG2969, KOG2969, Uncharacterized conserved protein [Function unknown].</t>
  </si>
  <si>
    <t>pfam08511, COQ9, COQ9.  COQ9 is an enzyme that is required for the biosynthesis of coenzyme Q. It may either catalyze a reaction in the coenzyme Q biosynthetic pathway or have a regulatory role.</t>
  </si>
  <si>
    <t>smart00795, Agro_virD5, Agrobacterium VirD5 protein.  The virD operon in Agrobacterium encodes a site-specific endonuclease, and a number of other poorly characterised products. This family represents the VirD5 protein.</t>
  </si>
  <si>
    <t xml:space="preserve"> AgamP4_2L:4388695-4392236(+) </t>
  </si>
  <si>
    <t>AGAP012394-RA</t>
  </si>
  <si>
    <t>AGAP012394-PA</t>
  </si>
  <si>
    <t>PMSR 2e-046| MsrA 9e-042| PRK14054 4e-041| PRK05550 4e-039| Peptide_methionine_sulfoxide_reductase...   147   6e-036 6e-036| PRK00058 2e-035| PRK13014 3e-035| PRK14018 2e-017| PRK05528 5e-004| COG4623 |</t>
  </si>
  <si>
    <t xml:space="preserve"> AgamP4_3L:41710273-41711473(-) </t>
  </si>
  <si>
    <t>AGAP001228-RA</t>
  </si>
  <si>
    <t xml:space="preserve">DNA-directed RNA polymerase II subunit RPB4 </t>
  </si>
  <si>
    <t>DNA-directed RNA polymerase II subunit RPB4</t>
  </si>
  <si>
    <t>RNA polymerase II fourth largest subunit</t>
  </si>
  <si>
    <t>AGAP001228-PA</t>
  </si>
  <si>
    <t xml:space="preserve"> dna-directed rna polymerase ii subunit rpb4</t>
  </si>
  <si>
    <t>Acanthamoeba castellanii str. Neff</t>
  </si>
  <si>
    <t>smart00657, RPOL4c, DNA-directed RNA-polymerase II subunit.</t>
  </si>
  <si>
    <t>RPOL4c 1e-026| RNA_pol_Rpb4 3e-022| RPB4 1e-020| PRK14981 1e-004| MCPVI | PRK09243 | PLN02341 | COG1460 | eIF-5_eIF-2B | Phenylalanine--tRNA_ligase_mitochondri...    27   3.8   |</t>
  </si>
  <si>
    <t>KOG2351, KOG2351, KOG2351, RNA polymerase II, fourth largest subunit [Transcription].</t>
  </si>
  <si>
    <t>pfam03874, RNA_pol_Rpb4, RNA polymerase Rpb4.  This family includes the Rpb4 protein. This family also includes C17 (aka CGRP-RCP) is an essential subunit of RNA polymerase III. C17 forms a subcomplex with C25 which is likely to be the counterpart of subcomplex Rpb4/7 in Pol II.</t>
  </si>
  <si>
    <t xml:space="preserve"> AgamP4_2R:1652312-1652885(-) </t>
  </si>
  <si>
    <t>AGAP028687-RA</t>
  </si>
  <si>
    <t>Unknown product</t>
  </si>
  <si>
    <t>uk</t>
  </si>
  <si>
    <t>AGAP028687-PA</t>
  </si>
  <si>
    <t xml:space="preserve"> tra0ai8jtm7a0ai8jtm7 anoar domain-containing protein os-arabiensis ox-773 pe-4 sv</t>
  </si>
  <si>
    <t>ExpAA=0.02 First60=0.00 PredHel=0 Topology=o</t>
  </si>
  <si>
    <t>Dictyostelium discoideum AX4</t>
  </si>
  <si>
    <t>pfam16064, DUF4806, Domain of unknown function (DUF4806).  This presumed domain is functionally uncharacterized. This domain family is found in eukaryotes, and is approximately 80 amino acids in length.</t>
  </si>
  <si>
    <t>DUF4806 7e-005| RYDR_ITPR | MR_like_4 | PHA03246 | ATP-dependent_helicase/nuclease_subuni...    30   2.5   | RasGAP_IQGAP3 | PRK06846 | hypothetical_protein | Putative_agmatine_deiminase | PRK15122 |</t>
  </si>
  <si>
    <t>KOG0389, KOG0389, KOG0389, SNF2 family DNA-dependent ATPase [Chromatin structure and dynamics].</t>
  </si>
  <si>
    <t>smart00874, B5, tRNA synthetase B5 domain.  This domain is found in phenylalanine-tRNA synthetase beta subunits.</t>
  </si>
  <si>
    <t xml:space="preserve"> AgamP4_3L:16294462-16296480(-) </t>
  </si>
  <si>
    <t>AGAP010407-RB</t>
  </si>
  <si>
    <t xml:space="preserve">Elongator complex protein 4 [Source:UniProtKB/TrEMBL;Acc:A0A453YVZ9] </t>
  </si>
  <si>
    <t>Elongator complex protein 4</t>
  </si>
  <si>
    <t>RNA polymerase II elongator complex subunit ELP4</t>
  </si>
  <si>
    <t>AGAP010407-PB</t>
  </si>
  <si>
    <t xml:space="preserve"> rna polymerase ii elongator complex</t>
  </si>
  <si>
    <t>ExpAA=1.35 First60=0.05 PredHel=0 Topology=o</t>
  </si>
  <si>
    <t>Xenopus laevis</t>
  </si>
  <si>
    <t>pfam05625, PAXNEB, PAXNEB protein.  PAXNEB or PAX6 neighbor is found in several eukaryotic organisms. PAXNED is an RNA polymerase II Elongator protein subunit. It is part of the HAP subcomplex of Elongator, which is a six-subunit component of the RNA polymerase II holoenzyme. The HAP subcomplex is required for Elongator structural integrity and histone acetyltransferase activity. This protein family has a P-loop motif. However its sequence has degraded in many members of the family.</t>
  </si>
  <si>
    <t>PAXNEB e-114| KaiC_arch_3 0.077| FlaH 0.085| PRK09302 | PRK06067 | Sms | recA_like | Circadian_clock_protein_kinase_KaiC | hypothetical_protein_BL1641 | ATPase |</t>
  </si>
  <si>
    <t>KOG3949, KOG3949, KOG3949, RNA polymerase II elongator complex, subunit ELP4 [Chromatin structure and dynamics, Transcription].</t>
  </si>
  <si>
    <t xml:space="preserve">Chromatin structure and dynamics, Transcription </t>
  </si>
  <si>
    <t>smart00216, VWD, von Willebrand factor (vWF) type D domain.  Von Willebrand factor contains several type D domains: D1 and D2 are present within the N-terminal propeptide whereas the remaining D domains are required for multimerisation.</t>
  </si>
  <si>
    <t>AGAP010517-RB</t>
  </si>
  <si>
    <t xml:space="preserve">manganese-iron superoxide dismutase 1 </t>
  </si>
  <si>
    <t>MnSOD1: manganese-iron superoxide dismutase 1</t>
  </si>
  <si>
    <t>superoxide dismutase 3.4 mitochondrial</t>
  </si>
  <si>
    <t>AGAP010517-PB</t>
  </si>
  <si>
    <t xml:space="preserve"> superoxide dismutase mn</t>
  </si>
  <si>
    <t>COG0605, SodA, Superoxide dismutase [Inorganic ion transport and metabolism].</t>
  </si>
  <si>
    <t>SodA 7e-072| PLN02471 1e-069| PRK10925 2e-043| Sod_Fe_C 1e-042| PRK10543 7e-035| PLN02685 3e-032| Sod_Fe_N 1e-031| PTZ00078 4e-031| PLN02184 2e-028| PLN02622 6e-028|</t>
  </si>
  <si>
    <t>KOG0876, KOG0876, KOG0876, Manganese superoxide dismutase [Inorganic ion transport and metabolism].</t>
  </si>
  <si>
    <t xml:space="preserve">Inorganic ion transport and metabolism </t>
  </si>
  <si>
    <t>pfam02777, Sod_Fe_C, Iron/manganese superoxide dismutases, C-terminal domain.  superoxide dismutases (SODs) catalyze the conversion of superoxide radicals to hydrogen peroxide and molecular oxygen. Three evolutionarily distinct families of SODs are known, of which the Mn/Fe-binding family is one. In humans, there is a cytoplasmic Cu/Zn SOD, and a mitochondrial Mn/Fe SOD. C-terminal domain is a mixed alpha/beta fold.</t>
  </si>
  <si>
    <t>smart00129, KISc, Kinesin motor, catalytic domain. ATPase. Microtubule-dependent molecular motors that play important roles in intracellular transport of organelles and in cell division.</t>
  </si>
  <si>
    <t xml:space="preserve"> AgamP4_3L:5581880-5582955(-) </t>
  </si>
  <si>
    <t>AGAP012191-RA</t>
  </si>
  <si>
    <t xml:space="preserve">mitochondrial succinate dehydrogenase assembly factor 2 </t>
  </si>
  <si>
    <t>mitochondrial succinate dehydrogenase assembly factor 2</t>
  </si>
  <si>
    <t>Succinate dehydrogenase assembly factor 2 mitochondrial</t>
  </si>
  <si>
    <t>AGAP012191-PA</t>
  </si>
  <si>
    <t xml:space="preserve"> tra0a82txh6a0a82txh6 9dipt succinate dehydrogenase assembly factor 2</t>
  </si>
  <si>
    <t>ExpAA=0.03 First60=0.01 PredHel=0 Topology=o</t>
  </si>
  <si>
    <t>Fonticula alba</t>
  </si>
  <si>
    <t>pfam03937, Sdh5, Flavinator of succinate dehydrogenase.  This family includes the highly conserved mitochondrial and bacterial proteins Sdh5/SDHAF2/SdhE. Both yeast and human Sdh5/SDHAF2 interact with the catalytic subunit of the succinate dehydrogenase (SDH) complex, a component of both the electron transport chain and the tricarboxylic acid cycle. Sdh5 is required for SDH-dependent respiration and for Sdh1 flavination (incorporation of the flavin adenine dinucleotide cofactor). Mutational inactivation of Sdh5 confers tumor susceptibility in humans. Bacterial homologs of Sdh5, termed SdhE, are functionally conserved being required for the flavinylation of SdhA and succinate dehydrogenase activity. Like Sdh5, SdhE interacts with SdhA. Furthermore, SdhE was characterized as a FAD co-factor chaperone that directly binds FAD to facilitate the flavinylation of SdhA. Phylogenetic analysis demonstrates that SdhE/Sdh5 proteins evolved only once in an ancestral alpha-proteobacteria prior to the evolution of the mitochondria and now remain in subsequent descendants including eukaryotic mitochondria and the alpha, beta and gamma proteobacteria. This family was previously annotated in Pfam as being a divergent TPR repeat but structural evidence has indicated this is not true. The E. coli protein, YgfY also acts as the antitoxin to the membrane-bound toxin family Cpta, pfam13166, whose E. coli member YgfX, expressed from the same operon as YgfY.</t>
  </si>
  <si>
    <t>Sdh5 2e-022| COG2938 2e-015| HpaC | 7tmC_mGluR6 | COG4889 | Oligoendopeptidase_F_homolog | PRK09297 | PRK14613 | MYSc_Myo46 | PTZ00343 |</t>
  </si>
  <si>
    <t>KOG3326, KOG3326, KOG3326, Uncharacterized conserved protein [Function unknown].</t>
  </si>
  <si>
    <t>smart00858, SAF, This domain family includes a range of different proteins. Such as antifreeze proteins and flagellar FlgA proteins, and CpaB pilus proteins.</t>
  </si>
  <si>
    <t xml:space="preserve"> AgamP4_3L:38568261-38568882(-) </t>
  </si>
  <si>
    <t>AGAP009996-RA</t>
  </si>
  <si>
    <t xml:space="preserve">peptidyl-prolyl cis-trans isomerase-like 3 </t>
  </si>
  <si>
    <t>peptidyl-prolyl cis-trans isomerase-like 3</t>
  </si>
  <si>
    <t>AGAP009996-PA partial</t>
  </si>
  <si>
    <t>AGAP009996-PA</t>
  </si>
  <si>
    <t>Mus musculus</t>
  </si>
  <si>
    <t>cd01928, Cyclophilin_PPIL3_like, Cyclophilin_PPIL3_like. Proteins similar to Human cyclophilin-like peptidylprolyl cis- trans isomerase (PPIL3). Members of this family lack a key residue important for cyclosporin binding: the tryptophan residue corresponding to W121 in human hCyP-18a; most members have a histidine at this position. The exact function of the protein is not known.</t>
  </si>
  <si>
    <t>Cyclophilin_PPIL3_like 6e-079| cyclophilin_RING 4e-057| cyclophilin 1e-050| cyclophilin_WD40 2e-050| Pro_isomerase 1e-048| PpiB 9e-046| cyclophilin_CeCYP16-like 1e-045| cyclophilin_SpCYP2_like 7e-041| cyclophilin_RRM 1e-039| cyclophilin_ABH_like 5e-037|</t>
  </si>
  <si>
    <t>KOG0884, KOG0884, KOG0884, Similar to cyclophilin-type peptidyl-prolyl cis-trans isomerase [Posttranslational modification, protein turnover, chaperones].</t>
  </si>
  <si>
    <t>pfam00160, Pro_isomerase, Cyclophilin type peptidyl-prolyl cis-trans isomerase/CLD.  The peptidyl-prolyl cis-trans isomerases, also known as cyclophilins, share this domain of about 109 amino acids. Cyclophilins have been found in all organisms studied so far and catalyze peptidyl-prolyl isomerisation during which the peptide bond preceding proline (the peptidyl-prolyl bond) is stabilized in the cis conformation. Mammalian cyclophilin A (CypA) is a major cellular target for the immunosuppressive drug cyclosporin A (CsA). Other roles for cyclophilins may include chaperone and cell signalling function.</t>
  </si>
  <si>
    <t xml:space="preserve"> AgamP4_3R:47428319-47428936(+) </t>
  </si>
  <si>
    <t>AGAP001998-RA</t>
  </si>
  <si>
    <t xml:space="preserve">28S ribosomal protein S10, mitochondrial </t>
  </si>
  <si>
    <t>mRpS10: 28S ribosomal protein S10, mitochondrial</t>
  </si>
  <si>
    <t>Mitochondrial ribosomal protein S10</t>
  </si>
  <si>
    <t>ps</t>
  </si>
  <si>
    <t>AGAP001998-PA</t>
  </si>
  <si>
    <t xml:space="preserve"> 28s ribosomal protein s10</t>
  </si>
  <si>
    <t>pfam00338, Ribosomal_S10, Ribosomal protein S10p/S20e.  This family includes small ribosomal subunit S10 from prokaryotes and S20 from eukaryotes.</t>
  </si>
  <si>
    <t>Ribosomal_S10 3e-023| 30S_ribosomal_protein_S10 2e-004| rpsJ 6e-004| RpsJ 0.016| PRK11857 | rps10 | AAA_34 | PRK12492 | PRK01076 | DNA-apurinic_or_apyrimidinic_site_lyas...    26   5.8   |</t>
  </si>
  <si>
    <t>KOG3321, KOG3321, KOG3321, Mitochondrial ribosomal protein S10 [Translation, ribosomal structure and biogenesis].</t>
  </si>
  <si>
    <t xml:space="preserve">Translation, ribosomal structure and biogenesis </t>
  </si>
  <si>
    <t>smart00350, MCM, minichromosome maintenance proteins.</t>
  </si>
  <si>
    <t xml:space="preserve"> AgamP4_2R:13322965-13323598(-) </t>
  </si>
  <si>
    <t>AGAP009656-RA</t>
  </si>
  <si>
    <t>AGAP009656-PA</t>
  </si>
  <si>
    <t>Macaca fascicularis</t>
  </si>
  <si>
    <t>smart00868, zf-AD, Zinc-finger associated domain (zf-AD).  The zf-AD domain, also known as ZAD, forms an atypical treble-cleft-like zinc co-ordinating fold. The zf-AD domain is thought to be involved in mediating dimer formation, but does not bind to DNA.</t>
  </si>
  <si>
    <t>zf-AD 9e-007| ZF_C2H2 6e-005| zf-AD 8e-005| PHA00732 0.018| ZF_C2H2 0.062| COG3677 | Zn-ribbon_8 | CxxC_CXXC_SSSS | XRN1 | DUF1398 |</t>
  </si>
  <si>
    <t>KOG3608, KOG3608, KOG3608, Zn finger proteins [General function prediction only].</t>
  </si>
  <si>
    <t>pfam07776, zf-AD, Zinc-finger associated domain (zf-AD).  The zf-AD domain, also known as ZAD, forms an atypical treble-cleft-like zinc co-ordinating fold. The zf-AD domain is thought to be involved in mediating dimer formation, but does not bind to DNA.</t>
  </si>
  <si>
    <t xml:space="preserve"> AgamP4_3R:37634885-37635932(+) </t>
  </si>
  <si>
    <t xml:space="preserve">1 | 127    IVSDKKR|DL  0.667 *ProP*  | </t>
  </si>
  <si>
    <t>AGAP004962-RA</t>
  </si>
  <si>
    <t xml:space="preserve">cyclin B </t>
  </si>
  <si>
    <t>cyclin B</t>
  </si>
  <si>
    <t>G2/Mitotic-specific cyclin A</t>
  </si>
  <si>
    <t>AGAP004962-PA</t>
  </si>
  <si>
    <t xml:space="preserve"> gnlcdd228600</t>
  </si>
  <si>
    <t>ExpAA=0.86 First60=0.00 PredHel=0 Topology=o</t>
  </si>
  <si>
    <t>COG5024, COG5024, Cyclin [Cell division and chromosome partitioning].</t>
  </si>
  <si>
    <t>COG5024 1e-046| Cyclin_N 3e-043| Cyclin_C 1e-026| CYCLIN 3e-018| CYCLIN 2e-016| SUA7 0.003| CCL1 0.006| flgD | tfb | cytidylyltransferase_like |</t>
  </si>
  <si>
    <t>KOG0653, KOG0653, KOG0653, Cyclin B and related kinase-activating proteins [Cell cycle control, cell division, chromosome partitioning].</t>
  </si>
  <si>
    <t xml:space="preserve">Cell cycle control, cell division, chromosome partitioning </t>
  </si>
  <si>
    <t>pfam00134, Cyclin_N, Cyclin, N-terminal domain.  Cyclins regulate cyclin dependent kinases (CDKs). Cyclin-0 (CCNO) is a Uracil-DNA glycosylase that is related to other cyclins. Cyclins contain two domains of similar all-alpha fold, of which this family corresponds with the N-terminal domain.</t>
  </si>
  <si>
    <t xml:space="preserve"> AgamP4_2L:7214394-7216359(-) </t>
  </si>
  <si>
    <t>AGAP010297-RA</t>
  </si>
  <si>
    <t>AGAP010297-PA</t>
  </si>
  <si>
    <t xml:space="preserve"> transforming acidic coiled-coil-containing protein</t>
  </si>
  <si>
    <t>pfam05010, TACC, Transforming acidic coiled-coil-containing protein (TACC).  This family contains the proteins TACC 1, 2 and 3 the genes for which are found concentrated in the centrosomes of eukaryotic and may play a conserved role in organising centrosomal microtubules. The human TACC proteins have been linked to cancer and TACC2 has been identified as a possible tumor suppressor (AZU-1). The functional homolog (Alp7) in Schizosaccharomyces pombe has been shown to be required for organisation of bipolar spindles.</t>
  </si>
  <si>
    <t>TACC 3e-026| PRK05771 0.029| Chromosome_partition_protein_Smc 0.038| PRK12704 | FPP | Smc | TMCO5 | PTZ00121 | chromosome_segregation_protein_related...    28   3.6   |</t>
  </si>
  <si>
    <t>KOG0161, KOG0161, KOG0161, Myosin class II heavy chain [Cytoskeleton].</t>
  </si>
  <si>
    <t>smart00435, TOPEUc, DNA Topoisomerase I (eukaryota).  DNA Topoisomerase I (eukaryota), DNA topoisomerase V, Vaccina virus topoisomerase, Variola virus topoisomerase, Shope fibroma virus topoisomeras.</t>
  </si>
  <si>
    <t xml:space="preserve"> AgamP4_3R:52614352-52616203(+) </t>
  </si>
  <si>
    <t>AGAP001057-RA</t>
  </si>
  <si>
    <t xml:space="preserve">ATP-dependent RNA helicase DDX10/DBP4 </t>
  </si>
  <si>
    <t>ATP-dependent RNA helicase DDX10/DBP4</t>
  </si>
  <si>
    <t>Superfamily II DNA and RNA helicases (DNA replication</t>
  </si>
  <si>
    <t>AGAP001057-PA</t>
  </si>
  <si>
    <t xml:space="preserve"> dead-box helicase domain of dead box protein 10</t>
  </si>
  <si>
    <t>ne</t>
  </si>
  <si>
    <t>Phytophthora sojae</t>
  </si>
  <si>
    <t>COG0513, SrmB, Superfamily II DNA and RNA helicases [DNA replication, recombination, and repair / Transcription / Translation, ribosomal structure and biogenesis].</t>
  </si>
  <si>
    <t>SrmB 2e-092| DEADc 7e-068| PRK11776 8e-061| PRK11192 1e-060| PRK11634 3e-048| PRK04537 5e-048| PRK10590 3e-047| DEAD 1e-046| PRK01297 5e-046| PRK04837 1e-045|</t>
  </si>
  <si>
    <t>KOG0343, KOG0343, KOG0343, RNA Helicase [RNA processing and modification].</t>
  </si>
  <si>
    <t xml:space="preserve">RNA processing and modification </t>
  </si>
  <si>
    <t>pfam00270, DEAD, DEAD/DEAH box helicase.  Members of this family include the DEAD and DEAH box helicases. Helicases are involved in unwinding nucleic acids. The DEAD box helicases are involved in various aspects of RNA metabolism, including nuclear transcription, pre mRNA splicing, ribosome biogenesis, nucleocytoplasmic transport, translation, RNA decay and organellar gene expression.</t>
  </si>
  <si>
    <t xml:space="preserve"> AgamP4_X:21769877-21772162(+) </t>
  </si>
  <si>
    <t xml:space="preserve">1 | 47    HKTKLKR|SI  0.501 *ProP*  | </t>
  </si>
  <si>
    <t>AGAP028026-RA</t>
  </si>
  <si>
    <t>hypothetical protein AND_007862</t>
  </si>
  <si>
    <t>AGAP028026-PA</t>
  </si>
  <si>
    <t xml:space="preserve"> tra0a82tx79a0a82tx79 9dipt 40s ribosomal protein</t>
  </si>
  <si>
    <t>Halorubrum lacusprofundi (strain ATCC 49239 / DSM 5036 / JCM 8891 / ACAM 34)</t>
  </si>
  <si>
    <t>pfam15684, AROS, Active regulator of SIRT1, or 40S ribosomal protein S19-binding 1.  AROS is a family of chordate proteins active in the nucleolus. It has a stretch of polylysines at the N-terminus and in the middle regions and it localizes to the nucleus and especially the nucleolus in high concentrations. It binds to the 40S ribosomal protein RPS19, which is implicated in erythropoiesis. AROS is an active regulator of Sirtuin (SIRT1), an NAD+-dependent deacetylase protein that plays a role in cell survival and hormonal signalling, and AROS regulates the activity of SIRT1 by enhancing SIRT1-mediated de-acetylation of p53 and thus regulates growth of the cell.</t>
  </si>
  <si>
    <t>AROS 2e-005| quino_hemo_SAM | LuxS | PLN02623 | PRK06259 |</t>
  </si>
  <si>
    <t>KOG0065, KOG0065, KOG0065, Pleiotropic drug resistance proteins (PDR1-15), ABC superfamily [Secondary metabolites biosynthesis, transport and catabolism].</t>
  </si>
  <si>
    <t>smart00985, UBA_e1_C, Ubiquitin-activating enzyme e1 C-terminal domain.  This presumed domain found at the C terminus of Ubiquitin-activating enzyme e1 proteins is functionally uncharacterised.</t>
  </si>
  <si>
    <t xml:space="preserve"> AgamP4_3R:21097401-21098055(-) </t>
  </si>
  <si>
    <t xml:space="preserve">1 | 114    KRARTGR|YV  0.726 *ProP*  | </t>
  </si>
  <si>
    <t>AGAP028671-RA</t>
  </si>
  <si>
    <t>C2H2-type Zn-finger protein - probable fragment</t>
  </si>
  <si>
    <t>AGAP028671-PA</t>
  </si>
  <si>
    <t xml:space="preserve"> zinc finger protein</t>
  </si>
  <si>
    <t>Toxoplasma gondii ME49</t>
  </si>
  <si>
    <t>ZF_C2H2 2e-014| zf-AD 6e-010| ZF_C2H2 1e-009| zf-AD 5e-007| COG5236 0.001| zf-H2C2_2 0.040| CDC45 | COG5048 | ZF_C2H2 | SGT1 |</t>
  </si>
  <si>
    <t>KOG2462, KOG2462, KOG2462, C2H2-type Zn-finger protein [Transcription].</t>
  </si>
  <si>
    <t xml:space="preserve"> AgamP4_3L:23923222-23924949(-) </t>
  </si>
  <si>
    <t xml:space="preserve">3 | 149    NRTRTKR|NT  0.678 *ProP*  | 241    TGSRTRR|AK  0.523 *ProP*  | 380    LRKHVKR|FH  0.524 *ProP*  | </t>
  </si>
  <si>
    <t>AGAP010282-RA</t>
  </si>
  <si>
    <t xml:space="preserve">DNA_MISMATCH_REPAIR_2 domain-containing protein [Source:UniProtKB/TrEMBL;Acc:A0A1S4H3L1] </t>
  </si>
  <si>
    <t>DNA mismatch repair protein MSH2</t>
  </si>
  <si>
    <t>Mismatch repair MSH3</t>
  </si>
  <si>
    <t>AGAP010282-PA</t>
  </si>
  <si>
    <t>COG0249, MutS, Mismatch repair ATPase (MutS family) [DNA replication, recombination, and repair].</t>
  </si>
  <si>
    <t>MutS e-136| PRK05399 e-119| DNA_mismatch_repair_protein_MutS e-100| ABC_MSH2_euk 3e-092| MutS_V 3e-085| MUTSac 5e-076| ABC_MutS1 1e-074| ABC_MutS_homologs 2e-066| ABC_MSH6_euk 4e-061| ABC_MSH3_euk 5e-061|</t>
  </si>
  <si>
    <t>KOG0219, KOG0219, KOG0219, Mismatch repair ATPase MSH2 (MutS family) [Replication, recombination and repair].</t>
  </si>
  <si>
    <t>pfam00488, MutS_V, MutS domain V.  This domain is found in proteins of the MutS family (DNA mismatch repair proteins) and is found associated with pfam01624, pfam05188, pfam05192 and pfam05190. The mutS family of proteins is named after the Salmonella typhimurium MutS protein involved in mismatch repair; other members of the family included the eukaryotic MSH 1,2,3, 4,5 and 6 proteins. These have various roles in DNA repair and recombination. Human MSH has been implicated in non-polyposis colorectal carcinoma (HNPCC) and is a mismatch binding protein. The aligned region corresponds with domain V of Thermus aquaticus MutS, which contains a Walker A motif, and is structurally similar to the ATPase domain of ABC transporters.</t>
  </si>
  <si>
    <t>smart00534, MUTSac, ATPase domain of DNA mismatch repair MUTS family.</t>
  </si>
  <si>
    <t>AGAP004370-RA</t>
  </si>
  <si>
    <t xml:space="preserve">transcription initiation factor TFIIA small subunit </t>
  </si>
  <si>
    <t>transcription initiation factor TFIIA small subunit</t>
  </si>
  <si>
    <t>Transcription initiation factor IIA gamma subunit</t>
  </si>
  <si>
    <t>AGAP004370-PA</t>
  </si>
  <si>
    <t xml:space="preserve"> transcription initiation factor iia subunit 2</t>
  </si>
  <si>
    <t>Heterostelium album PN500</t>
  </si>
  <si>
    <t>pfam02268, TFIIA_gamma_N, Transcription initiation factor IIA, gamma subunit, helical domain.  Accurate transcription in vivo requires at least six general transcription initiation factors, in addition to RNA polymerase II. Transcription initiation factor IIA (TFIIA) is a multimeric protein which facilitates the binding of TFIID to the TATA box. The N-terminal domain of the gamma subunit is a 4 helix bundle.</t>
  </si>
  <si>
    <t>TFIIA_gamma_N 3e-020| TOA2 3e-019| TFIIA_gamma_N 4e-018| TFIIA_gamma_C 8e-017| TFIIA_gamma_C 3e-016| hydroxyacyl_CoA_DH | PLN02679 | PRK12322 | gmx_para_CXXCG | DUF2335 |</t>
  </si>
  <si>
    <t>KOG3463, KOG3463, KOG3463, Transcription initiation factor IIA, gamma subunit [Transcription].</t>
  </si>
  <si>
    <t>smart00954, RelA_SpoT, Region found in RelA / SpoT proteins.  The functions of Escherichia coli RelA and SpoT differ somewhat. RelA produces pppGpp (or ppGpp) from ATP and GTP (or GDP). SpoT degrades ppGpp, but may also act as a secondary ppGpp synthetase. The two proteins are strongly similar. In many species, a single homolog to SpoT and RelA appears reponsible for both ppGpp synthesis and ppGpp degradation. (p)ppGpp is a regulatory metabolite of the stringent response, but appears also to be involved in antibiotic biosynthesis in some species.</t>
  </si>
  <si>
    <t xml:space="preserve"> AgamP4_2R:55365431-55365931(+) </t>
  </si>
  <si>
    <t>AGAP012537-RA</t>
  </si>
  <si>
    <t>AGAP012537-PA</t>
  </si>
  <si>
    <t xml:space="preserve"> tra0a82ka4a0a82ka4 9dipt vesicle-fusing atpase os-christyi ox-4304 pe-3 sv</t>
  </si>
  <si>
    <t>pe</t>
  </si>
  <si>
    <t>smart00382, AAA, ATPases associated with a variety of cellular activities.  AAA - ATPases associated with a variety of cellular activities. This profile/alignment only detects a fraction of this vast family. The poorly conserved N-terminal helix is missing from the alignment.</t>
  </si>
  <si>
    <t>AAA 5e-004| AAA 0.029| SpoVK | PKD_channel | PKS_KS | ArAE_2_N | HrcA | flgF | Uncharacterized_protein_MJ0590 | PLN03152 |</t>
  </si>
  <si>
    <t>KOG0741, KOG0741, KOG0741, AAA+-type ATPase [Posttranslational modification, protein turnover, chaperones].</t>
  </si>
  <si>
    <t>pfam00004, AAA, ATPase family associated with various cellular activities (AAA).  AAA family proteins often perform chaperone-like functions that assist in the assembly, operation, or disassembly of protein complexes.</t>
  </si>
  <si>
    <t xml:space="preserve"> AgamP4_UNKN:12586807-12588056(-) </t>
  </si>
  <si>
    <t>AGAP010488-RA</t>
  </si>
  <si>
    <t xml:space="preserve">ubiquinone biosynthesis methyltransferase </t>
  </si>
  <si>
    <t>ubiquinone biosynthesis methyltransferase</t>
  </si>
  <si>
    <t>Ubiquinone biosynthesis methyltransferase COQ5</t>
  </si>
  <si>
    <t>met/int</t>
  </si>
  <si>
    <t>AGAP010488-PA</t>
  </si>
  <si>
    <t>PRK00216, ubiE, ubiquinone/menaquinone biosynthesis methyltransferase; Reviewed.</t>
  </si>
  <si>
    <t>ubiE 2e-091| methylase_mitochondrial 1e-081| UbiE 1e-078| Ubie_methyltran 4e-077| Demethylmenaquinone_methyltransferase 2e-043| PLN02233 8e-025| Methyltransf_25 2e-017| Methyltransf_11 1e-016| PRK08317 1e-014| PLN02232 3e-012|</t>
  </si>
  <si>
    <t>KOG1540, KOG1540, KOG1540, Ubiquinone biosynthesis methyltransferase COQ5 [Coenzyme transport and metabolism].</t>
  </si>
  <si>
    <t xml:space="preserve">Coenzyme transport and metabolism </t>
  </si>
  <si>
    <t>pfam01209, Ubie_methyltran, ubiE/COQ5 methyltransferase family.</t>
  </si>
  <si>
    <t>smart00501, BRIGHT, BRIGHT, ARID (A/T-rich interaction domain) domain.  DNA-binding domain containing a helix-turn-helix structure.</t>
  </si>
  <si>
    <t xml:space="preserve"> AgamP4_3L:4938943-4940014(-) </t>
  </si>
  <si>
    <t>AGAP002808-RA</t>
  </si>
  <si>
    <t xml:space="preserve">rRNA small subunit pseudouridine methyltransferase Nep1 </t>
  </si>
  <si>
    <t>rRNA small subunit pseudouridine methyltransferase Nep1</t>
  </si>
  <si>
    <t>Protein required for 18S rRNA maturation and 40S ribosome biogenesis</t>
  </si>
  <si>
    <t>AGAP002808-PA</t>
  </si>
  <si>
    <t>hipothetical protein</t>
  </si>
  <si>
    <t>pfam03587, EMG1, EMG1/NEP1 methyltransferase.  Members of this family are essential for 40S ribosomal biogenesis. The structure of EMG1 has revealed that it is a novel member of the superfamily of alpha/beta knot fold methyltransferases.</t>
  </si>
  <si>
    <t>EMG1 1e-079| Mra1 3e-040| PRK04171 8e-028| aroFGH | XynB | 2-phosphosulfolactate_phosphatase | cbiO | FtsK_SpoIIIE_N | F-BAR_FCHSD1 |</t>
  </si>
  <si>
    <t>KOG3073, KOG3073, KOG3073, Protein required for 18S rRNA maturation and 40S ribosome biogenesis [Translation, ribosomal structure and biogenesis].</t>
  </si>
  <si>
    <t>smart00098, alkPPc, Alkaline phosphatase homologues.</t>
  </si>
  <si>
    <t xml:space="preserve"> AgamP4_2R:27877043-27877912(-) </t>
  </si>
  <si>
    <t xml:space="preserve">2 | 5    --MGRKR|HA  0.533 *ProP*  | 71    ILRRNKR|DP  0.754 *ProP*  | </t>
  </si>
  <si>
    <t>AGAP010380-RA</t>
  </si>
  <si>
    <t>Metallothionein-like protein - probable fragment</t>
  </si>
  <si>
    <t>AGAP010380-PA</t>
  </si>
  <si>
    <t xml:space="preserve"> protein lin-54</t>
  </si>
  <si>
    <t>pfam03638, TCR, Tesmin/TSO1-like CXC domain, cysteine-rich domain. This family includes proteins that have two copies of a cysteine rich motif as follows: C-X-C-X4-C-X3-YC-X-C-X6-C-X3-C-X-C-X2-C. The family includes Tesmin and TSO1. This family is called a CXC domain in.</t>
  </si>
  <si>
    <t>TCR 1e-014| Mpp10 0.004| Merozoite_SPAM 0.006| MSL2-CXC 0.011| PTZ00341 0.031| COG5406 0.032| MSL2_CXC 0.036| VID27 0.055| SDA1 | MDN1 |</t>
  </si>
  <si>
    <t>KOG1171, KOG1171, KOG1171, Metallothionein-like protein [Inorganic ion transport and metabolism].</t>
  </si>
  <si>
    <t>smart00570, AWS, associated with SET domains.  subdomain of PRESET.</t>
  </si>
  <si>
    <t xml:space="preserve"> AgamP4_3L:2388759-2391694(-) </t>
  </si>
  <si>
    <t>AGAP004963-RA</t>
  </si>
  <si>
    <t>AGAP004963-PA</t>
  </si>
  <si>
    <t>ExpAA=0.40 First60=0.00 PredHel=0 Topology=o</t>
  </si>
  <si>
    <t>COG5024 1e-048| Cyclin_N 3e-043| Cyclin_C 3e-028| CYCLIN 3e-018| CYCLIN 2e-016| SUA7 0.003| CCL1 0.006| flgD | tfb | cytidylyltransferase_like |</t>
  </si>
  <si>
    <t xml:space="preserve"> AgamP4_2L:7219213-7221198(+) </t>
  </si>
  <si>
    <t>AGAP005031-RB</t>
  </si>
  <si>
    <t xml:space="preserve">E3 SUMO-protein ligase PIAS2 </t>
  </si>
  <si>
    <t>PIAS: E3 SUMO-protein ligase PIAS2</t>
  </si>
  <si>
    <t>Zn-finger transcription factor - probable fragment - 43 OH-glycosylation sites -  43 NetOglyc sites</t>
  </si>
  <si>
    <t>AGAP005031-PB</t>
  </si>
  <si>
    <t xml:space="preserve"> ring e3 ubiquitin transferase - 43 OH-glycosylation sites -  43 NetOglyc sites</t>
  </si>
  <si>
    <t>prot</t>
  </si>
  <si>
    <t>ExpAA=0.02 First60=0.02 PredHel=0 Topology=o</t>
  </si>
  <si>
    <t>pfam14324, PINIT, PINIT domain.  The PINIT domain is a protein domain that is found in PIAS proteins. The PINIT domain is about 180 amino acids in length.</t>
  </si>
  <si>
    <t>PINIT 3e-034| SP-RING_PIAS 3e-027| zf-MIZ 1e-021| SP-RING_PIAS2 6e-021| SP-RING_PIAS3 2e-020| SP-RING_PIAS1 3e-020| SP-RING_PIAS4 6e-020| SP-RING_PIAS_like 9e-019| SP-RING_ScSiz_like 2e-015| SP-RING_ZMIZ 3e-011|</t>
  </si>
  <si>
    <t>KOG2169, KOG2169, KOG2169, Zn-finger transcription factor [Transcription].</t>
  </si>
  <si>
    <t>smart00184, RING, Ring finger.  E3 ubiquitin-protein ligase activity is intrinsic to the RING domain of c-Cbl and is likely to be a general function of this domain; Various RING fingers exhibit binding activity towards E2 ubiquitin-conjugating enzymes (Ubc' s).</t>
  </si>
  <si>
    <t xml:space="preserve"> AgamP4_2L:8613540-8619245(-) </t>
  </si>
  <si>
    <t>AGAP003558-RA</t>
  </si>
  <si>
    <t>E3 ubiquitin-protein ligase XERICO</t>
  </si>
  <si>
    <t>AGAP003558-PA</t>
  </si>
  <si>
    <t xml:space="preserve"> e3 ubiquitin-protein ligase atl44</t>
  </si>
  <si>
    <t xml:space="preserve"> 19-20</t>
  </si>
  <si>
    <t>ExpAA=22.76 First60=22.76 PredHel=1 Topology=o5-27i</t>
  </si>
  <si>
    <t>pfam13639, zf-RING_2, Ring finger domain.</t>
  </si>
  <si>
    <t>zf-RING_2 1e-008| RING-H2_synoviolin 6e-008| COG5540 1e-007| RING-H2 1e-007| RING-H2_TTC3 5e-007| RING-H2_RNF24_like 1e-006| RING-H2_RNF111_like 3e-006| RING-H2_RNF215 3e-006| RING-H2_GRAIL 3e-006| RING-H2_DZIP3 5e-006|</t>
  </si>
  <si>
    <t>KOG4628, KOG4628, KOG4628, Predicted E3 ubiquitin ligase [Posttranslational modification, protein turnover, chaperones].</t>
  </si>
  <si>
    <t xml:space="preserve"> AgamP4_2R:39462852-39463260(-) </t>
  </si>
  <si>
    <t>C(3.04)</t>
  </si>
  <si>
    <t>AGAP029743-RA</t>
  </si>
  <si>
    <t>AGAP029743-PA</t>
  </si>
  <si>
    <t>ZF_C2H2 1e-015| zf-AD 3e-007| ZF_C2H2 7e-007| zf-AD 6e-006| CDC45 2e-004| PRK02224 0.007| DUF1510 0.008| SFP1 0.008| PTZ00341 0.042| MDN1 0.093|</t>
  </si>
  <si>
    <t xml:space="preserve"> AgamP4_3L:24193793-24195702(-) </t>
  </si>
  <si>
    <t xml:space="preserve">4 | 205    LSLRSAR|SA  0.625 *ProP*  | 217    DATRSRR|KA  0.588 *ProP*  | 385    NLMRHVR|SV  0.646 *ProP*  | 495    FKSRHGR|NS  0.570 *ProP*  | </t>
  </si>
  <si>
    <t>C(3.13)</t>
  </si>
  <si>
    <t>AGAP005348-RA</t>
  </si>
  <si>
    <t>transcription factor grauzone-like isoform X1 - probable fragment</t>
  </si>
  <si>
    <t>AGAP005348-PA</t>
  </si>
  <si>
    <t xml:space="preserve"> transcription factor grauzone</t>
  </si>
  <si>
    <t>ZF_C2H2 1e-013| ZF_C2H2 1e-007| zf-AD 1e-004| zf-AD 0.003| zf-H2C2_2 0.094| PHA00733 | ZF_C2H2 | GP3 | MDN1 | zf-C2H2 |</t>
  </si>
  <si>
    <t xml:space="preserve"> AgamP4_2L:14381212-14382680(-) </t>
  </si>
  <si>
    <t xml:space="preserve">1 | 401    RIEYEKR|FV  0.504 *ProP*  | </t>
  </si>
  <si>
    <t>AGAP010020-RA</t>
  </si>
  <si>
    <t>Conserved plasma membrane protein - 2 predicted membrane helices</t>
  </si>
  <si>
    <t>AGAP010020-PA</t>
  </si>
  <si>
    <t>ExpAA=37.18 First60=0.02 PredHel=2 Topology=i213-230o235-252i</t>
  </si>
  <si>
    <t>Phytophthora infestans T30-4</t>
  </si>
  <si>
    <t>pfam04884, DUF647, Vitamin B6 photo-protection and homoeostasis. In plants, this domain plays a role in auxin-transport, plant growth and development and appears to be expressed by all cells in the plant as well as in plastids. The family has been shown to play a role in vitamin B6 photo-protection and homoeostasis in plants.</t>
  </si>
  <si>
    <t>DUF647 2e-099| COG5293 | Magnesium_and_cobalt_transport_protein...    29   5.0   | vmrA | PLN02241 |</t>
  </si>
  <si>
    <t>KOG4249, KOG4249, KOG4249, Uncharacterized conserved protein [Function unknown].</t>
  </si>
  <si>
    <t>smart00826, PKS_DH, Dehydratase domain in polyketide synthase (PKS) enzymes.</t>
  </si>
  <si>
    <t xml:space="preserve"> AgamP4_3R:47765360-47767000(-) </t>
  </si>
  <si>
    <t>AGAP004656.R600</t>
  </si>
  <si>
    <t>histone-lysine N-methyltransferase NSD2</t>
  </si>
  <si>
    <t>VectorBase: AGAP004656</t>
  </si>
  <si>
    <t>AGAP003225-RA</t>
  </si>
  <si>
    <t>AGAP003225-PA</t>
  </si>
  <si>
    <t xml:space="preserve"> tra0a82ubx6a0a82ubx6 9dipt os-melas pe-4 sv</t>
  </si>
  <si>
    <t>Plasmodium falciparum 3D7</t>
  </si>
  <si>
    <t>PRK05249, PRK05249, soluble pyridine nucleotide transhydrogenase; Provisional.</t>
  </si>
  <si>
    <t>PRK05249 | PRK11447 | Jnk-SapK_ap_N | MukB | RecN |</t>
  </si>
  <si>
    <t>KOG0923, KOG0923, KOG0923, mRNA splicing factor ATP-dependent RNA helicase [RNA processing and modification].</t>
  </si>
  <si>
    <t>smart01045, BURP, The BURP domain is found at the C-terminus of several different plant proteins.  It was named after the proteins in which it was first identified: the BNM2 clone-derived protein from Brassica napus; USPs and USP-like proteins; RD22 from Arabidopsis thaliana; and PG1beta from Lycopersicon esculentum. This domain is around 230 amino acid residues long. It possesses the following conserved features: two phenylalanine residues at its N-terminus; two cysteine residues; and four repeated cysteine-histidine motifs, arranged as: CH-X(10)-CH-X(25-27)-CH-X(25-26)-CH, where X can be any amino acid. The function of this domain is unknown.</t>
  </si>
  <si>
    <t xml:space="preserve"> AgamP4_2R:34034325-34035125(+) </t>
  </si>
  <si>
    <t>AGAP003813-RA</t>
  </si>
  <si>
    <t>AGAP003813-PA</t>
  </si>
  <si>
    <t xml:space="preserve"> tra0a2c9grz7a0a2c9grz7 anoar sant domain-containing protein os-arabiensis ox-773 pe-4 sv</t>
  </si>
  <si>
    <t>pfam13837, Myb_DNA-bind_4, Myb/SANT-like DNA-binding domain. This presumed domain appears to be related to other Myb/SANT-like DNA binding domains. In particular pfam10545 seems most related. This family is greatly expanded in plants and appears in several proteins annotated as transposon proteins.</t>
  </si>
  <si>
    <t>Myb_DNA-bind_4 8e-008| PRK05218 | Tenui_NCP | AAT | MMS19_N | ComFC | DEC-1_N | M20_yscS | Myb_DNA-bind_5 | SANT |</t>
  </si>
  <si>
    <t>KOG4282, KOG4282, KOG4282, Transcription factor GT-2 and related proteins, contains trihelix DNA-binding/SANT domain [Transcription].</t>
  </si>
  <si>
    <t>smart00717, SANT, SANT SWI3, ADA2, N-CoR and TFIIIB'' DNA-binding domains.</t>
  </si>
  <si>
    <t xml:space="preserve"> AgamP4_2R:43725675-43726579(+) </t>
  </si>
  <si>
    <t>AGAP010308-RA</t>
  </si>
  <si>
    <t xml:space="preserve">nucleolar complex protein 3 </t>
  </si>
  <si>
    <t>nucleolar complex protein 3</t>
  </si>
  <si>
    <t>nucleolar complex protein 3 homolog</t>
  </si>
  <si>
    <t>AGAP010308-PA</t>
  </si>
  <si>
    <t xml:space="preserve"> nucleolar complex protein 3 log isoform x2</t>
  </si>
  <si>
    <t>ExpAA=0.22 First60=0.00 PredHel=0 Topology=o</t>
  </si>
  <si>
    <t>COG5117, NOC3, Protein involved in the nuclear export of pre-ribosomes [Translation, ribosomal structure and biogenesis / Intracellular trafficking and secretion].</t>
  </si>
  <si>
    <t>NOC3 4e-047| CBF 3e-022| NOC3p 6e-019| COG5593 0.010| CRM1 | EzrA | hypA | DnaG | DUF4659 | ycf1 |</t>
  </si>
  <si>
    <t>KOG2153, KOG2153, KOG2153, Protein involved in the nuclear export of pre-ribosomes [Translation, ribosomal structure and biogenesis, Intracellular trafficking, secretion, and vesicular transport].</t>
  </si>
  <si>
    <t xml:space="preserve">Translation, ribosomal structure and biogenesis, Intracellular trafficking, secretion, and vesicular transport </t>
  </si>
  <si>
    <t>pfam03914, CBF, CBF/Mak21 family.</t>
  </si>
  <si>
    <t>smart00935, OmpH, Outer membrane protein (OmpH-like).  This family includes outer membrane proteins such as OmpH among others. Skp (OmpH) has been characterized as a molecular chaperone that interacts with unfolded proteins as they emerge in the periplasm from the Sec translocation machinery.</t>
  </si>
  <si>
    <t xml:space="preserve"> AgamP4_3R:53091379-53093975(+) </t>
  </si>
  <si>
    <t>AGAP002426-RA</t>
  </si>
  <si>
    <t xml:space="preserve">Protein OPI10 homolog [Source:UniProtKB/Swiss-Prot;Acc:Q7PRB5] </t>
  </si>
  <si>
    <t>Protein OPI10 homolog</t>
  </si>
  <si>
    <t>AGAP002426-PA</t>
  </si>
  <si>
    <t xml:space="preserve"> tra0a82xi62a0a82xi62 anoqn duf77 domain-containing protein</t>
  </si>
  <si>
    <t>ExpAA=0.07 First60=0.07 PredHel=0 Topology=o</t>
  </si>
  <si>
    <t>pfam05603, DUF775, Protein of unknown function (DUF775).  This family consists of several eukaryotic proteins of unknown function.</t>
  </si>
  <si>
    <t>DUF775 1e-060| COG5347 | PRK06933 | COG4716 | PHA03200 | START_STARD12-like | DNA-3-methyladenine_glycosylase_1 | FlhF | PBP2_PnhD_3 | near_not_gcvH |</t>
  </si>
  <si>
    <t>KOG4067, KOG4067, KOG4067, Uncharacterized conserved protein [Function unknown].</t>
  </si>
  <si>
    <t>smart00812, Alpha_L_fucos, Alpha-L-fucosidase.  O-Glycosyl hydrolases (EC 3.2.1.-) are a widespread group of enzymes that hydrolyse the glycosidic bond between two or more carbohydrates, or between a carbohydrate and a non-carbohydrate moiety. A classification system for glycosyl hydrolases, based on sequence similarity, has led to the definition of 85 different families. This classification is available on the CAZy (CArbohydrate-Active EnZymes) web site. Because the fold of proteins is better conserved than their sequences, some of the families can be grouped in 'clans'. Family 29 encompasses alpha-L-fucosidases, which is a lysosomal enzyme responsible for hydrolyzing the alpha-1,6-linked fucose joined to the reducing-end N-acetylglucosamine of the carbohydrate moieties of glycoproteins. Deficiency of alpha-L-fucosidase results in the lysosomal storage disease fucosidosis.</t>
  </si>
  <si>
    <t>AGAP004300-RA</t>
  </si>
  <si>
    <t>AGAP004300-PA</t>
  </si>
  <si>
    <t xml:space="preserve"> ataxin-10</t>
  </si>
  <si>
    <t>ExpAA=0.75 First60=0.00 PredHel=0 Topology=o</t>
  </si>
  <si>
    <t>pfam09759, Atx10homo_assoc, Spinocerebellar ataxia type 10 protein domain.  This is the conserved C-terminal 100 residues of Ataxin-10. Ataxin-10 belongs to the family of armadillo repeat proteins and in solution it tends to form homotrimeric complexes, which associate via a tip-to-tip association in a horseshoe-shaped contact with the concave sides of the molecules facing each other. This domain may represent the homo-association site since that is located near the C-terminus of Ataxin-10. The protein does not contain a signal sequence for secretion or any subcellular compartment confirming its cytoplasmic localization, specifically to the olivocerebellar region.</t>
  </si>
  <si>
    <t>Atx10homo_assoc 3e-021| PLN02225 | SPO22 | pntB | ARM | HTA1 |</t>
  </si>
  <si>
    <t>KOG2676, KOG2676, KOG2676, Uncharacterized conserved protein [Function unknown].</t>
  </si>
  <si>
    <t>smart00543, MIF4G, Middle domain of eukaryotic initiation factor 4G (eIF4G).  Also occurs in NMD2p and CBP80. The domain is rich in alpha-helices and may contain multiple alpha-helical repeats. In eIF4G, this domain binds eIF4A, eIF3, RNA and DNA. Ponting (TiBS) "Novel eIF4G domain homologues (in press).</t>
  </si>
  <si>
    <t xml:space="preserve"> AgamP4_2R:54202687-54204284(+) </t>
  </si>
  <si>
    <t>AGAP003771-RA</t>
  </si>
  <si>
    <t>DNA polymerase sigma (DNA replication - probable fragment - 2 predicted membrane helices</t>
  </si>
  <si>
    <t>nr membrane</t>
  </si>
  <si>
    <t>AGAP003771-PA</t>
  </si>
  <si>
    <t xml:space="preserve"> terminal uridylyltransferase cid1 - 2 predicted membrane helices</t>
  </si>
  <si>
    <t>tm membrane</t>
  </si>
  <si>
    <t>ExpAA=25.86 First60=0.02 PredHel=1 Topology=i115-137o</t>
  </si>
  <si>
    <t>cd05402, NT_PAP_TUTase, Nucleotidyltransferase (NT) domain of poly(A) polymerases and terminal uridylyl transferases. Poly(A) polymerases (PAPs) catalyze mRNA poly(A) tail synthesis, and terminal uridylyl transferases (TUTases) uridylate RNA. PAPs in this subgroup include human PAP alpha, mouse testis-specific cytoplasmic PAP beta, human nuclear PAP gamma, Saccharomyces cerevisiae PAP1, TRF4 and-5, Schizosaccharomyces pombe caffeine-induced death proteins -1, and -14, Caenorhabditis elegans Germ Line Development-2, and Chlamydomonas reinhardtii MUT68. This family also includes human U6 snRNA-specific TUTase1, and Trypanosoma brucei 3'-TUTase-1,-2, and 4. This family belongs to the Pol beta-like NT superfamily. In the majority of enzymes in this superfamily, two carboxylates, Dx[D/E], together with a third more distal carboxylate, coordinate two divalent metal cations involved in a two-metal ion mechanism of nucleotide addition. For the majority of proteins in this family, these carboxylate residues are conserved.</t>
  </si>
  <si>
    <t>NT_PAP_TUTase 8e-020| TRF4 7e-016| NT_KNTase_like 0.019| Pumilio | PRK04195 | UPF0137 | NTP_transf_2 | DUF2955 | zipA | PX_SNX14 |</t>
  </si>
  <si>
    <t>KOG2277, KOG2277, KOG2277, S-M checkpoint control protein CID1 and related nucleotidyltransferases [Cell cycle control, cell division, chromosome partitioning].</t>
  </si>
  <si>
    <t>pfam03677, UPF0137, Uncharacterized protein family (UPF0137).  This family includes GP6-D a virulence plasmid encoded protein.</t>
  </si>
  <si>
    <t xml:space="preserve"> AgamP4_2R:43135309-43137552(-) </t>
  </si>
  <si>
    <t xml:space="preserve">1 | 611    TMERLKR|YL  0.555 *ProP*  | </t>
  </si>
  <si>
    <t>AGAP005054-RB</t>
  </si>
  <si>
    <t>peroxisomal leader peptide-processing protease</t>
  </si>
  <si>
    <t>pm/protease</t>
  </si>
  <si>
    <t>AGAP005054-PB</t>
  </si>
  <si>
    <t xml:space="preserve"> peroxisomal leader peptide-processing protease os-quadriannulatus ox-3469 pe-3 sv</t>
  </si>
  <si>
    <t>ExpAA=0.07 First60=0.00 PredHel=0 Topology=o</t>
  </si>
  <si>
    <t>pfam13365, Trypsin_2, Trypsin-like peptidase domain.  This family includes trypsin-like peptidase domains.</t>
  </si>
  <si>
    <t>Trypsin_2 2e-014| DegQ 2e-007| Protease_degS_precursor. 2e-004| PRK10139 0.005| Peptidase_S32 0.023| Probable_periplasmic_serine_protease_d...    34   0.18  | PRK10942 | Peptidase_S7 | PRK08260 | uvrC |</t>
  </si>
  <si>
    <t>KOG4645, KOG4645, KOG4645, MAPKKK (MAP kinase kinase kinase) SSK2 and related serine/threonine protein kinases [Signal transduction mechanisms].</t>
  </si>
  <si>
    <t>smart00814, Alpha_TIF, Alpha trans-inducing protein (Alpha-TIF). Alpha-TIF (VP16) from Herpes Simplex virus is an essential tegument protein involved in the transcriptional activation of viral immediate early (IE) promoters (alpha genes) during the lytic phase of viral infection. VP16 associates with cellular transcription factors to enhance transcription rates, including the general transcription factor TFIIB and the transcriptional coactivator PC4. The N-terminal residues of VP16 confer specificity for the IE genes, while the C-terminal residues are responsible for transcriptional activation. Within the C-terminal region are two activation regions that can independently and cooperatively activate transcription. VP16 forms a transcriptional regulatory complex with two cellular proteins, the POU-domain transcription factor Oct-1 and the cell-proliferation factor HCF-1. VP16 is an alpha/beta protein with an unusual fold. Other transcription factors may have a similar topology.</t>
  </si>
  <si>
    <t xml:space="preserve"> AgamP4_2L:8834960-8840409(-) </t>
  </si>
  <si>
    <t>AGAP005202-RB</t>
  </si>
  <si>
    <t xml:space="preserve">RING-box protein 1 </t>
  </si>
  <si>
    <t>RING-box protein 1</t>
  </si>
  <si>
    <t>SCF ubiquitin ligase Rbx1 component</t>
  </si>
  <si>
    <t>AGAP005202-PB</t>
  </si>
  <si>
    <t xml:space="preserve"> tra0a2m4aig8a0a2m4aig8 9dipt e3 ubiquitin-protein lig</t>
  </si>
  <si>
    <t>COG5194, APC11, Component of SCF ubiquitin ligase and anaphase-promoting complex [Posttranslational modification, protein turnover, chaperones / Cell division and chromosome partitioning].</t>
  </si>
  <si>
    <t>APC11 5e-034| mRING-H2-C3H2C2D_RBX1 2e-033| zf-rbx1 1e-021| RING-H2_APC11 1e-012| zf-ANAPC11 2e-012| RING-H2_RBX2 1e-011| HRD1 3e-005| RING-H2 7e-004| zf-RING_2 0.005| RING-H2_RNF24_like 0.006|</t>
  </si>
  <si>
    <t>KOG2930, KOG2930, KOG2930, SCF ubiquitin ligase, Rbx1 component [Posttranslational modification, protein turnover, chaperones].</t>
  </si>
  <si>
    <t>pfam12678, zf-rbx1, RING-H2 zinc finger domain.  There are 8 cysteine/ histidine residues which are proposed to be the conserved residues involved in zinc binding. The protein, of which this domain is the conserved region, participates in diverse functions relevant to chromosome metabolism and cell cycle control.</t>
  </si>
  <si>
    <t xml:space="preserve"> AgamP4_2L:12198919-12199248(+) </t>
  </si>
  <si>
    <t>C(4.01)W(5.72)</t>
  </si>
  <si>
    <t>AGAP004425-RA</t>
  </si>
  <si>
    <t xml:space="preserve">Dephospho-CoA kinase domain-containing protein </t>
  </si>
  <si>
    <t>Dephospho-CoA kinase domain-containing protein</t>
  </si>
  <si>
    <t>Similar to bacterial dephospho-CoA kinase</t>
  </si>
  <si>
    <t>AGAP004425-PA</t>
  </si>
  <si>
    <t xml:space="preserve"> dephospho-coa kinase domain-containing protein</t>
  </si>
  <si>
    <t>ExpAA=23.27 First60=0.00 PredHel=1 Topology=o208-227i</t>
  </si>
  <si>
    <t>PRK00081, coaE, dephospho-CoA kinase; Reviewed.</t>
  </si>
  <si>
    <t>coaE 1e-060| DPCK 9e-057| PLN02422 3e-056| CoaE 2e-049| CoaE 3e-046| Dephospho-CoA_kinase 2e-041| coaE 5e-041| PTZ00451 1e-037| coaE 7e-036| coaE 2e-033|</t>
  </si>
  <si>
    <t>KOG3220, KOG3220, KOG3220, Similar to bacterial dephospho-CoA kinase [Coenzyme transport and metabolism].</t>
  </si>
  <si>
    <t>pfam01121, CoaE, Dephospho-CoA kinase.  This family catalyzes the phosphorylation of the 3'-hydroxyl group of dephosphocoenzyme A to form Coenzyme A EC:2.7.1.24. This enzyme uses ATP in its reaction.</t>
  </si>
  <si>
    <t>smart00266, CAD, Domains present in proteins implicated in post-mortem DNA fragmentation.</t>
  </si>
  <si>
    <t xml:space="preserve"> AgamP4_2R:55885157-55886266(+) </t>
  </si>
  <si>
    <t>AGAP004481-RA</t>
  </si>
  <si>
    <t xml:space="preserve">28S ribosomal protein S26, mitochondrial </t>
  </si>
  <si>
    <t>mRpS26: 28S ribosomal protein S26, mitochondrial</t>
  </si>
  <si>
    <t>mitochondrial ribosomal protein S26</t>
  </si>
  <si>
    <t>AGAP004481-PA</t>
  </si>
  <si>
    <t xml:space="preserve"> tra7ut36a7ut36 anoga 28s ribosomal protein s26</t>
  </si>
  <si>
    <t>ExpAA=0.31 First60=0.31 PredHel=0 Topology=o</t>
  </si>
  <si>
    <t>Ichthyophthirius multifiliis</t>
  </si>
  <si>
    <t>pfam14943, MRP-S26, Mitochondrial ribosome subunit S26.  This family of proteins corresponds to mitochondrial ribosomal subunit S26 in eukaryotes.</t>
  </si>
  <si>
    <t>MRP-S26 2e-048| Chromosome_partition_protein_Smc | Smc | chromosome_segregation_protein_related...    29   1.4   | PTZ00121 |</t>
  </si>
  <si>
    <t>KOG4691, KOG4691, KOG4691, Uncharacterized conserved protein [Function unknown].</t>
  </si>
  <si>
    <t>smart00234, START, in StAR and phosphatidylcholine transfer protein.  putative lipid-binding domain in StAR and phosphatidylcholine transfer protein.</t>
  </si>
  <si>
    <t xml:space="preserve"> AgamP4_2R:56795551-56796198(-) </t>
  </si>
  <si>
    <t xml:space="preserve">1 | 34    RFRRKPR|WL  0.518 *ProP*  | </t>
  </si>
  <si>
    <t>AGAP004751-RA</t>
  </si>
  <si>
    <t xml:space="preserve">condensin-2 complex subunit D3 </t>
  </si>
  <si>
    <t>condensin-2 complex subunit D3</t>
  </si>
  <si>
    <t>AGAP004751-PA</t>
  </si>
  <si>
    <t xml:space="preserve"> condensin-2 complex subunit d3</t>
  </si>
  <si>
    <t>sd00044, HEAT, HEAT repeats.  The canonical HEAT repeat consists of two helices forming a helical hairpin. HEAT repeats are found in a diverse family of proteins, including the four proteins from which its name is based: Huntingtin, Elongation factor 3, the PR65/A subunit of protein phosphatase 2A (PP2A), and the lipid kinase TOR (target of rapamycin). The HEAT repeat family is related to armadillo (ARM)/beta-catenin-like repeats.</t>
  </si>
  <si>
    <t>HEAT 0.093| Adaptin_N | MET3 | Sema_3C | FrdB | N5-carboxyaminoimidazole_ribonucleotid...    32   2.8   | CofD_YvcK | PRK15190 | ileS |</t>
  </si>
  <si>
    <t>KOG0413, KOG0413, KOG0413, Uncharacterized conserved protein related to condensin complex subunit 1 [Function unknown].</t>
  </si>
  <si>
    <t>pfam01602, Adaptin_N, Adaptin N terminal region.  This family consists of the N terminal region of various alpha, beta and gamma subunits of the AP-1, AP-2 and AP-3 adaptor protein complexes. The adaptor protein (AP) complexes are involved in the formation of clathrin-coated pits and vesicles. The N-terminal region of the various adaptor proteins (APs) is constant by comparison to the C-terminal which is variable within members of the AP-2 family; and it has been proposed that this constant region interacts with another uniform component of the coated vesicles.</t>
  </si>
  <si>
    <t>smart00251, SAM_PNT, SAM / Pointed domain.  A subfamily of the SAM domain.</t>
  </si>
  <si>
    <t xml:space="preserve"> AgamP4_2L:3052358-3056687(+) </t>
  </si>
  <si>
    <t>AGAP005769-RA</t>
  </si>
  <si>
    <t>AGAP005769-PA</t>
  </si>
  <si>
    <t xml:space="preserve"> sting er exit</t>
  </si>
  <si>
    <t>TIGR02350, Chaperone_protein_DnaK, chaperone protein DnaK.  Members of this family are the chaperone DnaK, of the DnaK-DnaJ-GrpE chaperone system. All members of the seed alignment were taken from completely sequenced bacterial or archaeal genomes and (except for Mycoplasma sequence) found clustered with other genes of this systems. This model excludes DnaK homologs that are not DnaK itself, such as the heat shock cognate protein HscA (TIGR01991). However, it is not designed to distinguish among DnaK paralogs in eukaryotes. Note that a number of dnaK genes have shadow ORFs in the same reverse (relative to dnaK) reading frame, a few of which have been assigned glutamate dehydrogenase activity. The significance of this observation is unclear; lengths of such shadow ORFs are highly variable as if the presumptive protein product is not conserved. [Protein fate, Protein folding and stabilization].</t>
  </si>
  <si>
    <t>Chaperone_protein_DnaK 0.069| dnaK 0.077| thiK | PLN03237 | PLN03184 | PLN00222 | COG0127 | PRK15327 | PRK07590 | PRK05776 |</t>
  </si>
  <si>
    <t>KOG4397, KOG4397, KOG4397, Uncharacterized conserved protein [Function unknown].</t>
  </si>
  <si>
    <t>pfam16595, Cas9_PI, PAM-interacting domain of CRISPR-associated endonuclease Cas9.  Cas9_PI is a family found at the C-terminal of bacterial type II CRISPR system Cas9 endonuclease. This domain adopts a novel protein fold that is unique to the Cas9 family. It is positioned in the structure-DNA-complex to recognize the PAM sequence on the non-complementary DNA strand of the crRNA. PAM sequence is protospacer-adjacent motifs on DNA. See family CRISPR-DR2, Rfam:RF01315. Cas9 carries two nuclease domains, HNH and RuvC, which cleave the DNA strands that are complementary and non-complementary to the 20 nucleotide guide sequence in crRNAs, respectively.</t>
  </si>
  <si>
    <t>smart00649, RL11, Ribosomal protein L11/L12.</t>
  </si>
  <si>
    <t xml:space="preserve"> AgamP4_2L:20390886-20391635(-) </t>
  </si>
  <si>
    <t>AGAP029374-RA</t>
  </si>
  <si>
    <t>AGAP006928-PA partial</t>
  </si>
  <si>
    <t>AGAP029374-PA</t>
  </si>
  <si>
    <t xml:space="preserve"> zf-ad domain-containing protein os-coluzzii ox-834 pe-4 sv</t>
  </si>
  <si>
    <t>Saccharomyces cerevisiae (strain ATCC 204508 / S288c)</t>
  </si>
  <si>
    <t>zf-AD 2e-007| zf-AD 4e-005| DUF4806 0.077| PRK05636 | HicB_lk_antitox | PLDc_FAM83D_N | DUF1247 | Phytoreo_Pns | PRK03670 | PRK05922 |</t>
  </si>
  <si>
    <t>KOG4428, KOG4428, KOG4428, Inositol-polyphosphate 4-phosphatase [Signal transduction mechanisms].</t>
  </si>
  <si>
    <t xml:space="preserve"> AgamP4_2L:40089838-40092422(-) </t>
  </si>
  <si>
    <t xml:space="preserve">1 | 674    APMRFVR|FN  0.525 *ProP*  | </t>
  </si>
  <si>
    <t>AGAP008393-RA</t>
  </si>
  <si>
    <t xml:space="preserve">DNA-directed RNA polymerase II subunit RPB9 </t>
  </si>
  <si>
    <t>DNA-directed RNA polymerase II subunit RPB9</t>
  </si>
  <si>
    <t>RNA polymerase II subunit 9</t>
  </si>
  <si>
    <t>AGAP008393-PA</t>
  </si>
  <si>
    <t xml:space="preserve"> dna-directed rna polymerase ii subunit rpb9-like protein</t>
  </si>
  <si>
    <t>cd10508, Zn-ribbon_RPB9, C-terminal zinc ribbon domain of RPB9 subunit of RNA polymerase II.  The C-terminal zinc ribbon domain (C_ribbon) of subunit B9 (C-ribbon_RPB9) in RNA polymerase (Pol) II is involved in intrinsic transcript cleavage. Eukaryote genomes are transcribed by three nuclear RNA polymerases (Pol I, II and III) that share some subunits. RPB9 have strong homology to RPA12 of Pol I and RPC11 of Pol III subunits but its intrinsic cleavage activity is weaker for Pol II. C-ribbon_RPB9 is homologous to Pol II elongation factor TFIIS domain III. The very weak cleavage activity of Pol II is stimulated by TFIIS. RPB9 has two zinc-binding domains separated by a flexible linker.</t>
  </si>
  <si>
    <t>Zn-ribbon_RPB9 2e-020| RPB9 4e-020| RPOL9 3e-012| TFS_arch 4e-012| ZnF_C2C2 2e-010| TFIIS_C 7e-010| Zn-ribbon_RPC11 1e-008| Zn-ribbon 2e-008| RNA_POL_M_15KD 2e-007| Zn-ribbon_RPA12 1e-005|</t>
  </si>
  <si>
    <t>KOG2691, KOG2691, KOG2691, RNA polymerase II subunit 9 [Transcription].</t>
  </si>
  <si>
    <t>pfam01096, TFIIS_C, Transcription factor S-II (TFIIS).</t>
  </si>
  <si>
    <t>smart00661, RPOL9, RNA polymerase subunit 9.</t>
  </si>
  <si>
    <t xml:space="preserve"> AgamP4_3R:10260874-10261413(+) </t>
  </si>
  <si>
    <t>C(4.31)</t>
  </si>
  <si>
    <t>AGAP001233-RA</t>
  </si>
  <si>
    <t xml:space="preserve">vacuolar protein sorting 16B </t>
  </si>
  <si>
    <t>Vps16B: vacuolar protein sorting 16B</t>
  </si>
  <si>
    <t>vacuolar protein sorting-associated protein 16B</t>
  </si>
  <si>
    <t>AGAP001233-PA</t>
  </si>
  <si>
    <t xml:space="preserve"> vacuolar protein</t>
  </si>
  <si>
    <t>COG2747, FlgM, Negative regulator of flagellin synthesis (anti-sigma28 factor) [Transcription / Cell motility and secretion / Intracellular trafficking and secretion].</t>
  </si>
  <si>
    <t>FlgM 0.025| SNC1 | Thioredoxin_9 | Vps16_C | PRK12806 | tRNA_guanine10-N2-dimethyltransferase | catechol_2_3 |</t>
  </si>
  <si>
    <t>KOG4677, KOG4677, KOG4677, Golgi integral membrane protein [Intracellular trafficking, secretion, and vesicular transport, General function prediction only].</t>
  </si>
  <si>
    <t xml:space="preserve">Intracellular trafficking, secretion, and vesicular transport, General function prediction only </t>
  </si>
  <si>
    <t>pfam14595, Thioredoxin_9, Thioredoxin.</t>
  </si>
  <si>
    <t>smart00480, POL3Bc, DNA polymerase III beta subunit.</t>
  </si>
  <si>
    <t xml:space="preserve"> AgamP4_2R:1747788-1749475(-) </t>
  </si>
  <si>
    <t xml:space="preserve">1 | 226    KRQRLKK|IY  0.519 *ProP*  | </t>
  </si>
  <si>
    <t>AGAP001104-RA</t>
  </si>
  <si>
    <t xml:space="preserve">chromatin assembly factor 1 subunit A </t>
  </si>
  <si>
    <t>chromatin assembly factor 1 subunit A</t>
  </si>
  <si>
    <t>Chromatin assembly factor-I</t>
  </si>
  <si>
    <t>AGAP001104-PA</t>
  </si>
  <si>
    <t xml:space="preserve"> tra0as4gbk2a0as4gbk2 anoga chromatin assembly factor subunit a os-ox-76 pe-4 sv</t>
  </si>
  <si>
    <t>pfam12253, CAF1A, Chromatin assembly factor 1 subunit A.  The CAF-1 or chromatin assembly factor-1 consists of three subunits, and this is the first, or A. The A domain is uniquely required for the progression of S phase in mouse cells, independent of its ability to promote histone deposition but dependent on its ability to interact with HP1 - heterochromatin protein 1-rich heterochromatin domains next to centromeres that are crucial for chromosome segregation during mitosis. This HP1-CAF-1 interaction module functions as a built-in replication control for heterochromatin, which, like a control barrier, has an impact on S-phase progression in addition to DNA-based checkpoints.</t>
  </si>
  <si>
    <t>CAF1A 6e-021| PTZ00121 1e-014| TPH 7e-013| Protein_TolA 8e-013| chromosome_segregation_protein_related...    70   5e-012 5e-012| DUF4659 3e-011| TolA 3e-011| MAP7 3e-011| ERM 8e-011| Smc 8e-010|</t>
  </si>
  <si>
    <t>KOG4364, KOG4364, KOG4364, Chromatin assembly factor-I [Chromatin structure and dynamics].</t>
  </si>
  <si>
    <t xml:space="preserve"> AgamP4_2R:81095-84532(+) </t>
  </si>
  <si>
    <t>AGAP028685-RA</t>
  </si>
  <si>
    <t>AGAP028685-PA</t>
  </si>
  <si>
    <t>ExpAA=2.01 First60=0.00 PredHel=0 Topology=o</t>
  </si>
  <si>
    <t>Plasmodium chabaudi chabaudi</t>
  </si>
  <si>
    <t>DUF4806 3e-006| MDN1 | PI3K_1B_p101 | BRO1 | zpr1_rel | COG6 | Uncharacterized_protein_Rv2850c/MT2916...    30   3.0   | Poty_PP | PHA02978 | PLN02976 |</t>
  </si>
  <si>
    <t>KOG4786, KOG4786, KOG4786, Ubinuclein, nuclear protein interacting with cellular and viral transcription factors [Transcription, Signal transduction mechanisms].</t>
  </si>
  <si>
    <t xml:space="preserve">Transcription, Signal transduction mechanisms </t>
  </si>
  <si>
    <t>smart01041, BRO1, BRO1-like domain.  This domain is found in a number proteins including Rhophilin and BRO1. It is known to have a role in endosomal targeting. ESCRT-III subunit Snf7 binds to a conserved hydrophobic patch in the BRO1 domain that is required for protein complex formation and for the protein-sorting function of BRO1.</t>
  </si>
  <si>
    <t xml:space="preserve"> AgamP4_3L:16291534-16294008(-) </t>
  </si>
  <si>
    <t>AGAP004226-RA</t>
  </si>
  <si>
    <t>protein phosphatase 1 regulatory subunit 21-like</t>
  </si>
  <si>
    <t>AGAP004226-PA</t>
  </si>
  <si>
    <t>protein phosphatase 1 regulatory subunit 21</t>
  </si>
  <si>
    <t>pfam10205, KLRAQ, Predicted coiled-coil domain-containing protein. This is the N-terminal 100 amino acid domain of a family of proteins conserved from nematodes to humans. It carries a characteristic KLRAQ sequence-motif. The function is not known.</t>
  </si>
  <si>
    <t>KLRAQ 2e-022| Smc 9e-007| TTKRSYEDQ 1e-005| chromosome_segregation_protein_related...    44   2e-004 2e-004| Chromosome_partition_protein_Smc 0.001| RAD50_homologue_ceRAD50 | PRK02224 | PRK03918 | SbcC | HOOK |</t>
  </si>
  <si>
    <t>KOG4421, KOG4421, KOG4421, Uncharacterized conserved protein [Function unknown].</t>
  </si>
  <si>
    <t>smart00787, Spc7, Spc7 kinetochore protein.  This domain is found in cell division proteins which are required for kinetochore-spindle association.</t>
  </si>
  <si>
    <t xml:space="preserve"> AgamP4_2R:52187803-52189450(-) </t>
  </si>
  <si>
    <t>AGAP004412-RA</t>
  </si>
  <si>
    <t xml:space="preserve">diphthine synthase </t>
  </si>
  <si>
    <t>diphthine synthase</t>
  </si>
  <si>
    <t>Diphthine synthase</t>
  </si>
  <si>
    <t>AGAP004412-PA</t>
  </si>
  <si>
    <t xml:space="preserve"> dph5</t>
  </si>
  <si>
    <t>PTZ00175, PTZ00175, diphthine synthase; Provisional.</t>
  </si>
  <si>
    <t>PTZ00175 e-118| Diphthine_synthase e-111| DPH5 1e-085| PRK04160 5e-079| Diphthine_synthase 4e-077| TP_methylase 3e-020| TP_methylase 5e-015| CobF 1e-009| PRK05576 6e-008| Probable_cobalt-precorrin-2_C20-methyl...    54   7e-008 7e-008|</t>
  </si>
  <si>
    <t>KOG3123, KOG3123, KOG3123, Diphthine synthase [Translation, ribosomal structure and biogenesis].</t>
  </si>
  <si>
    <t>pfam00590, TP_methylase, Tetrapyrrole (Corrin/Porphyrin) Methylases.  This family uses S-AdoMet in the methylation of diverse substrates. This family includes a related group of bacterial proteins of unknown function. This family includes the methylase Dipthine synthase.</t>
  </si>
  <si>
    <t>smart00532, LIGANc, Ligase N family.</t>
  </si>
  <si>
    <t xml:space="preserve"> AgamP4_2R:55845010-55845935(-) </t>
  </si>
  <si>
    <t>AGAP009322-RA</t>
  </si>
  <si>
    <t xml:space="preserve">vesicle transport through interaction with t-SNAREs 1 </t>
  </si>
  <si>
    <t>vesicle transport through interaction with t-SNAREs 1</t>
  </si>
  <si>
    <t>V-SNARE - 2 predicted membrane helices</t>
  </si>
  <si>
    <t>pe membrane</t>
  </si>
  <si>
    <t>AGAP009322-PA</t>
  </si>
  <si>
    <t xml:space="preserve"> vesicle transport through interaction with t-snares protein 1a-like isoform x1 - 2 predicted membrane helices</t>
  </si>
  <si>
    <t>ExpAA=21.00 First60=0.00 PredHel=1 Topology=i194-213o</t>
  </si>
  <si>
    <t>cd15891, SNARE_Vti1a, SNARE motif of Vti1b-like.  Vti1a (vesicle transport through interaction with t-SNAREs homolog 1A) belongs to the Qb subgroup of SNAREs (soluble N-ethylmaleimide-sensitive factor attachment protein receptor). Vti1a interacts with syntaxin 16 (Qa), syntaxin 6 (Qc), and the lysosomal R-SNARE VAMP4 to form an endosomal SNARE core complex that mediates transport from the early endosomes to the TGN (trans-Golgi network). SNARE  proteins consist of coiled-coil helices (called SNARE motifs) which mediate the interactions between SNARE proteins, and a transmembrane domain. The SNARE complex mediates membrane fusion, important for trafficking of newly synthesized proteins, recycling of pre-existing proteins and organelle formation. SNARE proteins are classified into four groups, Qa-, Qb-, Qc- and R-SNAREs, depending on whether the residue in the hydrophilic center layer of the four-helical bundle is a glutamine (Q) or arginine (R). Qa-, as well as Qb- and Qc-SNAREs, are localized to target organelle membranes, while R-SNARE is localized to vesicle membranes. They form unique complexes consisting of one member of each subgroup, that mediate fusion between a specific type of vesicles and their target organelle. Their SNARE motifs form twisted and parallel heterotetrameric helix bundles. Examples for members of the Qb SNAREs are N-terminal domains of SNAP23 and SNAP25, Vti1, Sec20 and GS27.</t>
  </si>
  <si>
    <t>SNARE_Vti1a 3e-019| V-SNARE 9e-015| SNARE_Vti1 2e-013| SNARE_Vti1b 1e-012| V-SNARE_C 2e-010| SNARE_SNAP25N_23N_29N_SEC9N 0.002| t_SNARE 0.040| Glutamate--cysteine_ligase | SNARE_SNAP29N | Mitofilin |</t>
  </si>
  <si>
    <t>KOG1666, KOG1666, KOG1666, V-SNARE [Intracellular trafficking, secretion, and vesicular transport].</t>
  </si>
  <si>
    <t>pfam05008, V-SNARE, Vesicle transport v-SNARE protein N-terminus. V-SNARE proteins are required for protein traffic between eukaryotic organelles. The v-SNAREs on transport vesicles interact with t-SNAREs on target membranes in order to facilitate this. This domain is the N-terminal half of the V-Snare proteins.</t>
  </si>
  <si>
    <t>smart00397, t_SNARE, Helical region found in SNAREs.  All alpha-helical motifs that form twisted and parallel four-helix bundles in target soluble N-ethylmaleimide-sensitive factor (NSF) attachment protein (SNAP) receptor proteins. This motif found in "Q-SNAREs".</t>
  </si>
  <si>
    <t xml:space="preserve"> AgamP4_3R:31265593-31266436(+) </t>
  </si>
  <si>
    <t>AGAP008693-RA</t>
  </si>
  <si>
    <t xml:space="preserve">Leptin receptor overlapping transcript-like 1 </t>
  </si>
  <si>
    <t>Leptin receptor overlapping transcript-like 1</t>
  </si>
  <si>
    <t>leptin receptor gene-related protein - 5 predicted membrane helices</t>
  </si>
  <si>
    <t>AGAP008693-PA</t>
  </si>
  <si>
    <t xml:space="preserve"> leptin receptor protein-related protein - Membrane anchor detected - 5 predicted membrane helices</t>
  </si>
  <si>
    <t>st membrAnchor membrane</t>
  </si>
  <si>
    <t xml:space="preserve"> 53-54</t>
  </si>
  <si>
    <t>ExpAA=86.92 First60=42.38 PredHel=4 Topology=o4-26i31-53o64-86i93-115o</t>
  </si>
  <si>
    <t>Meleagris gallopavo</t>
  </si>
  <si>
    <t>pfam04133, Vps55, Vacuolar protein sorting 55.  Vps55 is involved in the secretion of the Golgi form of the soluble vacuolar carboxypeptidase Y, but not the trafficking of the membrane-bound vacuolar alkaline phosphatase. Both Vps55 and obesity receptor gene-related protein are important for functioning membrane trafficking to the vacuole/lysosome of eukaryotic cells.</t>
  </si>
  <si>
    <t>Vps55 1e-028| RnfD | M48B_HtpX_like |</t>
  </si>
  <si>
    <t>KOG2174, KOG2174, KOG2174, Leptin receptor gene-related protein [Signal transduction mechanisms].</t>
  </si>
  <si>
    <t>smart00895, FCD, This entry represents the C-terminal ligand binding domain of many members of the GntR family.  This domain probably binds to a range of effector molecules that regulate the transcription of genes through the action of the N-terminal DNA-binding domain. This domain is found in and that are regulators of sugar biosynthesis operons. Many bacterial transcription regulation proteins bind DNA through a helix-turn-helix (HTH) motif, which can be classified into subfamilies on the basis of sequence similarities. The HTH GntR family has many members distributed among diverse bacterial groups that regulate various biological processes. It was named GntR after the Bacillus subtilis repressor of the gluconate operon. In general, these proteins contain a DNA-binding HTH domain at the N terminus, and an effector binding or oligomerisation domain at the C terminus. The winged-helix DNA-binding domain is well conserved in structure for the whole of the GntR family, and is similar in structure to other transcriptional regulator families. The C-terminal effector-binding and oligomerisation domains are more variable and are consequently used to define the subfamilies. Based on the sequence and structure of the C-terminal domains, the GtnR family can be divided into four major groups, as represented by FadR, HutC, MocR and YtrA, as well as some minor groups such as those represented by AraR and PlmA.</t>
  </si>
  <si>
    <t xml:space="preserve"> AgamP4_3R:14949221-14950015(-) </t>
  </si>
  <si>
    <t>W(3.32)</t>
  </si>
  <si>
    <t>AGAP004704-RA</t>
  </si>
  <si>
    <t xml:space="preserve">COMPASS component SPP1 </t>
  </si>
  <si>
    <t>COMPASS component SPP1</t>
  </si>
  <si>
    <t>AGAP004704-PA</t>
  </si>
  <si>
    <t xml:space="preserve"> cpg binding protein</t>
  </si>
  <si>
    <t>pfam12269, zf-CpG_bind_C, CpG binding protein zinc finger C terminal domain.  This domain family is found in eukaryotes, and is approximately 240 amino acids in length. This domain is the zinc finger domain of a CpG binding DNA methyltransferase protein. It contains a CxxC motif which forms the zinc finger and binds to DNA.</t>
  </si>
  <si>
    <t>zf-CpG_bind_C e-113| PHD_Cfp1 1e-017| PHD2_3_BPTF 3e-010| PHD_PHF3_like 6e-010| PHD_PHF2_like 2e-009| PHD_SPP1 2e-008| PHD_PHF8 3e-008| PHD_DIDO1_like 3e-008| PHD_PHF2 3e-008| PHD_KDM7 1e-007|</t>
  </si>
  <si>
    <t>KOG1632, KOG1632, KOG1632, Uncharacterized PHD Zn-finger protein [General function prediction only].</t>
  </si>
  <si>
    <t xml:space="preserve"> AgamP4_2L:2253748-2255415(-) </t>
  </si>
  <si>
    <t xml:space="preserve">2 | 10    QKKRKKK|SK  0.709 *ProP*  | 187    RNKKRKR|SV  0.654 *ProP*  | </t>
  </si>
  <si>
    <t>C(3.87)</t>
  </si>
  <si>
    <t>AGAP007727-RA</t>
  </si>
  <si>
    <t xml:space="preserve">cullin 4 </t>
  </si>
  <si>
    <t>cullin 4</t>
  </si>
  <si>
    <t>Cullin</t>
  </si>
  <si>
    <t>AGAP007727-PA</t>
  </si>
  <si>
    <t xml:space="preserve"> gnlcdd227934 cullin</t>
  </si>
  <si>
    <t>ExpAA=0.60 First60=0.22 PredHel=0 Topology=o</t>
  </si>
  <si>
    <t>pfam00888, Cullin, Cullin family.</t>
  </si>
  <si>
    <t>Cullin | COG5647 e-121| CULLIN 4e-046| Cullin_Nedd8 8e-021| Cullin_Nedd8 5e-020| PRK10626 | GatE | PI-PLCc | PRK10236 | rgy |</t>
  </si>
  <si>
    <t>KOG2167, KOG2167, KOG2167, Cullins [Cell cycle control, cell division, chromosome partitioning].</t>
  </si>
  <si>
    <t>smart00182, CULLIN, Cullin.</t>
  </si>
  <si>
    <t xml:space="preserve"> AgamP4_2L:49336839-49340250(+) </t>
  </si>
  <si>
    <t>AGAP004196-RA</t>
  </si>
  <si>
    <t>AGAP004196-PA</t>
  </si>
  <si>
    <t xml:space="preserve"> lyr motif-containing protein 4</t>
  </si>
  <si>
    <t>Taeniopygia guttata</t>
  </si>
  <si>
    <t>pfam05347, Complex1_LYR, Complex 1 protein (LYR family). Proteins in this family include an accessory subunit of the higher eukaryotic NADH dehydrogenase complex. In Saccharomyces cerevisiae, the Isd11 protein has been shown to play a role in Fe/S cluster biogenesis in mitochondria. We have named this family LYR after a highly conserved tripeptide motif close to the N-terminus of these proteins.</t>
  </si>
  <si>
    <t>Complex1_LYR 3e-013| Complex1_LYR_2 0.002| MPP_ASMase | PTZ00468 | ALDH_YwdH-P39616 | Complex1_LYR_1 | DUF5112 | MCM3AP_GANP | BET4 |</t>
  </si>
  <si>
    <t>KOG3801, KOG3801, KOG3801, Uncharacterized conserved protein BCN92 [RNA processing and modification].</t>
  </si>
  <si>
    <t>smart00829, PKS_ER, Enoylreductase.  Enoylreductase in Polyketide synthases.</t>
  </si>
  <si>
    <t xml:space="preserve"> AgamP4_2R:51675220-51675783(-) </t>
  </si>
  <si>
    <t>AGAP004404-RA</t>
  </si>
  <si>
    <t xml:space="preserve">28S ribosomal protein S24, mitochondrial [Source:UniProtKB/TrEMBL;Acc:F5HLM9] </t>
  </si>
  <si>
    <t>mRpS24: 28S ribosomal protein S24, mitochondrial</t>
  </si>
  <si>
    <t>28S ribosomal protein S24 mitochondrial</t>
  </si>
  <si>
    <t>AGAP004404-PA</t>
  </si>
  <si>
    <t xml:space="preserve"> trfhlm9fhlm9 anoga 28s ribosomal protein s24</t>
  </si>
  <si>
    <t>ExpAA=0.21 First60=0.00 PredHel=0 Topology=o</t>
  </si>
  <si>
    <t>Pyropia perforata</t>
  </si>
  <si>
    <t>pfam14955, MRP-S24, Mitochondrial ribosome subunit S24.  This family of proteins corresponds to mitochondrial ribosomal subunit S24 in eukaryotes.</t>
  </si>
  <si>
    <t>MRP-S24 4e-072| rpsC | 30S_S3_KH | PRK08298 | PflD | PRK07179 |</t>
  </si>
  <si>
    <t>KOG4724, KOG4724, KOG4724, Predicted Rho GTPase-activating protein [Signal transduction mechanisms].</t>
  </si>
  <si>
    <t>smart00654, eIF6, translation initiation factor 6.</t>
  </si>
  <si>
    <t>AGAP008417-RA</t>
  </si>
  <si>
    <t xml:space="preserve">cyclin H </t>
  </si>
  <si>
    <t>cyclin H</t>
  </si>
  <si>
    <t>Cdk activating kinase (CAK)/RNA polymerase II transcription initiation/nucleotide excision repair factor TFIIH/TFIIK</t>
  </si>
  <si>
    <t>AGAP008417-PA</t>
  </si>
  <si>
    <t xml:space="preserve"> gnlcdd129660 cyclin ccl1</t>
  </si>
  <si>
    <t>TIGR00569, Cyclin_CCL1, cyclin ccl1.  All proteins in this family for which functions are known are cyclins that are components of TFIIH, a complex that is involved in nucleotide excision repair and transcription initiation. This family is based on the phylogenomic analysis of JA Eisen (1999, Ph.D. Thesis, StanfordUniversity). [DNA metabolism, DNA replication, recombination, and repair].</t>
  </si>
  <si>
    <t>Cyclin_CCL1 6e-097| Cyclin_C_2 3e-024| CCL1 7e-023| CYCLIN 5e-010| CYCLIN 6e-010| Cyclin_N 0.003| TFIIB 0.006| Reovirus_M2 0.065| CDC27 | DYN1 |</t>
  </si>
  <si>
    <t>KOG2496, KOG2496, KOG2496, Cdk activating kinase (CAK)/RNA polymerase II transcription initiation/nucleotide excision repair factor TFIIH/TFIIK, cyclin H subunit [Cell cycle control, cell division, chromosome partitioning, Transcription, Replication, recombination and repair].</t>
  </si>
  <si>
    <t xml:space="preserve">Cell cycle control, cell division, chromosome partitioning, Transcription, Replication, recombination and repair </t>
  </si>
  <si>
    <t>pfam16899, Cyclin_C_2, Cyclin C-terminal domain.  Cyclins contain two domains of similar all-alpha fold, this family corresponds with the C-terminal domain of some cyclins including cyclin C and cyclin H.</t>
  </si>
  <si>
    <t xml:space="preserve"> AgamP4_3R:10551825-10553107(-) </t>
  </si>
  <si>
    <t>AGAP004623-RA</t>
  </si>
  <si>
    <t xml:space="preserve">anaphase-promoting complex subunit 6 </t>
  </si>
  <si>
    <t>anaphase-promoting complex subunit 6</t>
  </si>
  <si>
    <t>Anaphase-promoting complex (APC) Cdc16 subunit - probable fragment</t>
  </si>
  <si>
    <t>AGAP004623-PA</t>
  </si>
  <si>
    <t xml:space="preserve"> gnlcdd229116</t>
  </si>
  <si>
    <t>ExpAA=0.04 First60=0.00 PredHel=0 Topology=o</t>
  </si>
  <si>
    <t>pfam12895, ANAPC3, Anaphase-promoting complex, cyclosome, subunit 3.  Apc3, otherwise known as Cdc27, is one of the subunits of the anaphase-promoting complex or cyclosome. The anaphase-promoting complex is a multiprotein subunit E3 ubiquitin ligase complex that controls segregation of chromosomes and exit from mitosis in eukaryotes. The protein members of this family contain TPR repeats just as those of Apc7 do, and it appears that these TPR units bind the C-termini of the APC co-activators CDH1 and CDC20.</t>
  </si>
  <si>
    <t>ANAPC3 7e-016| TPR 1e-008| NrfG 8e-005| TPR_domain_protein 2e-004| PilF 0.004| TPR 0.006| TPR_1 0.010| TPR_12 0.012| HemY 0.026| TadD 0.096|</t>
  </si>
  <si>
    <t>KOG1173, KOG1173, KOG1173, Anaphase-promoting complex (APC), Cdc16 subunit [Cell cycle control, cell division, chromosome partitioning, Posttranslational modification, protein turnover, chaperones].</t>
  </si>
  <si>
    <t xml:space="preserve">Cell cycle control, cell division, chromosome partitioning, Posttranslational modification, protein turnover, chaperones </t>
  </si>
  <si>
    <t>smart00028, TPR, Tetratricopeptide repeats.  Repeats present in 4 or more copies in proteins. Contain a minimum of 34 amino acids each and self-associate via a "knobs and holes" mechanism.</t>
  </si>
  <si>
    <t xml:space="preserve"> AgamP4_2R:58625956-58628381(-) </t>
  </si>
  <si>
    <t>AGAP029352-RA</t>
  </si>
  <si>
    <t>Transcriptional regulator ATRX - probable fragment</t>
  </si>
  <si>
    <t>AGAP029352-PA</t>
  </si>
  <si>
    <t>Hypothetical protein</t>
  </si>
  <si>
    <t>Branchiostoma belcheri</t>
  </si>
  <si>
    <t>Nilaparvata lugens</t>
  </si>
  <si>
    <t>PTZ00482, PTZ00482, membrane-attack complex/perforin (MACPF) Superfamily; Provisional.</t>
  </si>
  <si>
    <t>PTZ00482 | PHA03283 | BMS1 | MDN1 | Serine--tRNA_ligase | PTZ00108 | BUD22 | Sec16_N | COG5636 |</t>
  </si>
  <si>
    <t>KOG0262, KOG0262, KOG0262, RNA polymerase I, large subunit [Transcription].</t>
  </si>
  <si>
    <t>pfam02724, CDC45, CDC45-like protein.  CDC45 is an essential gene required for initiation of DNA replication in S. cerevisiae, forming a complex with MCM5/CDC46. homologs of CDC45 have been identified in human, mouse and smut fungus, among others.</t>
  </si>
  <si>
    <t>smart00485, XPGN, Xeroderma pigmentosum G N-region.  domain in nucleases.</t>
  </si>
  <si>
    <t xml:space="preserve"> AgamP4_2L:43117724-43122124(-) </t>
  </si>
  <si>
    <t xml:space="preserve">13 | 198    KYERNRR|IA  0.545 *ProP*  | 385    KEERRRR|LA  0.638 *ProP*  | 486    KKERRRR|LV  0.738 *ProP*  | 549    KEERKRR|LA  0.671 *ProP*  | 599    KEERKRR|LA  0.655 *ProP*  | 669    QLSSKKR|SK  0.504 *ProP*  | 802    KEERRRR|LA  0.637 *ProP*  | 904    KEERRRR|LA  0.637 *ProP*  | 1005    KEERRRR|LA  0.625 *ProP*  | 1107    KDERRRR|LA  0.646 *ProP*  | 1195    KEERRRR|LA  0.637 *ProP*  | 1358    KEERRRR|LA  0.638 *ProP*  | 1415    KEERKRR|IA  0.635 *ProP*  | </t>
  </si>
  <si>
    <t>AGAP010210-RA</t>
  </si>
  <si>
    <t xml:space="preserve">Translocase of inner mitochondrial membrane 23 homolog </t>
  </si>
  <si>
    <t>Translocase of inner mitochondrial membrane 23 homolog</t>
  </si>
  <si>
    <t>Mitochondrial import inner membrane translocase subunit TIM23 - 3 predicted membrane helices</t>
  </si>
  <si>
    <t>AGAP010210-PA</t>
  </si>
  <si>
    <t xml:space="preserve"> mitochondrial import inner membrane translocase subunit tim23 isoform x1 - 3 predicted membrane helices</t>
  </si>
  <si>
    <t>met/energy membrane</t>
  </si>
  <si>
    <t>ExpAA=62.56 First60=0.04 PredHel=2 Topology=o61-83i165-187o</t>
  </si>
  <si>
    <t>TIGR00983, 3a0801s02tim23, mitochondrial import inner membrane translocase subunit tim23.  [Transport and binding proteins, Amino acids, peptides and amines].</t>
  </si>
  <si>
    <t>3a0801s02tim23 3e-027| Tim17 2e-016| TIM22 4e-006| PTZ00236 0.001| 3a0801so1tim17 0.056| PLN02591 | Romo1 | PRK10598 | PLN02618 | yjhG_yagF |</t>
  </si>
  <si>
    <t>KOG3324, KOG3324, KOG3324, Mitochondrial import inner membrane translocase, subunit TIM23 [Intracellular trafficking, secretion, and vesicular transport].</t>
  </si>
  <si>
    <t>pfam02466, Tim17, Tim17/Tim22/Tim23/Pmp24 family.  The pre-protein translocase of the mitochondrial outer membrane (Tom) allows the import of pre-proteins from the cytoplasm. Tom forms a complex with a number of proteins, including Tim17. Tim17 and Tim23 are thought to form the translocation channel of the inner membrane. This family includes Tim17, Tim22 and Tim23. This family also includes Pmp24 a peroxisomal protein. The involvement of this domain in the targeting of PMP24 remains to be proved. PMP24 was known as Pmp27 in.</t>
  </si>
  <si>
    <t xml:space="preserve"> AgamP4_3R:50835738-50836499(+) </t>
  </si>
  <si>
    <t>AGAP029741-RA</t>
  </si>
  <si>
    <t>AGAP029741-PA</t>
  </si>
  <si>
    <t>ZF_C2H2 8e-012| ZF_C2H2 2e-007| zf-AD 6e-007| zf-AD 9e-005| SFP1 0.024| ZF_C2H2 | Actin_micro | zf-H2C2_2 | COG3183 | COG5048 |</t>
  </si>
  <si>
    <t xml:space="preserve"> AgamP4_3L:24207457-24208983(-) </t>
  </si>
  <si>
    <t>C(3.02)</t>
  </si>
  <si>
    <t>AGAP001099.R530</t>
  </si>
  <si>
    <t>Polybromo-1</t>
  </si>
  <si>
    <t>VectorBase: AGAP001099</t>
  </si>
  <si>
    <t>AGAP006785-RA</t>
  </si>
  <si>
    <t>AGAP006785-PA</t>
  </si>
  <si>
    <t xml:space="preserve"> tra0a82x2a0a82x2 anoqn btb domain-containing protein os-quadriannulatus ox-3469 pe-4 sv</t>
  </si>
  <si>
    <t>ExpAA=0.28 First60=0.00 PredHel=0 Topology=o</t>
  </si>
  <si>
    <t>Naegleria gruberi strain NEG-M</t>
  </si>
  <si>
    <t>BTB 4e-015| BACK 1e-013| BACK_BTBD9_like 2e-013| BTB 3e-013| PHA03098 6e-013| BACK 1e-012| BACK_Kelch 2e-004| PRK03818 0.083| BACK_like | Spy |</t>
  </si>
  <si>
    <t>KOG4350, KOG4350, KOG4350, Uncharacterized conserved protein, contains BTB/POZ domain [General function prediction only].</t>
  </si>
  <si>
    <t>smart00875, BACK, BTB And C-terminal Kelch.  The BACK domain is found juxtaposed to the BTB domain; they are separated by as little as two residues.</t>
  </si>
  <si>
    <t xml:space="preserve"> AgamP4_2L:38190410-38191677(+) </t>
  </si>
  <si>
    <t>AGAP007722-RA</t>
  </si>
  <si>
    <t xml:space="preserve">adenylate kinase 2, mitochondrial </t>
  </si>
  <si>
    <t>Adk2: adenylate kinase 2, mitochondrial</t>
  </si>
  <si>
    <t>Uridylate kinase/adenylate kinase</t>
  </si>
  <si>
    <t>met/nuc</t>
  </si>
  <si>
    <t>AGAP007722-PA</t>
  </si>
  <si>
    <t xml:space="preserve"> adk</t>
  </si>
  <si>
    <t>PRK00279, adk, adenylate kinase; Reviewed.</t>
  </si>
  <si>
    <t>adk 2e-083| ADK 2e-079| Adenylate_kinase 2e-075| PLN02674 2e-074| ADK 3e-070| PRK14532 1e-045| Adk 2e-044| PRK13808 7e-044| adk 4e-038| PLN02842 1e-037|</t>
  </si>
  <si>
    <t>KOG3078, KOG3078, KOG3078, Adenylate kinase [Nucleotide transport and metabolism].</t>
  </si>
  <si>
    <t xml:space="preserve">Nucleotide transport and metabolism </t>
  </si>
  <si>
    <t>pfam00406, ADK, Adenylate kinase.</t>
  </si>
  <si>
    <t xml:space="preserve"> AgamP4_2L:49277177-49278459(+) </t>
  </si>
  <si>
    <t>AGAP010273-RA</t>
  </si>
  <si>
    <t xml:space="preserve">phosphatidylinositol 3-kinase </t>
  </si>
  <si>
    <t>phosphatidylinositol 3-kinase</t>
  </si>
  <si>
    <t>Phosphatidylinositol 3-kinase catalytic subunit (p110) - probable fragment</t>
  </si>
  <si>
    <t>AGAP010273-PA</t>
  </si>
  <si>
    <t xml:space="preserve"> catalytic domain of class iii phosphoinositide 3-kinase</t>
  </si>
  <si>
    <t>ExpAA=0.12 First60=0.00 PredHel=0 Topology=o</t>
  </si>
  <si>
    <t>cd00896, PI3Kc_III, Catalytic domain of Class III Phosphoinositide 3-kinase.  PI3Ks catalyze the transfer of the gamma-phosphoryl group from ATP to the 3-hydroxyl of the inositol ring of D-myo-phosphatidylinositol (PtdIns) or its derivatives. Class III PI3Ks, also called Vps34 (vacuolar protein sorting 34), contain an N-terminal lipid binding C2 domain, a PI3K homology domain of unknown function, and a C-terminal ATP-binding cataytic domain. They phosphorylate only the substrate PtdIns. They interact with a regulatory subunit, Vps15, to form a membrane-associated complex. Class III PI3Ks are involved in protein and vesicular trafficking and sorting, autophagy, trimeric G-protein signaling, and phagocytosis. PI3Ks play an important role in a variety of fundamental cellular processes, including cell motility, the Ras pathway, vesicle trafficking and secretion, immune cell activation and apoptosis. They can be divided into three main classes (I, II, and III), defined by their substrate specificity, regulation, and domain structure. The PI3K catalytic domain family is part of a larger superfamily that includes the catalytic domains of other kinases such as the typical serine/threonine/tyrosine protein kinases (PKs), aminoglycoside phosphotransferase, choline kinase, and RIO kinases.</t>
  </si>
  <si>
    <t>PI3Kc_III e-173| PI3Kc e-100| PI3Kc_II 1e-065| PI3Kc 1e-061| PI3Ka_III 2e-061| PI3Kc_I 7e-060| PI4Kc_III_beta 3e-047| PI3Kc_C2_gamma 3e-047| PI3Kc_C2_beta 1e-046| PI3Kc_IA_delta 2e-046|</t>
  </si>
  <si>
    <t>KOG0906, KOG0906, KOG0906, Phosphatidylinositol 3-kinase VPS34, involved in signal transduction [Signal transduction mechanisms, Intracellular trafficking, secretion, and vesicular transport].</t>
  </si>
  <si>
    <t>pfam00454, PI3_PI4_kinase, Phosphatidylinositol 3- and 4-kinase. Some members of this family probably do not have lipid kinase activity and are protein kinases.</t>
  </si>
  <si>
    <t>smart00146, PI3Kc, Phosphoinositide 3-kinase, catalytic domain. Phosphoinositide 3-kinase isoforms participate in a variety of processes, including cell motility, the Ras pathway, vesicle trafficking and secretion, and apoptosis. These homologues may be either lipid kinases and/or protein kinases: the former phosphorylate the 3-position in the inositol ring of inositol phospholipids. The ataxia telangiectesia-mutated gene produced, the targets of rapamycin (TOR) and the DNA-dependent kinase have not been found to possess lipid kinase activity. Some of this family possess PI-4 kinase activities.</t>
  </si>
  <si>
    <t xml:space="preserve"> AgamP4_3R:51921336-51925107(-) </t>
  </si>
  <si>
    <t xml:space="preserve">2 | 273    KHHRLSR|SD  0.525 *ProP*  | 276    RLSRSDR|SG  0.548 *ProP*  | </t>
  </si>
  <si>
    <t>AGAP001261-RA</t>
  </si>
  <si>
    <t xml:space="preserve">L-caldesmon </t>
  </si>
  <si>
    <t>L-caldesmon</t>
  </si>
  <si>
    <t>RNA-binding protein CG14230 - 13 OH-glycosylation sites -  13 NetOglyc sites</t>
  </si>
  <si>
    <t>AGAP001261-PA</t>
  </si>
  <si>
    <t xml:space="preserve"> rna-binding protein - 13 OH-glycosylation sites -  13 NetOglyc sites</t>
  </si>
  <si>
    <t>cd12226, RRM_NOL8, RNA recognition motif in nucleolar protein 8 (NOL8) and similar proteins.  This model corresponds to the RRM of NOL8 (also termed Nop132) encoded by a novel NOL8 gene that is up-regulated in the majority of diffuse-type, but not intestinal-type, gastric cancers. Thus, NOL8 may be a good molecular target for treatment of diffuse-type gastric cancer. Also, NOL8 is a phosphorylated protein that contains an N-terminal RNA recognition motif (RRM), also known as RBD (RNA binding domain) or RNP (ribonucleoprotein domain), suggesting NOL8 is likely to function as a novel RNA-binding protein. It may be involved in regulation of gene expression at the post-transcriptional level or in ribosome biogenesis in cancer cells.</t>
  </si>
  <si>
    <t>RRM_NOL8 1e-010| RRM_SF 1e-007| RRM_G3BP 4e-007| RRM 5e-007| RRM_HP0827_like 2e-005| RRM_DAZL_BOULE 4e-005| RRM_1 3e-004| RRM_G3BP2 3e-004| RRM_RBMX_like 4e-004| RRM2_Spen 0.001|</t>
  </si>
  <si>
    <t>KOG4365, KOG4365, KOG4365, Uncharacterized conserved protein [Function unknown].</t>
  </si>
  <si>
    <t>pfam00076, RRM_1, RNA recognition motif. (a.k.a. RRM, RBD, or RNP domain).  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 The RRM structure consists of four strands and two helices arranged in an alpha/beta sandwich, with a third helix present during RNA binding in some cases The C-terminal beta strand (4th strand) and final helix are hard to align and have been omitted in the SEED alignment The LA proteins have an N terminal rrm which is included in the seed. There is a second region towards the C terminus that has some features characteristic of a rrm but does not appear to have the important structural core of a rrm. The LA proteins are one of the main autoantigens in Systemic lupus erythematosus (SLE), an autoimmune disease.</t>
  </si>
  <si>
    <t>smart00360, RRM, RNA recognition motif.</t>
  </si>
  <si>
    <t xml:space="preserve"> AgamP4_2R:2089359-2091433(+) </t>
  </si>
  <si>
    <t>AGAP004853-RA</t>
  </si>
  <si>
    <t xml:space="preserve">Ral GEF with PH domain and SH3-binding motif 1 </t>
  </si>
  <si>
    <t>Ral GEF with PH domain and SH3-binding motif 1</t>
  </si>
  <si>
    <t>Ras1 guanine nucleotide exchange factor - probable fragment</t>
  </si>
  <si>
    <t>AGAP004853-PA</t>
  </si>
  <si>
    <t xml:space="preserve"> guanine nucleotide exchange factor for ras-like small gtpase</t>
  </si>
  <si>
    <t>ExpAA=0.10 First60=0.00 PredHel=0 Topology=o</t>
  </si>
  <si>
    <t>smart00147, RasGEF, Guanine nucleotide exchange factor for Ras-like small GTPases.</t>
  </si>
  <si>
    <t>RasGEF 1e-056| RasGEF 2e-052| PH_RalGPS1_2 1e-048| RasGEF 3e-048| PH 6e-006| PH 1e-004| PH 5e-004| PH2_FARP1-like 0.015| PH_GRP1-like | Herpes_LMP2 |</t>
  </si>
  <si>
    <t>KOG3417, KOG3417, KOG3417, Ras1 guanine nucleotide exchange factor [Signal transduction mechanisms].</t>
  </si>
  <si>
    <t>pfam00617, RasGEF, RasGEF domain.  Guanine nucleotide exchange factor for Ras-like small GTPases.</t>
  </si>
  <si>
    <t xml:space="preserve"> AgamP4_2L:4476884-4479415(-) </t>
  </si>
  <si>
    <t>AGAP005144-RA</t>
  </si>
  <si>
    <t xml:space="preserve">replication factor C subunit 3/5 </t>
  </si>
  <si>
    <t>replication factor C subunit 3/5</t>
  </si>
  <si>
    <t>replication factor C small subunit</t>
  </si>
  <si>
    <t>AGAP005144-PA</t>
  </si>
  <si>
    <t xml:space="preserve"> replication factor c subunit 5</t>
  </si>
  <si>
    <t>ExpAA=0.08 First60=0.01 PredHel=0 Topology=o</t>
  </si>
  <si>
    <t>PRK00440, rfc, replication factor C small subunit; Reviewed.</t>
  </si>
  <si>
    <t>rfc 7e-093| PLN03025 1e-069| PRK04132 2e-056| PRK12402 2e-055| 44 6e-037| PRK04195 1e-033| DnaX 1e-028| DNA_polymerase_III_subunit_gamma 1e-027| PRK14953 5e-026| PRK14962 9e-026|</t>
  </si>
  <si>
    <t>KOG0990, KOG0990, KOG0990, Replication factor C, subunit RFC5 [Replication, recombination and repair].</t>
  </si>
  <si>
    <t>pfam08542, Rep_fac_C, Replication factor C C-terminal domain.  This is the C-terminal domain of RFC (replication factor-C) protein of the clamp loader complex which binds to the DNA sliding clamp (proliferating cell nuclear antigen, PCNA). The five modules of RFC assemble into a right-handed spiral, which results in only three of the five RFC subunits (RFC-A, RFC-B and RFC-C) making contact with PCNA, leaving a wedge-shaped gap between RFC-E and the PCNA clamp-loader complex. The C-terminal is vital for the correct orientation of RFC-E with respect to RFC-A.</t>
  </si>
  <si>
    <t xml:space="preserve"> AgamP4_2L:10488204-10489489(+) </t>
  </si>
  <si>
    <t>AGAP003353-RA</t>
  </si>
  <si>
    <t>AGAP003353-PA</t>
  </si>
  <si>
    <t xml:space="preserve"> tra0a82ub88a0a82ub88 9dipt os-melas pe-4 sv</t>
  </si>
  <si>
    <t>Leishmania infantum JPCM5</t>
  </si>
  <si>
    <t>Bos taurus</t>
  </si>
  <si>
    <t>pfam15364, PAXIP1_C, PAXIP1-associated-protein-1 C term PTIP binding protein.  This protein domain family is the C-terminal domain of PAXIP1-associated-protein-1, which also goes by the name PTIP-associated protein 1. This family of proteins is found in eukaryotes. The function of this protein is to localize at the site of DNA damage and form foci with PTIP at the DNA break point. Furthermore, studies have shown that depletion of PA1 increases cellular sensitivity to ionizing radiation. Proteins in this family are typically between 122 and 254 amino acids in length.</t>
  </si>
  <si>
    <t>PAXIP1_C 4e-008| PRK15429 | PRK06733 | PRK10550 | COG3915 | PRK14329 | pilT_fam | PRK14340 |</t>
  </si>
  <si>
    <t>KOG3534, KOG3534, KOG3534, p53 inducible protein PIR121 [General function prediction only].</t>
  </si>
  <si>
    <t>smart00031, DED, Death effector domain.</t>
  </si>
  <si>
    <t xml:space="preserve"> AgamP4_2R:36517777-36518237(-) </t>
  </si>
  <si>
    <t>AGAP004711-RA</t>
  </si>
  <si>
    <t xml:space="preserve">ATP-dependent RNA helicase DDX41 </t>
  </si>
  <si>
    <t>ATP-dependent RNA helicase DDX41</t>
  </si>
  <si>
    <t>AGAP004711-PA</t>
  </si>
  <si>
    <t xml:space="preserve"> dead-box helicase domain of dead box protein 41</t>
  </si>
  <si>
    <t>ExpAA=8.77 First60=0.00 PredHel=0 Topology=o</t>
  </si>
  <si>
    <t>SrmB e-106| PTZ00110 3e-099| PRK11776 4e-077| PRK10590 9e-070| PLN00206 4e-066| DEADc 2e-064| PRK11192 6e-062| PRK11634 6e-058| PRK01297 3e-057| PRK04837 1e-055|</t>
  </si>
  <si>
    <t>KOG0341, KOG0341, KOG0341, DEAD-box protein abstrakt [RNA processing and modification].</t>
  </si>
  <si>
    <t xml:space="preserve"> AgamP4_2L:2487770-2489611(+) </t>
  </si>
  <si>
    <t xml:space="preserve">3 | 8    SSPRVKR|YR  0.727 *ProP*  | 11    RVKRYRR|DS  0.715 *ProP*  | 518    RIGRTGR|SG  0.707 *ProP*  | </t>
  </si>
  <si>
    <t>AGAP012521-RA</t>
  </si>
  <si>
    <t>AGAP012521-PA</t>
  </si>
  <si>
    <t xml:space="preserve"> grip and coiled-coil domain-containing protein 1</t>
  </si>
  <si>
    <t>pfam01465, GRIP, GRIP domain.  The GRIP (golgin-97, RanBP2alpha,Imh1p and p230/golgin-245) domain is found in many large coiled-coil proteins. It has been shown to be sufficient for targeting to the Golgi. The GRIP domain contains a completely conserved tyrosine residue. At least some of these domains have been shown to bind to GTPase Arl1, see structures in.</t>
  </si>
  <si>
    <t>GRIP 2e-009| Smc 2e-005| Grip 2e-004| Chromosome_partition_protein_Smc 0.034| chromosome_segregation_protein_related...    34   0.34  | PRK03918 | SbcC | COG4942 | PTZ00121 |</t>
  </si>
  <si>
    <t>KOG0612, KOG0612, KOG0612, Rho-associated, coiled-coil containing protein kinase [Signal transduction mechanisms].</t>
  </si>
  <si>
    <t xml:space="preserve">smart00755, Grip, golgin-97, RanBP2alpha,Imh1p and p230/golgin-245. </t>
  </si>
  <si>
    <t xml:space="preserve"> AgamP4_UNKN:10871508-10873587(-) </t>
  </si>
  <si>
    <t xml:space="preserve">1 | 403    ENQRLKR|DL  0.594 *ProP*  | </t>
  </si>
  <si>
    <t>AGAP010373.R325</t>
  </si>
  <si>
    <t>AGAP012516-RA</t>
  </si>
  <si>
    <t xml:space="preserve">enhancer of zeste </t>
  </si>
  <si>
    <t>enhancer of zeste</t>
  </si>
  <si>
    <t>Transcriptional repressor EZH1</t>
  </si>
  <si>
    <t>AGAP012516-PA</t>
  </si>
  <si>
    <t xml:space="preserve"> histone-lysine n-methyltransferase ezh2-like protein</t>
  </si>
  <si>
    <t>SET 6e-036| SET 3e-023| COG2940 6e-016| PRK08560 | Sec1 | DUF1619 | SANT | SANT | RAP-1 |</t>
  </si>
  <si>
    <t>KOG1079, KOG1079, KOG1079, Transcriptional repressor EZH1 [Transcription].</t>
  </si>
  <si>
    <t>pfam00856, SET, SET domain.  SET domains are protein lysine methyltransferase enzymes. SET domains appear to be protein-protein interaction domains. It has been demonstrated that SET domains mediate interactions with a family of proteins that display similarity with dual-specificity phosphatases (dsPTPases). A subset of SET domains have been called PR domains. These domains are divergent in sequence from other SET domains, but also appear to mediate protein-protein interaction. The SET domain consists of two regions known as SET-N and SET-C. SET-C forms an unusual and conserved knot-like structure of probably functional importance. Additionally to SET-N and SET-C, an insert region (SET-I) and flanking regions of high structural variability form part of the overall structure.</t>
  </si>
  <si>
    <t xml:space="preserve"> AgamP4_UNKN:10367448-10382182(+) </t>
  </si>
  <si>
    <t>AGAP000879-RA</t>
  </si>
  <si>
    <t xml:space="preserve">yellow protein </t>
  </si>
  <si>
    <t>yellow protein</t>
  </si>
  <si>
    <t>Major royal jelly protein - signalP detected</t>
  </si>
  <si>
    <t>AGAP000879-PA</t>
  </si>
  <si>
    <t xml:space="preserve"> protein yellow - signalP detected</t>
  </si>
  <si>
    <t>ExpAA=0.26 First60=0.25 PredHel=0 Topology=o</t>
  </si>
  <si>
    <t>Drosophila pseudoobscura pseudoobscura</t>
  </si>
  <si>
    <t>pfam03022, MRJP, Major royal jelly protein.  Royal jelly is the food of queen bee larvae, and is responsible for the high reproductive ability of the queen. Major royal jelly proteins make up around 90% of larval jelly proteins. This family also the sequence-related yellow protein of drosophila which controls pigmentation of the adult cuticle and larval mouth parts.</t>
  </si>
  <si>
    <t>MRJP 3e-095| SelP_N 0.012| ZnuA 0.072| ureE | PRK10019 | ureE | PHA02638 | PRK10737 | DUF2796 | PLN02237 |</t>
  </si>
  <si>
    <t>KOG1482, KOG1482, KOG1482, Zn2+ transporter [Inorganic ion transport and metabolism].</t>
  </si>
  <si>
    <t>smart00157, PRP, Major prion protein.  The prion protein is a major component of scrapie-associated fibrils in Creutzfeldt-Jakob disease, kuru, Gerstmann-Straussler syndrome and bovine spongiform encephalopathy.</t>
  </si>
  <si>
    <t xml:space="preserve"> AgamP4_X:16665872-16671397(-) </t>
  </si>
  <si>
    <t xml:space="preserve">1 | 166    TNRRLRR|YE  0.507 *ProP*  | </t>
  </si>
  <si>
    <t>AGAP004490-RA</t>
  </si>
  <si>
    <t>AGAP004490-PA</t>
  </si>
  <si>
    <t xml:space="preserve"> glycine rich nucleic binding domain protein</t>
  </si>
  <si>
    <t>smart00443, G_patch, glycine rich nucleic binding domain.  A predicted glycine rich nucleic binding domain found in the splicing factor 45, SON DNA binding protein and D-type Retrovirus- polyproteins.</t>
  </si>
  <si>
    <t>G_patch 9e-008| G-patch 2e-007| G-patch_2 0.009| PTZ00053 0.036| Nop53 | PTZ00121 | AAA_13 | TIMELESS_C | SART-1 | Smc |</t>
  </si>
  <si>
    <t>KOG2809, KOG2809, KOG2809, Telomerase elongation inhibitor/RNA maturation protein PINX1 [RNA processing and modification, Cell cycle control, cell division, chromosome partitioning].</t>
  </si>
  <si>
    <t xml:space="preserve">RNA processing and modification, Cell cycle control, cell division, chromosome partitioning </t>
  </si>
  <si>
    <t>pfam01585, G-patch, G-patch domain.  This domain is found in a number of RNA binding proteins, and is also found in proteins that contain RNA binding domains. This suggests that this domain may have an RNA binding function. This domain has seven highly conserved glycines.</t>
  </si>
  <si>
    <t xml:space="preserve"> AgamP4_2R:56854654-56856286(+) </t>
  </si>
  <si>
    <t>AGAP010271-RA</t>
  </si>
  <si>
    <t>GTPases</t>
  </si>
  <si>
    <t>AGAP010271-PA</t>
  </si>
  <si>
    <t xml:space="preserve"> nitric oxide-associated protein 1</t>
  </si>
  <si>
    <t>cd01855, YqeH, Circularly permuted YqeH GTPase.  YqeH is an essential GTP-binding protein. Depletion of YqeH induces an excess initiation of DNA replication, suggesting that it negatively controls initiation of chromosome replication. The YqeH subfamily is common in eukaryotes and sporadically present in bacteria with probable acquisition by plants from chloroplasts. Proteins of the YqeH family contain all sequence motifs typical of the vast class of P-loop-containing GTPases, but show a circular permutation, with a G4-G1-G3 pattern of motifs as opposed to the regular G1-G3-G4 pattern seen in most GTPases.</t>
  </si>
  <si>
    <t>YqeH 2e-059| PRK13796 4e-043| GTPase_YqeH 8e-043| COG1161 4e-014| YlqF_related_GTPase 7e-008| GTPase_EngA 1e-007| MMR_HSR1 7e-007| PRK00093 7e-006| trmE 2e-005| ThdF 6e-005|</t>
  </si>
  <si>
    <t>KOG1249, KOG1249, KOG1249, Predicted GTPases [General function prediction only].</t>
  </si>
  <si>
    <t>pfam01926, MMR_HSR1, 50S ribosome-binding GTPase.  The full-length GTPase protein is required for the complete activity of the protein of interacting with the 50S ribosome and binding of both adenine and guanine nucleotides, with a preference for guanine nucleotide.</t>
  </si>
  <si>
    <t>smart00175, RAB, Rab subfamily of small GTPases.  Rab GTPases are implicated in vesicle trafficking.</t>
  </si>
  <si>
    <t xml:space="preserve"> AgamP4_3R:51913629-51915872(+) </t>
  </si>
  <si>
    <t xml:space="preserve">1 | 684    RGKRIRR|SL  0.574 *ProP*  | </t>
  </si>
  <si>
    <t>AGAP029368-RA</t>
  </si>
  <si>
    <t>AGAP029368-PA</t>
  </si>
  <si>
    <t>Lucilia cuprina</t>
  </si>
  <si>
    <t>Staphylococcus aureus (strain NCTC 8325)</t>
  </si>
  <si>
    <t>TIGR01622, transcription_coactivator_CAPER, splicing factor, CC1-like family.  This model represents a subfamily of RNA splicing factors including the Pad-1 protein (N. crassa), CAPER (M. musculus) and CC1.3 (H.sapiens). These proteins are characterized by an N-terminal arginine-rich, low complexity domain followed by three (or in the case of 4 H. sapiens paralogs, two) RNA recognition domains (rrm: pfam00706). These splicing factors are closely related to the U2AF splicing factor family (TIGR01642). A homologous gene from Plasmodium falciparum was identified in the course of the analysis of that genome at TIGR and was included in the seed.</t>
  </si>
  <si>
    <t>transcription_coactivator_CAPER 0.012| Splicing_factor_U2AF_59_kDa_subunit 0.037| DUF1777 | Macoilin | Med21 | PTZ00341 | chromosome_segregation_protein_related...    32   2.3   | CENP-H | RSRP | PLN03229 |</t>
  </si>
  <si>
    <t>KOG0147, KOG0147, KOG0147, Transcriptional coactivator CAPER (RRM superfamily) [Transcription].</t>
  </si>
  <si>
    <t>pfam08648, DUF1777, Protein of unknown function (DUF1777).  This is a family of eukaryotic proteins of unknown function. Some of the proteins in this family are putative nucleic acid binding proteins.</t>
  </si>
  <si>
    <t>smart00813, Alpha-L-AF_C, Alpha-L-arabinofuranosidase C-terminus. This entry represents the C terminus (approximately 200 residues) of bacterial and eukaryotic alpha-L-arabinofuranosidase. This catalyses the hydrolysis of non-reducing terminal alpha-L-arabinofuranosidic linkages in L-arabinose-containing polysaccharides.</t>
  </si>
  <si>
    <t xml:space="preserve"> AgamP4_2L:1772500-1777223(-) </t>
  </si>
  <si>
    <t xml:space="preserve">1 | 858    HSLRARR|AN  0.505 *ProP*  | </t>
  </si>
  <si>
    <t>AGAP004723-RA</t>
  </si>
  <si>
    <t xml:space="preserve">chromobox protein homolog 1 </t>
  </si>
  <si>
    <t>chromobox protein homolog 1</t>
  </si>
  <si>
    <t>Heterochromatin-associated protein HP1 - probable fragment</t>
  </si>
  <si>
    <t>AGAP004723-PA</t>
  </si>
  <si>
    <t xml:space="preserve"> chromobox protein 3</t>
  </si>
  <si>
    <t>pfam01393, Chromo_shadow, Chromo shadow domain.  This domain is distantly related to pfam00385. This domain is always found in association with a chromo domain.</t>
  </si>
  <si>
    <t>Chromo_shadow 9e-021| ChSh 4e-017| ChSh 1e-012| Chromo 1e-010| CHROMO 4e-010| CHROMO 6e-010| SLC5sbd_SGLT1 | PRK09401 | SPATIAL | PRK14962 |</t>
  </si>
  <si>
    <t>KOG1911, KOG1911, KOG1911, Heterochromatin-associated protein HP1 and related CHROMO domain proteins [Chromatin structure and dynamics].</t>
  </si>
  <si>
    <t>smart00300, ChSh, Chromo Shadow Domain.</t>
  </si>
  <si>
    <t xml:space="preserve"> AgamP4_2L:2756804-2760192(+) </t>
  </si>
  <si>
    <t xml:space="preserve">1 | 71    KESRKKK|EA  0.605 *ProP*  | </t>
  </si>
  <si>
    <t>AGAP007971-RA</t>
  </si>
  <si>
    <t>AGAP007971-PA</t>
  </si>
  <si>
    <t xml:space="preserve"> zinc finger protein 83</t>
  </si>
  <si>
    <t>ZF_C2H2 8e-011| zf-AD 2e-006| zf-AD 7e-006| ZF_C2H2 8e-006| ZF_C2H2 | ZF_C2H2 | PRK14714 | zf-C2H2_6 | COG4049 | SFP1 |</t>
  </si>
  <si>
    <t xml:space="preserve"> AgamP4_3R:3435812-3437301(-) </t>
  </si>
  <si>
    <t>C(4.07)</t>
  </si>
  <si>
    <t>AGAP010212-RA</t>
  </si>
  <si>
    <t xml:space="preserve">prefoldin subunit 1 </t>
  </si>
  <si>
    <t>prefoldin subunit 1</t>
  </si>
  <si>
    <t>Molecular chaperone Prefoldin subunit 1</t>
  </si>
  <si>
    <t>AGAP010212-PA</t>
  </si>
  <si>
    <t xml:space="preserve"> prefoldin subunit 1</t>
  </si>
  <si>
    <t>pfam01920, Prefoldin_2, Prefoldin subunit.  This family includes prefoldin subunits that are not detected by pfam02996.</t>
  </si>
  <si>
    <t>Prefoldin_2 6e-011| Ferritin | gltX | GimC | Bap31 | CDC37_N |</t>
  </si>
  <si>
    <t>KOG3501, KOG3501, KOG3501, Molecular chaperone Prefoldin, subunit 1 [Posttranslational modification, protein turnover, chaperones].</t>
  </si>
  <si>
    <t xml:space="preserve"> AgamP4_3R:50839391-50839854(+) </t>
  </si>
  <si>
    <t>AGAP003594-RA</t>
  </si>
  <si>
    <t>Transcription factor grauzone</t>
  </si>
  <si>
    <t>AGAP003594-PA</t>
  </si>
  <si>
    <t>ZF_C2H2 9e-008| zf-AD 2e-005| zf-AD 4e-005| ZF_C2H2 3e-004| COG5236 0.032| SFP1 | CDC45 | PriA | ZF_C2H2 | Actin_micro |</t>
  </si>
  <si>
    <t xml:space="preserve"> AgamP4_2R:40375381-40376985(+) </t>
  </si>
  <si>
    <t>AGAP009800-RA</t>
  </si>
  <si>
    <t>AGAP009800-PA</t>
  </si>
  <si>
    <t>pfam14768, RPA_interact_C, Replication protein A interacting C-terminal.  This family of proteins represents the C-terminal domain of replication protein A (RPA) interacting protein. RPA interacting protein is involved in the import of RPA into the nucleus. The C-terminal domain is a putative zinc finger.</t>
  </si>
  <si>
    <t>RPA_interact_C 1e-011| COG5277 | conserved_hypothetical_protein | hsdM | AmyAc_bac2_AmyA | AmyAc_SI_OligoGlu_DGase | IBB | HGTP_anticodon2 | COG4365 | PRK09243 |</t>
  </si>
  <si>
    <t>KOG0166, KOG0166, KOG0166, Karyopherin (importin) alpha [Intracellular trafficking, secretion, and vesicular transport].</t>
  </si>
  <si>
    <t>smart00642, Aamy, Alpha-amylase domain.</t>
  </si>
  <si>
    <t xml:space="preserve"> AgamP4_3R:43652479-43653176(+) </t>
  </si>
  <si>
    <t>AGAP029790-RA</t>
  </si>
  <si>
    <t>AGAP029790-PA</t>
  </si>
  <si>
    <t>ExpAA=5.39 First60=0.00 PredHel=0 Topology=o</t>
  </si>
  <si>
    <t>DUF4806 2e-005| PTZ00031 | LpxC | BRO1 | PRK10270 | Med21 | CDT1 | pylS | mukB | G-alpha |</t>
  </si>
  <si>
    <t>KOG0889, KOG0889, KOG0889, Histone acetyltransferase SAGA, TRRAP/TRA1 component, PI-3 kinase superfamily [Signal transduction mechanisms, Chromatin structure and dynamics, Replication, recombination and repair, Cell cycle control, cell division, chromosome partitioning].</t>
  </si>
  <si>
    <t xml:space="preserve"> AgamP4_3L:16289721-16290770(-) </t>
  </si>
  <si>
    <t>AGAP002314-RA</t>
  </si>
  <si>
    <t>P-selectin glycoprotein ligand 1 - 18 OH-glycosylation sites</t>
  </si>
  <si>
    <t>AGAP002314-PA</t>
  </si>
  <si>
    <t xml:space="preserve"> tra0a82xts9a0a82xts9 anoqn zf-ad domain-containing protein - 18 OH-glycosylation sites -  18 NetOglyc sites</t>
  </si>
  <si>
    <t>Candida albicans (strain SC5314 / ATCC MYA-2876)</t>
  </si>
  <si>
    <t>zf-AD 5e-005| PRK13108 0.095| PRK07003 | PRK12373 | PRK14949 | PRK14951 | PBP1 | PRK07764 | valS | CiPC |</t>
  </si>
  <si>
    <t>KOG4812, KOG4812, KOG4812, Golgi-associated protein/Nedd4 WW domain-binding protein [General function prediction only].</t>
  </si>
  <si>
    <t>pfam11711, Tim54, Inner membrane protein import complex subunit Tim54.  Mitochondrial function depends on the import of hundreds of different proteins synthesized in the cytosol. Protein import is a multi-step pathway which includes the binding of precursor proteins to surface receptors, translocation of the precursor across one or both mitochondrial membranes, and folding and assembly of the imported protein inside the mitochondrion. Most precursor proteins carry amino-terminal targeting signals, called pre-sequences, and are imported into mitochondria via import complexes located in both the outer and the inner membrane (IM). The IM complex, TIM, is made up of at least two proteins which mediate translocation of proteins into the matrix by removing their signal peptide and another pair of proteins, Tim54 and Tim22, that insert the polytopic proteins, that carry internal targetting information, into the inner membrane.</t>
  </si>
  <si>
    <t xml:space="preserve"> AgamP4_2R:19229445-19230449(-) </t>
  </si>
  <si>
    <t xml:space="preserve">2 | 302    YASRSKR|RR  0.601 *ProP*  | 306    SKRRRTR|SP  0.528 *ProP*  | </t>
  </si>
  <si>
    <t>AGAP027988-RA</t>
  </si>
  <si>
    <t>AGAP027988-PA</t>
  </si>
  <si>
    <t xml:space="preserve"> zinc finger protein 26</t>
  </si>
  <si>
    <t>zf-AD 4e-006| ZF_C2H2 4e-005| zf-AD 6e-005| SFP1 0.013| ZF_C2H2 0.026| Carbamoyltransferase_HypF 0.070| TopA 0.095| PRK12496 | COG3677 | PLN03086 |</t>
  </si>
  <si>
    <t xml:space="preserve"> AgamP4_3R:7545884-7548006(+) </t>
  </si>
  <si>
    <t>C(3.53)</t>
  </si>
  <si>
    <t>AGAP012417-RA</t>
  </si>
  <si>
    <t xml:space="preserve">exocyst complex component 1 </t>
  </si>
  <si>
    <t>Exo1: exocyst complex component 1</t>
  </si>
  <si>
    <t>Exocyst protein Sec3</t>
  </si>
  <si>
    <t>AGAP012417-PA</t>
  </si>
  <si>
    <t xml:space="preserve"> exocyst complex component sec3</t>
  </si>
  <si>
    <t>ExpAA=0.24 First60=0.23 PredHel=0 Topology=o</t>
  </si>
  <si>
    <t>pfam09763, Sec3_C, Exocyst complex component Sec3.  This entry is the conserved middle and C-terminus of the Sec3 protein. Sec3 binds to the C-terminal cytoplasmic domain of GLYT1 (glycine transporter protein 1). Sec3 is the exocyst component that is closest to the plasma membrane docking site and it serves as a spatial landmark in the plasma membrane for incoming secretory vesicles. Sec3 is recruited to the sites of polarised membrane growth through its interaction with Rho1p, a small GTP-binding protein.</t>
  </si>
  <si>
    <t>Sec3_C | PH-EXOC1 4e-043| PH-SEC3_like 2e-031| Sec3-PIP2_bind 1e-023| PH-STXBP6 1e-008| PH_Sec3 2e-004| PH-EXOC1_like 0.070| COG4716 | chromosome_segregation_protein_related...    32   1.5   | F-BAR_PACSIN2 |</t>
  </si>
  <si>
    <t>KOG2148, KOG2148, KOG2148, Exocyst protein Sec3 [Intracellular trafficking, secretion, and vesicular transport].</t>
  </si>
  <si>
    <t>smart00855, PGAM, Phosphoglycerate mutase family.  Phosphoglycerate mutase (PGAM) and bisphosphoglycerate mutase (BPGM) are structurally related enzymes that catalyse reactions involving the transfer of phospho groups between the three carbon atoms of phosphoglycerate... Both enzymes can catalyse three different reactions with different specificities, the isomerization of 2-phosphoglycerate (2-PGA) to 3-phosphoglycerate (3-PGA) with 2,3-diphosphoglycerate (2,3-DPG) as the primer of the reaction, the synthesis of 2,3-DPG from 1,3-DPG with 3-PGA as a primer and the degradation of 2,3-DPG to 3-PGA (phosphatase activity). In mammals, PGAM is a dimeric protein with two isoforms, the M (muscle) and B (brain) forms. In yeast, PGAM is a tetrameric protein.</t>
  </si>
  <si>
    <t xml:space="preserve"> AgamP4_3L:41831176-41834015(-) </t>
  </si>
  <si>
    <t>AGAP008653-RA</t>
  </si>
  <si>
    <t xml:space="preserve">NADH dehydrogenase (ubiquinone) 1 alpha subcomplex 12 </t>
  </si>
  <si>
    <t>NADH dehydrogenase (ubiquinone) 1 alpha subcomplex 12</t>
  </si>
  <si>
    <t>ubiquinone oxidoreductase B17.2 subunit</t>
  </si>
  <si>
    <t>AGAP008653-PA</t>
  </si>
  <si>
    <t xml:space="preserve"> ubiquinone oxidoreductase</t>
  </si>
  <si>
    <t>Caenorhabditis elegans</t>
  </si>
  <si>
    <t>pfam05071, NDUFA12, NADH ubiquinone oxidoreductase subunit NDUFA12. This family contains the 17.2 kD subunit of complex I (NDUFA12) and its homologs. The family also contains a second related eukaryotic protein of unknown function.</t>
  </si>
  <si>
    <t>NDUFA12 5e-028| PRK08183 4e-016| PLN03095 8e-016| PLN02732 1e-012| COG3761 7e-010| PRK06630 0.041| DUF3051 | PHA02688 | Pox_P35 | uS7_Mitochondria_Fungi |</t>
  </si>
  <si>
    <t>KOG3382, KOG3382, KOG3382, NADH:ubiquinone oxidoreductase, B17.2 subunit [Energy production and conversion].</t>
  </si>
  <si>
    <t xml:space="preserve">Energy production and conversion </t>
  </si>
  <si>
    <t>smart00630, Sema, semaphorin domain.</t>
  </si>
  <si>
    <t xml:space="preserve"> AgamP4_3R:14061917-14062620(+) </t>
  </si>
  <si>
    <t>W(4.36)Y(3.03)</t>
  </si>
  <si>
    <t>AGAP012398-RA</t>
  </si>
  <si>
    <t xml:space="preserve">COP9 complex subunit 7a </t>
  </si>
  <si>
    <t>COP9 complex subunit 7a</t>
  </si>
  <si>
    <t>COP9 signalosome complex subunit 7b isoform X1</t>
  </si>
  <si>
    <t>AGAP012398-PA</t>
  </si>
  <si>
    <t xml:space="preserve"> cop9 signalosome complex subunit 7-like protein</t>
  </si>
  <si>
    <t>smart00753, PAM, PCI/PINT associated module.</t>
  </si>
  <si>
    <t>PAM 2e-009| PINT 2e-009| PCI 5e-006| ISOPREN_C2_like | sCache_2 | COG4152 | gcvR | flgK | TIGR03545 | RQC |</t>
  </si>
  <si>
    <t>KOG3250, KOG3250, KOG3250, COP9 signalosome, subunit CSN7 [Posttranslational modification, protein turnover, chaperones, Signal transduction mechanisms].</t>
  </si>
  <si>
    <t xml:space="preserve">Posttranslational modification, protein turnover, chaperones, Signal transduction mechanisms </t>
  </si>
  <si>
    <t>pfam01399, PCI, PCI domain.  This domain has also been called the PINT motif (Proteasome, Int-6, Nip-1 and TRIP-15).</t>
  </si>
  <si>
    <t xml:space="preserve"> AgamP4_3L:41721953-41723162(+) </t>
  </si>
  <si>
    <t>AGAP002002-RA</t>
  </si>
  <si>
    <t>muscle M-line assembly protein unc-89 - 24 OH-glycosylation sites -  24 NetOglyc sites</t>
  </si>
  <si>
    <t>AGAP002002-PA</t>
  </si>
  <si>
    <t xml:space="preserve"> vapc-like pin domain of saccharomyces swt1p - 24 OH-glycosylation sites -  24 NetOglyc sites</t>
  </si>
  <si>
    <t>cd09880, PIN_Smg5-Smg6-like, PIN domain.  PIN (PilT N terminus) domain of nonsense-mediated decay (NMD) factors, Smg5 and Smg6, and homologs are included in this family. Smg5 and Smg6 are essential factors in NMD, a post-transcriptional regulatory pathway that recognizes and rapidly degrades mRNAs containing premature translation termination codons. In vivo, the Smg6 PIN domain elicits degradation of bound mRNAs, as well as, metal-ion dependent, degradation of single-stranded RNA, in vitro. These PIN domains are structural homologs of flap endonuclease-1 (FEN1)-like PIN domains, but lack the extensive arch/clamp region and the H3TH (helix-3-turn-helix) domain, an atypical helix-hairpin-helix-2-like region, seen in FEN1-like PIN domains.  Point mutation studies of the conserved aspartate residues in the catalytic center of the Smg6 PIN domain revealed that Smg6 is the endonuclease involved in human NMD. However, Smg5 lacks several of these key catalytic residues and does not degrade single-stranded RNA, in vivo. Eukaryotic Smg5 and Smg6-like PIN domains are present at the C-terminal end of telomerase activating proteins, Est1. Many of the bacterial homologs in this group have an N-terminal PIN domain and a C-terminal PhoH-like ATPase domain.</t>
  </si>
  <si>
    <t>PIN_Smg5-Smg6-like 8e-028| PIN_4 1e-023| PIN_PhoHL-ATPase 2e-007| PINc 4e-005| COG1875 4e-005| PIN_Smg6 5e-004| PTZ00108 0.016| PIN_AF0591 0.032| PRK07003 0.055| PRK07764 |</t>
  </si>
  <si>
    <t>KOG4701, KOG4701, KOG4701, Chitinase [Cell wall/membrane/envelope biogenesis].</t>
  </si>
  <si>
    <t xml:space="preserve">Cell wall/membrane/envelope biogenesis </t>
  </si>
  <si>
    <t>pfam13638, PIN_4, PIN domain.  Members of this family of bacterial domains are predicted to be RNases (from similarities to 5'-exonucleases).</t>
  </si>
  <si>
    <t>smart00670, PINc, Large family of predicted nucleotide-binding domains.  From similarities to 5'-exonucleases, these domains are predicted to be RNases. PINc domains in nematode SMG-5 and yeast NMD4p are predicted to be involved in RNAi.</t>
  </si>
  <si>
    <t xml:space="preserve"> AgamP4_2R:13400787-13402539(+) </t>
  </si>
  <si>
    <t>AGAP012107-RA</t>
  </si>
  <si>
    <t xml:space="preserve">SUMO-conjugating enzyme UBC9 </t>
  </si>
  <si>
    <t>SUMO-conjugating enzyme UBC9</t>
  </si>
  <si>
    <t>Ubiquitin-protein ligase</t>
  </si>
  <si>
    <t>AGAP012107-PA</t>
  </si>
  <si>
    <t xml:space="preserve"> sumo-conjugating enzyme ubc9</t>
  </si>
  <si>
    <t>pfam00179, UQ_con, Ubiquitin-conjugating enzyme.  Proteins destined for proteasome-mediated degradation may be ubiquitinated. Ubiquitination follows conjugation of ubiquitin to a conserved cysteine residue of UBC homologs. TSG101 is one of several UBC homologs that lacks this active site cysteine.</t>
  </si>
  <si>
    <t>UQ_con 4e-049| COG5078 2e-046| UBCc 6e-046| UBCc 3e-041| PLN00172 2e-019| PTZ00390 4e-017| Prok-E2_B 0.002| E_set_GBE_euk_N | DUF3600 | FGGY_XK_like_2 |</t>
  </si>
  <si>
    <t>KOG0424, KOG0424, KOG0424, Ubiquitin-protein ligase [Posttranslational modification, protein turnover, chaperones].</t>
  </si>
  <si>
    <t>smart00212, UBCc, Ubiquitin-conjugating enzyme E2, catalytic domain homologues.  Proteins destined for proteasome-mediated degradation may be ubiquitinated. Ubiquitination follows conjugation of ubiquitin to a conserved cysteine residue of UBC homologues. This pathway functions in regulating many fundamental processes required for cell viability.TSG101 is one of several UBC homologues that lacks this active site cysteine.</t>
  </si>
  <si>
    <t xml:space="preserve"> AgamP4_3L:37745610-37746497(-) </t>
  </si>
  <si>
    <t>AGAP012413-RA</t>
  </si>
  <si>
    <t xml:space="preserve">cyclin A </t>
  </si>
  <si>
    <t>CycA: cyclin A</t>
  </si>
  <si>
    <t>Cyclin B - probable fragment</t>
  </si>
  <si>
    <t>AGAP012413-PA</t>
  </si>
  <si>
    <t xml:space="preserve"> g2/mitotic-specific cyclin-a</t>
  </si>
  <si>
    <t>Cyclin_N 3e-051| COG5024 6e-041| Cyclin_C 2e-025| CYCLIN 1e-020| CYCLIN 9e-019| CCL1 3e-009| Cyclin_CCL1 | ura-cupin | GST_C_mPGES2 | secA |</t>
  </si>
  <si>
    <t>KOG0654, KOG0654, KOG0654, G2/Mitotic-specific cyclin A [Cell cycle control, cell division, chromosome partitioning].</t>
  </si>
  <si>
    <t xml:space="preserve"> AgamP4_3L:41822080-41823995(+) </t>
  </si>
  <si>
    <t>AGAP006234-RA</t>
  </si>
  <si>
    <t xml:space="preserve">protein SHQ1 </t>
  </si>
  <si>
    <t>protein SHQ1</t>
  </si>
  <si>
    <t>AGAP006234-PA</t>
  </si>
  <si>
    <t xml:space="preserve"> shq1 protein</t>
  </si>
  <si>
    <t>pfam04925, SHQ1, SHQ1 protein.  S. cerevisiae SHQ1 protein is required for SnoRNAs of the box H/ACA Quantitative accumulation (unpublished).</t>
  </si>
  <si>
    <t>SHQ1 4e-027| DUF4598 0.007| SGT1 0.008| MDN1 0.068| Utp14 0.074| CDC45 0.079| NOA36 0.094| YL1 | fluorothreonine_transaldolase | Tom22 |</t>
  </si>
  <si>
    <t>KOG3247, KOG3247, KOG3247, Uncharacterized conserved protein [Function unknown].</t>
  </si>
  <si>
    <t>smart01037, Bet_v_1, Pathogenesis-related protein Bet v I family. This family is named after Bet v 1, the major birch pollen allergen. This protein belongs to family 10 of plant pathogenesis-related proteins (PR-10), cytoplasmic proteins of 15-17 kd that are wide-spread among dicotyledonous plants. In recent years, a number of diverse plant proteins with low sequence similarity to Bet v 1 was identified. A classification by sequence similarity yielded several subfamilies related to PR-10.- Pathogenesis-related proteins PR-10: These proteins were identified as major tree pollen allergens in birch and related species (hazel, alder), as plant food allergens expressed in high levels in fruits, vegetables and seeds (apple, celery, hazelnut), and as pathogenesis-related proteins whose expression is induced by pathogen infection, wounding, or abiotic stress. Hyp-1, an enzyme involved in the synthesis of the bioactive naphthodianthrone hypericin in St. John's wort (Hypericum perforatum) also belongs to this family. Most of these proteins were found in dicotyledonous plants. In addition, related sequences were identified in monocots and conifers. - Cytokinin-specific binding proteins: These legume proteins bind cytokinin plant hormones. - (S)-Norcoclaurine synthases are enzymes catalysing the condensation of dopamine and 4-hydroxyphenylacetaldehyde to (S)-norcoclaurine, the first committed step in the biosynthesis of benzylisoquinoline alkaloids such as morphine. -Major latex proteins and ripening-related proteins are proteins of unknown biological function that were first discovered in the latex of opium poppy (Papaver somniferum) and later found to be upregulated during ripening of fruits such as strawberry and cucumber. The occurrence of Bet v 1-related proteins is confined to seed plants with the exception of a cytokinin-binding protein from the moss Physcomitrella patens.</t>
  </si>
  <si>
    <t xml:space="preserve"> AgamP4_2L:28567588-28569054(+) </t>
  </si>
  <si>
    <t>AGAP010019-RA</t>
  </si>
  <si>
    <t xml:space="preserve">RWD domain-containing protein 4A </t>
  </si>
  <si>
    <t>RWD domain-containing protein 4A</t>
  </si>
  <si>
    <t>AGAP010019-PA</t>
  </si>
  <si>
    <t xml:space="preserve"> tra0a82hr62a0a82hr62 anoar rwd domain-containing protein os-arabiensis ox-773 pe-4 sv</t>
  </si>
  <si>
    <t>Blastocystis hominis</t>
  </si>
  <si>
    <t>pfam05773, RWD, RWD domain.  This domain was identified in WD40 repeat proteins and Ring finger domain proteins. The function of this domain is unknown. GCN2 is the alpha-subunit of the only translation initiation factor (eIF2 alpha) kinase that appears in all eukaryotes. Its function requires an interaction with GCN1 via the domain at its N-terminus, which is termed the RWD domain after three major RWD-containing proteins: RING finger-containing proteins, WD-repeat-containing proteins, and yeast DEAD (DEXD)-like helicases. The structure forms an alpha + beta sandwich fold consisting of two layers: a four-stranded antiparallel beta-sheet, and three side-by-side alpha-helices.</t>
  </si>
  <si>
    <t>RWD 2e-017| RWD 6e-012| FAM194 | CDC45 | GRDP-like | murD | INTS5_N |</t>
  </si>
  <si>
    <t>KOG4018, KOG4018, KOG4018, Uncharacterized conserved protein, contains RWD domain [Function unknown].</t>
  </si>
  <si>
    <t>smart00591, RWD, domain in RING finger and WD repeat containing proteins and DEXDc-like helicases subfamily related to the UBCc domain.</t>
  </si>
  <si>
    <t xml:space="preserve"> AgamP4_3R:47763038-47763794(+) </t>
  </si>
  <si>
    <t>AGAP029358-RA</t>
  </si>
  <si>
    <t>hypothetical protein ZHAS_00016038</t>
  </si>
  <si>
    <t>AGAP029358-PA</t>
  </si>
  <si>
    <t xml:space="preserve"> tra0a82wyy0a0a82wyy0 anoqn os-quadriannulatus ox-3469 pe-4 sv-2</t>
  </si>
  <si>
    <t>ExpAA=2.83 First60=2.82 PredHel=0 Topology=o</t>
  </si>
  <si>
    <t>Anopheles sinensis</t>
  </si>
  <si>
    <t>Plocamium cartilagineum</t>
  </si>
  <si>
    <t>pfam05729, NACHT, NACHT domain.  This NTPase domain is found in apoptosis proteins as well as those involved in MHC transcription activation. This family is closely related to pfam00931.</t>
  </si>
  <si>
    <t>NACHT 0.015| PTZ00107 | Drc1-Sld2 | PRK15415 | DUF3384 | DUF2457 | motB | Nop14 | SRP54 | CENP-B_dimeris |</t>
  </si>
  <si>
    <t>KOG4369, KOG4369, KOG4369, RTK signaling protein MASK/UNC-44 [Signal transduction mechanisms].</t>
  </si>
  <si>
    <t>smart00137, MAM, Domain in meprin, A5, receptor protein tyrosine phosphatase mu (and others).  Likely to have an adhesive function. Mutations in the meprin MAM domain affect noncovalent associations within meprin oligomers. In receptor tyrosine phosphatase mu-like molecules the MAM domain is important for homophilic cell-cell interactions.</t>
  </si>
  <si>
    <t xml:space="preserve"> AgamP4_2L:6125899-6129597(+) </t>
  </si>
  <si>
    <t xml:space="preserve">1 | 1118    LTARIPR|YA  0.520 *ProP*  | </t>
  </si>
  <si>
    <t>AGAP005314-RA</t>
  </si>
  <si>
    <t xml:space="preserve">U6 snRNA-associated Sm-like protein LSm6 </t>
  </si>
  <si>
    <t>U6 snRNA-associated Sm-like protein LSm6</t>
  </si>
  <si>
    <t>Small nuclear ribonucleoprotein F</t>
  </si>
  <si>
    <t>AGAP005314-PA</t>
  </si>
  <si>
    <t xml:space="preserve"> small nuclear ribonucleoprotein f</t>
  </si>
  <si>
    <t>Musca domestica</t>
  </si>
  <si>
    <t>cd01726, LSm6, Like-Sm protein 6.  The eukaryotic LSm proteins (LSm2-8 or LSm1-7) assemble into a hetero-heptameric ring around the 3'-terminus uridylation tag of the gamma-methyl triphosphate (gamma-m-P3) capped U6 snRNA. LSm2-8 form the core of the snRNP particle that, in turn, assembles with other components onto the pre-mRNA to form the spliceosome which is responsible for the excision of introns and the ligation of exons. LSm1-7 is involved in recognition of the 3' uridylation tag and recruitment of the decapping machinery. LSm657 is believed to be an assembly intermediate for both the LSm1-7 and LSm2-8 rings. Members of this family share a highly conserved Sm fold containing an N-terminal helix followed by a strongly bent five-stranded antiparallel beta-sheet.</t>
  </si>
  <si>
    <t>LSm6 5e-030| Sm_F 6e-017| Sm 4e-013| LSM 1e-012| archaeal_Sm1 1e-010| PRK00737 2e-010| LSM1 1e-008| Sm_like 1e-008| LSm4 5e-005| Sm_G 6e-005|</t>
  </si>
  <si>
    <t>KOG1783, KOG1783, KOG1783, Small nuclear ribonucleoprotein F [RNA processing and modification].</t>
  </si>
  <si>
    <t>pfam01423, LSM, LSM domain.  The LSM domain contains Sm proteins as well as other related LSM (Like Sm) proteins. The U1, U2, U4/U6, and U5 small nuclear ribonucleoprotein particles (snRNPs) involved in pre-mRNA splicing contain seven Sm proteins (B/B', D1, D2, D3, E, F and G) in common, which assemble around the Sm site present in four of the major spliceosomal small nuclear RNAs. The U6 snRNP binds to the LSM (Like Sm) proteins. Sm proteins are also found in archaebacteria, which do not have any splicing apparatus suggesting a more general role for Sm proteins. All Sm proteins contain a common sequence motif in two segments, Sm1 and Sm2, separated by a short variable linker. This family also includes the bacterial Hfq (host factor Q) proteins. Hfq are also RNA-binding proteins, that form hexameric rings.</t>
  </si>
  <si>
    <t>smart00651, Sm, snRNP Sm proteins.  small nuclear ribonucleoprotein particles (snRNPs) involved in pre-mRNA splicing.</t>
  </si>
  <si>
    <t xml:space="preserve"> AgamP4_2L:14018331-14018651(-) </t>
  </si>
  <si>
    <t>Stomoxys calcitrans</t>
  </si>
  <si>
    <t>AGAP007725-RA</t>
  </si>
  <si>
    <t>E3 ubiquitin ligase</t>
  </si>
  <si>
    <t>AGAP007725-PA</t>
  </si>
  <si>
    <t xml:space="preserve"> e3 ubiquitin-protein ligase</t>
  </si>
  <si>
    <t>COG5236, COG5236, Uncharacterized conserved protein, contains RING Zn-finger [General function prediction only].</t>
  </si>
  <si>
    <t>COG5236 1e-044| RING-HC_ZNF598 5e-016| zf-C3HC4_3 1e-007| mRING-HC-C3HC5_MGRN1_like---blasttree 6e-004| RING-HC 0.001| mRING-HC-C3HC5_NEU1A 0.002| PHA03307 0.003| PHA02929 0.004| RING-HC_MEX3A 0.008| RING-HC_MEX3B 0.009|</t>
  </si>
  <si>
    <t>KOG2231, KOG2231, KOG2231, Predicted E3 ubiquitin ligase [Posttranslational modification, protein turnover, chaperones].</t>
  </si>
  <si>
    <t>pfam13920, zf-C3HC4_3, Zinc finger, C3HC4 type (RING finger).</t>
  </si>
  <si>
    <t xml:space="preserve"> AgamP4_2L:49322596-49325933(-) </t>
  </si>
  <si>
    <t xml:space="preserve">1 | 322    SRSRVGR|GG  0.679 *ProP*  | </t>
  </si>
  <si>
    <t>AGAP003331-RA</t>
  </si>
  <si>
    <t xml:space="preserve">Enolase-phosphatase E1 </t>
  </si>
  <si>
    <t>Enolase-phosphatase E1</t>
  </si>
  <si>
    <t>Enolase-phosphatase E-1</t>
  </si>
  <si>
    <t>met/aa</t>
  </si>
  <si>
    <t>AGAP003331-PA</t>
  </si>
  <si>
    <t>cd01629, HAD_EP, Enolase-phosphatase similar to human enolase-phosphatase E1 and and Xanthomonas oryzae pv. Oryzae enolase-phosphatase Xep.  Enolase-phosphatase E1 (also called MASA) is a bifunctional enolase- phosphatase which promotes the conversion of 2,3-diketo-5-methylthio-1-phosphopentane to 1,2-dihydroxy-3-keto-5-methylthiopentene anion (an aci-reductone) in the methionine salvage pathway. The catalytic reaction is carried out continuously by enolization and dephosphorylation, and the enolase activity cannot be classified as typical enzymatic enolization. This family belongs to the haloacid dehalogenase-like (HAD) hydrolases, a large superfamily of diverse enzymes that catalyze carbon or phosphoryl group transfer reactions on a range of substrates, using an active site aspartate in nucleophilic catalysis. Members of this superfamily include 2-L-haloalkanoic acid dehalogenase, azetidine hydrolase, phosphonoacetaldehyde hydrolase, phosphoserine phosphatase, phosphomannomutase, P-type ATPases and many others. HAD hydrolases are found in all three kingdoms of life, and most genomes are predicted to contain multiple HAD-like proteins. Members possess a highly conserved alpha/beta core domain, and many also possess a small cap domain, the fold and function of which is variable. HAD hydrolases are sometimes referred to as belonging to the DDDD superfamily of phosphohydrolases.</t>
  </si>
  <si>
    <t>HAD_EP 7e-086| putative_enolase-phosphatase 2e-061| COG4229 1e-055| HAD-SF-IA-v1 6e-016| MDN1 4e-013| PTZ00121 5e-013| retinal_rod 1e-009| PTZ00108 2e-006| PTZ00341 2e-005| SMC_N 9e-005|</t>
  </si>
  <si>
    <t>KOG2630, KOG2630, KOG2630, Enolase-phosphatase E-1 [Amino acid transport and metabolism].</t>
  </si>
  <si>
    <t>pfam00702, Hydrolase, haloacid dehalogenase-like hydrolase.  This family is structurally different from the alpha/beta hydrolase family (pfam00561). This family includes L-2-haloacid dehalogenase, epoxide hydrolases and phosphatases. The structure of the family consists of two domains. One is an inserted four helix bundle, which is the least well conserved region of the alignment, between residues 16 and 96 of Pseudomonas sp. (S)-2-haloacid dehalogenase 1. The rest of the fold is composed of the core alpha/beta domain. Those members with the characteristic DxD triad at the N-terminus are probably phosphatidylglycerolphosphate (PGP) phosphatases involved in cardiolipin biosynthesis in the mitochondria.</t>
  </si>
  <si>
    <t xml:space="preserve"> AgamP4_2R:36112592-36121813(-) </t>
  </si>
  <si>
    <t>AGAP004699-RA</t>
  </si>
  <si>
    <t xml:space="preserve">RAF proto-oncogene serine/threonine-protein kinase </t>
  </si>
  <si>
    <t>RAF proto-oncogene serine/threonine-protein kinase</t>
  </si>
  <si>
    <t>Protein kinase domain</t>
  </si>
  <si>
    <t>AGAP004699-PA</t>
  </si>
  <si>
    <t xml:space="preserve"> serine/threonine-protein kinase b-raf isoform x1</t>
  </si>
  <si>
    <t>cd14062, STKc_Raf, Catalytic domain of the Serine/Threonine Kinases, Raf (Rapidly Accelerated Fibrosarcoma) kinases. STKs catalyze the transfer of the gamma-phosphoryl group from ATP to serine/threonine residues on protein substrates. Raf kinases act as mitogen-activated protein kinase kinase kinases (MAP3Ks, MKKKs, MAPKKKs), which phosphorylate and activate MAPK kinases (MAPKKs or MKKs or MAP2Ks), which in turn phosphorylate and activate MAPKs during signaling cascades that are important in mediating cellular responses to extracellular signals. They function in the linear Ras-Raf-MEK-ERK pathway that regulates many cellular processes including cycle regulation, proliferation, differentiation, survival, and apoptosis. Aberrant expression or activation of components in this pathway are associated with tumor initiation, progression, and metastasis. Raf proteins contain a Ras binding domain, a zinc finger cysteine-rich domain, and a catalytic kinase domain. Vertebrates have three Raf isoforms (A-, B-, and C-Raf) with different expression profiles, modes of regulation, and abilities to function in the ERK cascade, depending on cellular context and stimuli. They have essential and non-overlapping roles during embryo- and organogenesis. Knockout of each isoform results in a lethal phenotype or abnormality in most mouse strains. The Raf subfamily is part of a larger superfamily that includes the catalytic domains of other STKs, protein tyrosine kinases, RIO kinases, aminoglycoside phosphotransferase, choline kinase, and phosphoinositide 3-kinase.</t>
  </si>
  <si>
    <t>STKc_Raf e-152| STKc_C-Raf e-121| STKc_B-Raf e-119| STKc_A-Raf e-117| STKc_MAP3K-like 3e-081| PK_KSR 6e-069| Pkinase 3e-058| Pkinase_Tyr 7e-058| S_TKc 1e-052| TyrKc 2e-052|</t>
  </si>
  <si>
    <t>KOG0193, KOG0193, KOG0193, Serine/threonine protein kinase RAF [Signal transduction mechanisms].</t>
  </si>
  <si>
    <t>pfam00069, Pkinase, Protein kinase domain.</t>
  </si>
  <si>
    <t>smart00220, S_TKc, Serine/Threonine protein kinases, catalytic domain.  Phosphotransferases. Serine or threonine-specific kinase subfamily.</t>
  </si>
  <si>
    <t xml:space="preserve"> AgamP4_2L:1974042-1976357(+) </t>
  </si>
  <si>
    <t xml:space="preserve">1 | 279    TSLRHPR|SL  0.591 *ProP*  | </t>
  </si>
  <si>
    <t>AGAP029665-RA</t>
  </si>
  <si>
    <t>AGAP011074-PA partial</t>
  </si>
  <si>
    <t>AGAP029665-PA</t>
  </si>
  <si>
    <t xml:space="preserve"> tra0ai8jtm6a0ai8jtm6 anoar domain-containing protein os-arabiensis ox-773 pe-4 sv</t>
  </si>
  <si>
    <t>ExpAA=0.06 First60=0.03 PredHel=0 Topology=o</t>
  </si>
  <si>
    <t>pfam15741, LRIF1, Ligand-dependent nuclear receptor-interacting factor 1.  This family of proteins interacts with the retinoic acid receptor RARalpha and inhibit it's ligand-dependent transcriptional activation.</t>
  </si>
  <si>
    <t>LRIF1 0.029| DUF4806 0.084| PRK08581 | PRK13914 | PTZ00310 |</t>
  </si>
  <si>
    <t>KOG4746, KOG4746, KOG4746, Small nuclear RNA activating complex (SNAPc), subunit SNAP43 [RNA processing and modification].</t>
  </si>
  <si>
    <t xml:space="preserve"> AgamP4_3L:16283358-16285253(-) </t>
  </si>
  <si>
    <t>AGAP008158-RA</t>
  </si>
  <si>
    <t xml:space="preserve">dCMP deaminase </t>
  </si>
  <si>
    <t>dCMP deaminase</t>
  </si>
  <si>
    <t>Deoxycytidylate deaminase</t>
  </si>
  <si>
    <t>AGAP008158-PA</t>
  </si>
  <si>
    <t xml:space="preserve"> deoxycytidylate deaminase</t>
  </si>
  <si>
    <t>cd01286, deoxycytidylate_deaminase, Deoxycytidylate deaminase domain. Deoxycytidylate deaminase catalyzes the deamination of dCMP to dUMP,  providing the nucleotide substrate for thymidylate synthase. The enzyme binds Zn++, which is required for catalytic activity. The activity of the enzyme is allosterically regulated by the ratio of dCTP to dTTP not only in eukaryotic cells but also in T-even phage-infected Escherichia coli, with dCTP acting as an activator and dTTP as an inhibitor.</t>
  </si>
  <si>
    <t>deoxycytidylate_deaminase 8e-042| ComEB 4e-036| dCMP_cyt_deam_1 3e-023| cytidine_deaminase-like 1e-021| cd 1e-016| putative_dCMP_deaminase 2e-015| CumB 2e-010| RibD 6e-010| nucleoside_deaminase 2e-009| Riboflavin_deaminase-reductase 4e-009|</t>
  </si>
  <si>
    <t>KOG3127, KOG3127, KOG3127, Deoxycytidylate deaminase [Nucleotide transport and metabolism].</t>
  </si>
  <si>
    <t>pfam00383, dCMP_cyt_deam_1, Cytidine and deoxycytidylate deaminase zinc-binding region.</t>
  </si>
  <si>
    <t>smart00955, RNB, This domain is the catalytic domain of ribonuclease II.</t>
  </si>
  <si>
    <t xml:space="preserve"> AgamP4_3R:6265093-6265713(+) </t>
  </si>
  <si>
    <t>AGAP004057-RA</t>
  </si>
  <si>
    <t xml:space="preserve">Glutamyl-tRNA(Gln) amidotransferase subunit A, mitochondrial [Source:UniProtKB/Swiss-Prot;Acc:Q7QH64] </t>
  </si>
  <si>
    <t>gatA: Glutamyl-tRNA(Gln) amidotransferase subunit A, mitochondrial</t>
  </si>
  <si>
    <t>aspartyl/glutamyl-tRNA amidotransferase subunit A</t>
  </si>
  <si>
    <t>AGAP004057-PA</t>
  </si>
  <si>
    <t>ExpAA=0.89 First60=0.00 PredHel=0 Topology=o</t>
  </si>
  <si>
    <t>PRK00012, gatA, aspartyl/glutamyl-tRNA amidotransferase subunit A; Reviewed.</t>
  </si>
  <si>
    <t>gatA e-175| GatA e-143| Glutamyl-tRNAGln_amidotransferase_subu...   496   e-141 e-141| Amidase e-130| PRK07488 6e-072| PRK07139 8e-071| PRK09201 3e-069| PRK07235 5e-066| Glu-tRNAGln_amidotransferase_A_subunit...   240   1e-063 1e-063| PRK07042 6e-059|</t>
  </si>
  <si>
    <t>KOG1211, KOG1211, KOG1211, Amidases [Translation, ribosomal structure and biogenesis].</t>
  </si>
  <si>
    <t>pfam01425, Amidase, Amidase.</t>
  </si>
  <si>
    <t>AGAP010440-RA</t>
  </si>
  <si>
    <t xml:space="preserve">Small nuclear ribonucleoprotein E [Source:UniProtKB/TrEMBL;Acc:Q7QDV5] </t>
  </si>
  <si>
    <t>Small nuclear ribonucleoprotein E</t>
  </si>
  <si>
    <t>AGAP010440-PA</t>
  </si>
  <si>
    <t xml:space="preserve"> sm protein e</t>
  </si>
  <si>
    <t>cd01718, Sm_E, Sm protein E.  The eukaryotic Sm proteins (B/B', D1, D2, D3, E, F and G) assemble into a hetero-heptameric ring around the Sm site of the 2,2,7-trimethyl guanosine (m3G) capped U1, U2, U4 and U5 snRNAs (Sm snRNAs) forming the core of the snRNP particle. The snRNP particle, in turn, assembles with other components onto the pre-mRNA to form the spliceosome which is responsible for the excision of introns and the ligation of exons. Members of this family share a highly conserved Sm fold containing an N-terminal helix followed by a strongly bent five-stranded antiparallel beta-sheet. Sm subunit E binds subunits F and G to form a trimer which then assembles onto snRNA along with the D1/D2 and D3/B heterodimers forming a seven-membered ring structure.</t>
  </si>
  <si>
    <t>Sm_E 7e-039| PTZ00138 1e-029| Sm 3e-012| LSM 8e-012| LSM1 6e-008| Sm_like 2e-007| LSm5 1e-006| archaeal_Sm1 2e-006| Sm_B 2e-005| archaeal_LSm 2e-005|</t>
  </si>
  <si>
    <t>KOG1774, KOG1774, KOG1774, Small nuclear ribonucleoprotein E [RNA processing and modification].</t>
  </si>
  <si>
    <t>AGAP005461-RA</t>
  </si>
  <si>
    <t>Non-SMC (structural maintenance of chromosomes) element 1 protein (NSE1)</t>
  </si>
  <si>
    <t>AGAP005461-PA</t>
  </si>
  <si>
    <t xml:space="preserve"> ring e3 ubiquitin transferase</t>
  </si>
  <si>
    <t>ExpAA=0.12 First60=0.01 PredHel=0 Topology=o</t>
  </si>
  <si>
    <t>Saprolegnia parasitica CBS 223.65</t>
  </si>
  <si>
    <t>pfam07574, SMC_Nse1, Nse1 non-SMC component of SMC5-6 complex.  S. cerevisiae Nse1 forms part of a complex with SMC5-SMC6. This non-structural maintenance of chromosomes (SMC) complex plays an essential role in genomic stability, being involved in DNA repair and DNA metabolism. It is conserved in eukaryotes from yeast to human. This domain lies immediatley up-stream of the DNA-binding zinc-finger domain, zf-RING-like pfam08746.</t>
  </si>
  <si>
    <t>SMC_Nse1 8e-007| zf-RING-like 0.007| RING-CH-C4HC3_NSE1 0.020| zf-RING_2 0.082| HRD1 | C1 | C1_1 | Vac14_Fig4_bd | RING-H2_synoviolin | C1 |</t>
  </si>
  <si>
    <t>KOG4718, KOG4718, KOG4718, Non-SMC (structural maintenance of chromosomes) element 1 protein (NSE1) [Chromatin structure and dynamics].</t>
  </si>
  <si>
    <t>smart00109, C1, Protein kinase C conserved region 1 (C1) domains (Cysteine-rich domains).  Some bind phorbol esters and diacylglycerol. Some bind RasGTP. Zinc-binding domains.</t>
  </si>
  <si>
    <t xml:space="preserve"> AgamP4_2L:15810013-15810883(-) </t>
  </si>
  <si>
    <t>AGAP008040-RA</t>
  </si>
  <si>
    <t>AGAP008040-PA</t>
  </si>
  <si>
    <t xml:space="preserve"> c2h2 domain-containing protein os-coluzzii ox-834 pe-4 sv</t>
  </si>
  <si>
    <t>Leptomonas pyrrhocoris</t>
  </si>
  <si>
    <t>ZnF_C2H2 | PLN03087 | DUF4540 | SelB | PBP1_GPCR_family_C_like | ZF_C2H2 | zf-C2H2 | PRK04366 | LIM2_Testin |</t>
  </si>
  <si>
    <t>KOG3530, KOG3530, KOG3530, FERM domain protein EHM2 [General function prediction only].</t>
  </si>
  <si>
    <t>pfam15073, DUF4540, Domain of unknown function (DUF4540).  This family of proteins is found in eukaryotes. Proteins in this family are typically between 109 and 302 amino acids in length. In humans, it is found in the chromosomal position, C7orf72.</t>
  </si>
  <si>
    <t xml:space="preserve"> AgamP4_3R:4798924-4799974(-) </t>
  </si>
  <si>
    <t xml:space="preserve">2 | 237    TGRRDRR|PS  0.620 *ProP*  | 289    ITSRFGR|SI  0.725 *ProP*  | </t>
  </si>
  <si>
    <t>AGAP010191-RA</t>
  </si>
  <si>
    <t xml:space="preserve">calumenin isoform b precursor </t>
  </si>
  <si>
    <t>calumenin isoform b precursor</t>
  </si>
  <si>
    <t>Reticulocalbin calumenin DNA supercoiling factor - signalP detected</t>
  </si>
  <si>
    <t>st/secreted Reticulocalbin</t>
  </si>
  <si>
    <t>AGAP010191-PA</t>
  </si>
  <si>
    <t xml:space="preserve"> ef-hand - signalP detected</t>
  </si>
  <si>
    <t xml:space="preserve"> 24-25</t>
  </si>
  <si>
    <t>ExpAA=8.73 First60=8.73 PredHel=0 Topology=o</t>
  </si>
  <si>
    <t>Eimeria acervulina</t>
  </si>
  <si>
    <t>Crotalus adamanteus</t>
  </si>
  <si>
    <t>cd16227, EFh_CREC_RCN2_like, EF-hand, calcium binding motif, found in reticulocalbin-2 (RCN2) mainly from protostomes. This family corresponds to a group of uncharacterized RCN2-like proteins, which are mainly found in protostomes. Although their biological function remains unclear, they show high sequence similarity with RCN2 (also known as E6BP or TCBP-49), which is an endoplasmic reticulum resident low-affinity Ca2+-binding protein that has been implicated in immunity, redox homeostasis, cell cycle regulation and coagulation. Members in this family contain six copies of the EF-hand Ca2+-binding motif, but may lack a C-terminal His-Asp-Glu-Leu (HDEL) tetrapeptide that is required for retention of RCN2 in the endoplasmic reticulum (ER).</t>
  </si>
  <si>
    <t>EFh_CREC_RCN2_like e-101| EFh_CREC 7e-063| EFh_CREC_Calumenin_like 2e-061| EFh_CREC_RCN2 1e-050| EFh_CREC_RCN3 3e-040| EFh_CREC_Calumenin 3e-039| EFh_CREC_RCN1 2e-038| EFh_CREC_cab45 2e-030| FRQ1 8e-008| PTZ00184 2e-004|</t>
  </si>
  <si>
    <t>KOG4223, KOG4223, KOG4223, Reticulocalbin, calumenin, DNA supercoiling factor, and related Ca2+-binding proteins of the CREC family (EF-Hand protein superfamily) [Signal transduction mechanisms, Intracellular trafficking, secretion, and vesicular transport].</t>
  </si>
  <si>
    <t>pfam13499, EF-hand_7, EF-hand domain pair.</t>
  </si>
  <si>
    <t>smart00027, EH, Eps15 homology domain.  Pair of EF hand motifs that recognise proteins containing Asn-Pro-Phe (NPF) sequences.</t>
  </si>
  <si>
    <t xml:space="preserve"> AgamP4_3R:50383856-50384963(+) </t>
  </si>
  <si>
    <t>AGAP010258-RA</t>
  </si>
  <si>
    <t xml:space="preserve">kinesin light chain </t>
  </si>
  <si>
    <t>kinesin light chain</t>
  </si>
  <si>
    <t>Kinesin light chain</t>
  </si>
  <si>
    <t>AGAP010258-PA</t>
  </si>
  <si>
    <t xml:space="preserve"> kinesin light chain</t>
  </si>
  <si>
    <t>ExpAA=0.05 First60=0.02 PredHel=0 Topology=o</t>
  </si>
  <si>
    <t>sd00006, TPR, Tetratricopeptide repeat.  The Tetratricopeptide repeat (TPR) typically contains 34 amino acids and is found in a variety of organisms including bacteria, cyanobacteria, yeast, fungi, plants, and humans. It is present in a variety of proteins including those involved in chaperone, cell-cycle, transcription, and protein transport complexes. The number of TPR motifs varies among proteins. Those containing 5-6 tandem repeats generate a right-handed helical structure with an amphipathic channel that is thought to accommodate an alpha-helix of a target protein. It has been proposed that TPR proteins preferentially interact with WD-40 repeat proteins, but in many instances several TPR-proteins seem to aggregate to multi-protein complexes.</t>
  </si>
  <si>
    <t>TPR 2e-013| TPR_12 7e-012| Uncharacterized_protein_HI_0366 2e-009| TPR_10 9e-009| PilF 3e-006| TPR_domain_protein 2e-005| PPR 1e-004| NrfG 7e-004| pepcterm_ChnLen 0.013| COG4783 0.017|</t>
  </si>
  <si>
    <t>KOG1840, KOG1840, KOG1840, Kinesin light chain [Cytoskeleton].</t>
  </si>
  <si>
    <t>pfam13424, TPR_12, Tetratricopeptide repeat.</t>
  </si>
  <si>
    <t xml:space="preserve"> AgamP4_3R:51717457-51719626(+) </t>
  </si>
  <si>
    <t>AGAP010353-RA</t>
  </si>
  <si>
    <t xml:space="preserve">DNA cross-link repair 1A protein </t>
  </si>
  <si>
    <t>DNA cross-link repair 1A protein</t>
  </si>
  <si>
    <t>hydrolase involved in interstrand cross-link repair</t>
  </si>
  <si>
    <t>AGAP010353-PA</t>
  </si>
  <si>
    <t xml:space="preserve"> hydrolase involved in interstrand cross-link repair</t>
  </si>
  <si>
    <t>cd16273, SNM1A-1C-like_MBL-fold, SNM1A , artemis/SNM1C, yeast Pso2p, and related proteins; MBL-fold metallo-hydrolase domain.  Includes human SNM1A (SNM1 homolog A, also known as DNA cross-link repair 1A protein) and Saccharomyces cerevisiae Pso2 protein (PSOralen derivative sensitive 2, also known as SNM1, sensitive to nitrogen mustard 1), both proteins are 5'-exonucleases and function in interstrand cross-links (ICL) repair. Also includes the nuclease artemis (also known as SNM1C, SNM1 homolog C, SNM1-like protein, and DNA cross-link repair 1C protein) which plays a role in V(D)J recombination/DNA repair. Purified artemis protein possesses single-strand-specific 5' to 3' exonuclease activity. Upon complex formation with, and phosphorylation by, DNA-dependent protein kinase, artemis gains endonucleolytic activity on hairpins and 5' and 3' overhangs. Members of this subgroup belong to the MBL-fold metallo-hydrolase superfamily which is comprised mainly of hydrolytic enzymes which carry out a variety of biological functions.</t>
  </si>
  <si>
    <t>SNM1A-1C-like_MBL-fold 2e-069| SNM1A-like_MBL-fold 6e-052| DRMBL 4e-032| artemis-SNM1C-like_MBL-fold 1e-011| COG0595 3e-009| Lactamase_B 7e-009| YSH1 8e-009| metallo-hydrolase-like_MBL-fold 2e-008| TTHA0252-CPSF-like_MBL-fold 6e-008| CPSF3-like_MBL-fold 6e-008|</t>
  </si>
  <si>
    <t>KOG1361, KOG1361, KOG1361, Predicted hydrolase involved in interstrand cross-link repair [Replication, recombination and repair].</t>
  </si>
  <si>
    <t>pfam07522, DRMBL, DNA repair metallo-beta-lactamase.  The metallo-beta-lactamase fold contains five sequence motifs. The first four motifs are found in pfam00753 and are common to all metallo-beta-lactamases. The fifth motif appears to be specific to function. This entry represents the fifth motif from metallo-beta-lactamases involved in DNA repair.</t>
  </si>
  <si>
    <t>smart00849, Lactamase_B, Metallo-beta-lactamase superfamily.  Apart from the beta-lactamases a number of other proteins contain this domain. These proteins include thiolesterases, members of the glyoxalase II family, that catalyse the hydrolysis of S-D-lactoyl-glutathione to form glutathione and D-lactic acid and a competence protein that is essential for natural transformation in Neisseria gonorrhoeae and could be a transporter involved in DNA uptake. Except for the competence protein these proteins bind two zinc ions per molecule as cofactor.</t>
  </si>
  <si>
    <t xml:space="preserve"> AgamP4_3L:1959797-1962374(+) </t>
  </si>
  <si>
    <t xml:space="preserve">2 | 25    SLTRKKR|KA  0.567 *ProP*  | 355    KAPRSAR|SK  0.600 *ProP*  | </t>
  </si>
  <si>
    <t>AGAP004579-RA</t>
  </si>
  <si>
    <t xml:space="preserve">cyclin-dependent kinase 2 </t>
  </si>
  <si>
    <t>cdk2: cyclin-dependent kinase 2</t>
  </si>
  <si>
    <t>Catalytic domain of Cyclin-Dependent protein Kinase 1-like Serine/Threonine Kinases and of Plant B-type Cyclin-Dependent protein Kinase</t>
  </si>
  <si>
    <t>AGAP004579-PA</t>
  </si>
  <si>
    <t xml:space="preserve"> cmgc/cdk/cdc2 protein kinase</t>
  </si>
  <si>
    <t>ExpAA=0.95 First60=0.00 PredHel=0 Topology=o</t>
  </si>
  <si>
    <t>Thecamonas trahens ATCC 50062</t>
  </si>
  <si>
    <t>cd07835, STKc_CDK1_CdkB_like, Catalytic domain of Cyclin-Dependent protein Kinase 1-like Serine/Threonine Kinases and of Plant B-type Cyclin-Dependent protein Kinase.  STKs catalyze the transfer of the gamma-phosphoryl group from ATP to serine/threonine residues on protein substrates. This subfamily is composed of CDK, CDK2, and CDK3. CDK1 is also called Cell division control protein 2 (Cdc2) or p34 protein kinase, and is regulated by cyclins A, B, and E. The CDK1/cyclin A complex controls G2 phase entry and progression while the CDK1/cyclin B complex is critical for G2 to M phase transition. CDK2 is regulated by cyclin E or cyclin A. Upon activation by cyclin E, it phosphorylates the retinoblastoma (pRb) protein which activates E2F mediated transcription and allows cells to move into S phase. The CDK2/cyclin A complex plays a role in regulating DNA replication. Studies in knockout mice revealed that CDK1 can compensate for the loss of the cdk2 gene as it can also bind cyclin E and drive G1 to S phase transition. CDK3 is regulated by cyclin C and it phosphorylates pRB specifically during the G0/G1 transition. This phosphorylation is required for cells to exit G0 efficiently and enter the G1 phase. The plant-specific B-type CDKs are expressed from the late S to the M phase of the cell cycle. They are characterized by the cyclin binding motif PPT[A/T]LRE. They play a role in controlling mitosis and integrating developmental pathways, such as stomata and leaf development. CdkB has been shown to associate with both cyclin B, which controls G2/M transition, and cyclin D, which acts as a mediator in linking extracellular signals to the cell cycle. CDKs belong to a large family of STKs that are regulated by their cognate cyclins. Together, they are involved in the control of cell-cycle progression, transcription, and neuronal function. The CDK1 subfamily is part of a larger superfamily that includes the catalytic domains of other STKs, protein tyrosine kinases, RIO kinases, aminoglycoside phosphotransferase, choline kinase, and phosphoinositide 3-kinase.</t>
  </si>
  <si>
    <t>STKc_CDK1_CdkB_like e-134| STKc_CDK_like e-131| STKc_CDK2_3 e-119| STKc_CDK1_euk e-115| PLN00009 e-110| STKc_CDK9_like 1e-098| STKc_CDK5 2e-097| STKc_CDC2L1 2e-096| STKc_CDK7 3e-094| STKc_Pho85 8e-094|</t>
  </si>
  <si>
    <t>KOG0594, KOG0594, KOG0594, Protein kinase PCTAIRE and related kinases [General function prediction only].</t>
  </si>
  <si>
    <t xml:space="preserve"> AgamP4_2R:57948504-57949495(-) </t>
  </si>
  <si>
    <t>AGAP009682-RA</t>
  </si>
  <si>
    <t>AGAP009682-PA</t>
  </si>
  <si>
    <t>PRK13648, cbiO, cobalt transporter ATP-binding subunit; Provisional.</t>
  </si>
  <si>
    <t>cbiO | Methyltransf_16 | PRK13573 | F-BAR_FBP17 | glycerol3P_GlpB | MBR1 |</t>
  </si>
  <si>
    <t>KOG1854, KOG1854, KOG1854, Mitochondrial inner membrane protein (mitofilin) [Cell wall/membrane/envelope biogenesis].</t>
  </si>
  <si>
    <t>pfam10294, Methyltransf_16, Lysine methyltransferase. Methyltrans_16 is a lysine methyltransferase. characterized members of this family are protein methyltransferases targetting Lys residues in specific proteins, including calmodulin, VCP, Kin17 and Hsp70 proteins.</t>
  </si>
  <si>
    <t xml:space="preserve"> AgamP4_3R:38400465-38401144(-) </t>
  </si>
  <si>
    <t>AGAP005260-RA</t>
  </si>
  <si>
    <t xml:space="preserve">dTMP kinase </t>
  </si>
  <si>
    <t>dTMP kinase</t>
  </si>
  <si>
    <t>Thymidylate kinase/adenylate kinase</t>
  </si>
  <si>
    <t>AGAP005260-PA</t>
  </si>
  <si>
    <t xml:space="preserve"> thymidylate kinase</t>
  </si>
  <si>
    <t>PLN02924, PLN02924, thymidylate kinase.</t>
  </si>
  <si>
    <t>PLN02924 8e-074| Thymidylate_kin 2e-027| Tmk 4e-027| Thymidylate_kinase 4e-022| PRK13975 3e-019| TMPK 1e-015| tmk 1e-013| PRK13974 6e-012| PRK07933 3e-005| PRK13976 0.015|</t>
  </si>
  <si>
    <t>KOG3327, KOG3327, KOG3327, Thymidylate kinase/adenylate kinase [Nucleotide transport and metabolism].</t>
  </si>
  <si>
    <t>pfam02223, Thymidylate_kin, Thymidylate kinase.</t>
  </si>
  <si>
    <t>smart00943, Prim-Pol, Bifunctional DNA primase/polymerase, N-terminal.  Members of this family adopt a structure consisting of a core of antiparallel beta sheets. They are found in various bacterial hypothetical proteins, and have been shown to harbour both primase and polymerase activities.</t>
  </si>
  <si>
    <t xml:space="preserve"> AgamP4_2L:13356664-13357456(-) </t>
  </si>
  <si>
    <t>AGAP001361-RA</t>
  </si>
  <si>
    <t xml:space="preserve">WD repeat-containing protein </t>
  </si>
  <si>
    <t>WD repeat-containing protein</t>
  </si>
  <si>
    <t>Conserved WD40 repeat-containing protein</t>
  </si>
  <si>
    <t>AGAP001361-PA</t>
  </si>
  <si>
    <t xml:space="preserve"> wd repeat-containing protein 48</t>
  </si>
  <si>
    <t>cd00200, WD40, WD40 domain, found in a number of eukaryotic proteins that cover a wide variety of functions including adaptor/regulatory modules in signal transduction, pre-mRNA processing and cytoskeleton assembly; typically contains a GH dipeptide 11-24 residues from its N-terminus and the WD dipeptide at its C-terminus and is 40 residues long, hence the name WD40; between GH and WD lies a conserved core; serves as a stable propeller-like platform to which proteins can bind either stably or reversibly; forms a propeller-like structure with several blades where each blade is composed of a four-stranded anti-parallel b-sheet; instances with few detectable copies are hypothesized to form larger structures by dimerization; each WD40 sequence repeat forms the first three strands of one blade and the last strand in the next blade; the last C-terminal WD40 repeat completes the blade structure of the first WD40 repeat to create the closed ring propeller-structure; residues on the top and bottom surface of the propeller are proposed to coordinate interactions with other proteins and/or small ligands; 7 copies of the repeat are present in this alignment.</t>
  </si>
  <si>
    <t>WD40 3e-052| DUF3337 1e-044| 7WD40 1e-031| COG2319 6e-030| PLN00181 1e-009| WD40 3e-005| PTZ00421 9e-005| WD40 1e-004| COG1203 | PHA03307 |</t>
  </si>
  <si>
    <t>KOG0308, KOG0308, KOG0308, Conserved WD40 repeat-containing protein [Function unknown].</t>
  </si>
  <si>
    <t>pfam11816, DUF3337, Domain of unknown function (DUF3337).  This family of proteins are functionally uncharacterized. This family is only found in eukaryotes. This presumed domain is typically between 285 to 342 amino acids in length.</t>
  </si>
  <si>
    <t>smart00320, WD40, WD40 repeats.  Note that these repeats are permuted with respect to the structural repeats (blades) of the beta propeller domain.</t>
  </si>
  <si>
    <t xml:space="preserve"> AgamP4_2R:3568692-3571213(+) </t>
  </si>
  <si>
    <t>AGAP005486-RA</t>
  </si>
  <si>
    <t xml:space="preserve">39S ribosomal protein L50, mitochondrial </t>
  </si>
  <si>
    <t>mRpL50: 39S ribosomal protein L50, mitochondrial</t>
  </si>
  <si>
    <t>mitochondrial ribosomal protein L50</t>
  </si>
  <si>
    <t>AGAP005486-PA</t>
  </si>
  <si>
    <t xml:space="preserve"> tra0a82hm34a0a82hm34 anoar 39s ribosomal protein l0</t>
  </si>
  <si>
    <t>pfam10501, Ribosomal_L50, Ribosomal subunit 39S.  The 39S ribosomal protein appears to be a subunit of one of the larger mitochondrial 66S or 70S units. Under conditions of ethanol-stress in rats the larger subunit is largely dissociated into its smaller components. In E. coli, in the absence of the enzyme pseudouridine synthase (RluD) synthase, there is an accumulation of 50S and 30S subunits and the appearance of abnormal particles (62S and 39S), with concomitant loss of 70S ribosomes.</t>
  </si>
  <si>
    <t>Ribosomal_L50 4e-006| Ribul_P_3_epim | PL-6 | UBL_TBK1_like | Putative_zinc_metalloprotease_slr1821 | RsbRD_N | SNM1A-like_MBL-fold | PRK10206 | PRK09722 | PRK14977 |</t>
  </si>
  <si>
    <t>KOG0270, KOG0270, KOG0270, WD40 repeat-containing protein [Function unknown].</t>
  </si>
  <si>
    <t>smart00638, LPD_N, Lipoprotein N-terminal Domain.</t>
  </si>
  <si>
    <t xml:space="preserve"> AgamP4_2L:16132080-16133099(-) </t>
  </si>
  <si>
    <t xml:space="preserve">1 | 38    SSNRVKR|IK  0.731 *ProP*  | </t>
  </si>
  <si>
    <t>WP</t>
  </si>
  <si>
    <t>AGAP001040-RA</t>
  </si>
  <si>
    <t>agap001040-pa - Membrane anchor detected - 3 predicted membrane helices</t>
  </si>
  <si>
    <t>uc/memb membrAnchor</t>
  </si>
  <si>
    <t>AGAP001040-PA</t>
  </si>
  <si>
    <t xml:space="preserve"> protein - Membrane anchor detected - 3 predicted membrane helices</t>
  </si>
  <si>
    <t>ExpAA=67.65 First60=0.03 PredHel=3 Topology=o82-104i109-131o135-157i</t>
  </si>
  <si>
    <t>Trypanosoma cruzi strain CL Brener</t>
  </si>
  <si>
    <t>pfam16015, Promethin, Promethin.</t>
  </si>
  <si>
    <t>Promethin 7e-017| SLC5sbd 0.020| UPF0114 0.022| DUF766 0.030| SdhC 0.061| G3P_acyltransf | Mem_trans | Probable_transport_protein_Rv0917/MT09...    32   0.21  | NorM | COG4666 |</t>
  </si>
  <si>
    <t>KOG0061, KOG0061, KOG0061, Transporter, ABC superfamily (Breast cancer resistance protein) [Secondary metabolites biosynthesis, transport and catabolism].</t>
  </si>
  <si>
    <t>smart00793, AgrB, Accessory gene regulator B.  The accessory gene regulator (agr) of Staphylococcus aureus is the central regulatory system that controls the gene expression for a large set of virulence factors. The arg locus consists of two transcripts: RNAII and RNAIII. RNAII encodes four genes (agrA, B, C, and D) whose gene products assemble a quorum sensing system. At low cell density, the agr genes are continuously expressed at basal levels. A signal molecule, autoinducing peptide (AIP), produced and secreted by the bacteria, accumulates outside of the cells. When the cell density increases and the AIP concentration reaches a threshold, it activates the agr response, i.e. activation of secreted protein gene expression and subsequent repression of cell wall-associated protein genes. AgrB and AgrD are essential for the production of the autoinducing peptide which functions as a signal for quorum sensing. AgrB is a transmembrane protein. AgrB is involved in the proteolytic processing of AgrD and may have both proteolytic enzyme activity and a transporter facilitating the export of the processed AgrD peptide.</t>
  </si>
  <si>
    <t xml:space="preserve"> AgamP4_X:20052172-20053063(-) </t>
  </si>
  <si>
    <t xml:space="preserve">1 | 34    MERRHRR|NE  0.557 *ProP*  | </t>
  </si>
  <si>
    <t>AGAP004931-RA</t>
  </si>
  <si>
    <t>RAB6-interacting golgin</t>
  </si>
  <si>
    <t>AGAP004931-PA</t>
  </si>
  <si>
    <t xml:space="preserve"> tra0a82uzr7a0a82uzr7 anome rab6-interacting golgin os-merus ox-30066 pe-3 sv</t>
  </si>
  <si>
    <t>COG4071, COG4071, Uncharacterized protein conserved in archaea [Function unknown].</t>
  </si>
  <si>
    <t>COG4071 0.034| TMPIT 0.039| TPR_MLP1_2 | DUF724 | Chromosome_partition_protein_Smc | chromosome_segregation_protein_related...    33   0.21  | PRK05759 | COG1579 | HMMR_N | Transcrip_act |</t>
  </si>
  <si>
    <t>KOG0996, KOG0996, KOG0996, Structural maintenance of chromosome protein 4 (chromosome condensation complex Condensin, subunit C) [Chromatin structure and dynamics, Cell cycle control, cell division, chromosome partitioning].</t>
  </si>
  <si>
    <t xml:space="preserve">Chromatin structure and dynamics, Cell cycle control, cell division, chromosome partitioning </t>
  </si>
  <si>
    <t>pfam07851, TMPIT, TMPIT-like protein.  A number of members of this family are annotated as being transmembrane proteins induced by tumor necrosis factor alpha, but no literature was found to support this.</t>
  </si>
  <si>
    <t xml:space="preserve"> AgamP4_2L:6130334-6131449(+) </t>
  </si>
  <si>
    <t xml:space="preserve">1 | 156    EQNRQKR|DI  0.719 *ProP*  | </t>
  </si>
  <si>
    <t>AGAP004671.R305</t>
  </si>
  <si>
    <t>nuclear pore complex protein Nup160</t>
  </si>
  <si>
    <t>VectorBase: AGAP004671</t>
  </si>
  <si>
    <t>AGAP006404-RA</t>
  </si>
  <si>
    <t>agap006404-pa - 15 OH-glycosylation sites -  15 NetOglyc sites</t>
  </si>
  <si>
    <t>AGAP006404-PA</t>
  </si>
  <si>
    <t xml:space="preserve"> trq7pp8q7pp8 anoga os-ox-76 pe-4 sv-3 - 15 OH-glycosylation sites -  15 NetOglyc sites</t>
  </si>
  <si>
    <t>Saprolegnia diclina VS20</t>
  </si>
  <si>
    <t>Schizosaccharomyces pombe (strain 972 / ATCC 24843)</t>
  </si>
  <si>
    <t>pfam04889, Cwf_Cwc_15, Cwf15/Cwc15 cell cycle control protein. This family represents Cwf15/Cwc15 (from Schizosaccharomyces pombe and Saccharomyces cerevisiae respectively) and their homologs. The function of these proteins is unknown, but they form part of the spliceosome and are thus thought to be involved in mRNA splicing.</t>
  </si>
  <si>
    <t>Cwf_Cwc_15 | PTZ00108 | PHA02664 | Nop25 | CDC45 | Nop14 | PRK05901 | COG5406 | SDA1 | NOC3 |</t>
  </si>
  <si>
    <t>KOG1189, KOG1189, KOG1189, Global transcriptional regulator, cell division control protein [Amino acid transport and metabolism].</t>
  </si>
  <si>
    <t xml:space="preserve"> AgamP4_2L:31393027-31393582(-) </t>
  </si>
  <si>
    <t>AGAP004227-RA</t>
  </si>
  <si>
    <t xml:space="preserve">ADP-ribosylation factor-like protein </t>
  </si>
  <si>
    <t>ADP-ribosylation factor-like protein</t>
  </si>
  <si>
    <t>GTP-binding ADP-ribosylation factor Arf6 (dArf3)</t>
  </si>
  <si>
    <t>AGAP004227-PA</t>
  </si>
  <si>
    <t xml:space="preserve"> adp-ribosylation factor</t>
  </si>
  <si>
    <t>cd04159, Arl10_like, Arf-like 9 (Arl9) and 10 (Arl10) GTPases. Arl10-like subfamily. Arl9/Arl10 was identified from a human cancer-derived EST dataset. No functional information about the subfamily is available at the current time, but crystal structures of human Arl10b and Arl10c have been solved.</t>
  </si>
  <si>
    <t>Arl10_like 3e-087| Arf_Arl 1e-047| Arf 1e-036| Sar1 5e-032| Arf6 2e-030| Arl1 7e-030| ARF 8e-029| Arl6 9e-029| PTZ00133 3e-028| Arl3 8e-028|</t>
  </si>
  <si>
    <t>KOG0075, KOG0075, KOG0075, GTP-binding ADP-ribosylation factor-like protein [General function prediction only].</t>
  </si>
  <si>
    <t>pfam00025, Arf, ADP-ribosylation factor family.  Pfam combines a number of different Prosite families together.</t>
  </si>
  <si>
    <t>smart00177, ARF, ARF-like small GTPases; ARF, ADP-ribosylation factor.  Ras homologues involved in vesicular transport. Activator of phospholipase D isoforms. Unlike Ras proteins they lack cysteine residues at their C-termini and therefore are unlikely to be prenylated. ARFs are N-terminally myristoylated. Contains ATP/GTP-binding motif (P-loop).</t>
  </si>
  <si>
    <t xml:space="preserve"> AgamP4_2R:52190538-52192590(+) </t>
  </si>
  <si>
    <t>AGAP004708-RA</t>
  </si>
  <si>
    <t xml:space="preserve">arginyl-tRNA synthetase </t>
  </si>
  <si>
    <t>arginyl-tRNA synthetase</t>
  </si>
  <si>
    <t>arginine-tRNA ligase</t>
  </si>
  <si>
    <t>AGAP004708-PA</t>
  </si>
  <si>
    <t xml:space="preserve"> arginyl-trna synthetase</t>
  </si>
  <si>
    <t>PLN02286, PLN02286, arginine-tRNA ligase.</t>
  </si>
  <si>
    <t>PLN02286 | ArgS e-134| argS e-128| tRNA-synt_1d e-124| Arginine--tRNA_ligase e-110| PRK12451 2e-077| ArgRS_core 6e-065| Anticodon_Ia_Arg 6e-029| DALR_1 5e-023| DALR_1 4e-022|</t>
  </si>
  <si>
    <t>KOG4426, KOG4426, KOG4426, Arginyl-tRNA synthetase [Translation, ribosomal structure and biogenesis].</t>
  </si>
  <si>
    <t>pfam00750, tRNA-synt_1d, tRNA synthetases class I (R).  Other tRNA synthetase sub-families are too dissimilar to be included. This family includes only arginyl tRNA synthetase.</t>
  </si>
  <si>
    <t>smart00836, DALR_1, DALR anticodon binding domain.  This all alpha helical domain is the anticodon binding domain of Arginyl tRNA synthetase. This domain is known as the DALR domain after characteristic conserved amino acids.</t>
  </si>
  <si>
    <t xml:space="preserve"> AgamP4_2L:2471997-2474296(-) </t>
  </si>
  <si>
    <t>AGAP004657-RA</t>
  </si>
  <si>
    <t xml:space="preserve">mitochondrial inner membrane translocase subunit (TIM17) </t>
  </si>
  <si>
    <t>mitochondrial inner membrane translocase subunit (TIM17)</t>
  </si>
  <si>
    <t>Mitochondrial import inner membrane translocase subunit TIM17 - 2 predicted membrane helices</t>
  </si>
  <si>
    <t>AGAP004657-PA</t>
  </si>
  <si>
    <t xml:space="preserve"> mitochondrial import inner membrane translocase subunit tim17-b-like protein - 2 predicted membrane helices</t>
  </si>
  <si>
    <t>ExpAA=54.56 First60=12.90 PredHel=2 Topology=i61-83o111-133i</t>
  </si>
  <si>
    <t>TIGR00980, 3a0801so1tim17, mitochondrial import inner membrane translocase subunit tim17.  [Transport and binding proteins, Amino acids, peptides and amines].</t>
  </si>
  <si>
    <t>3a0801so1tim17 6e-058| PTZ00236 1e-046| Tim17 8e-027| TIM22 4e-016| 3a0801s02tim23 4e-006| PRK05429 | gapA | AAK_G5K_ProB | ProB | OAD_beta |</t>
  </si>
  <si>
    <t>KOG1652, KOG1652, KOG1652, Mitochondrial import inner membrane translocase, subunit TIM17 [Intracellular trafficking, secretion, and vesicular transport].</t>
  </si>
  <si>
    <t>smart00870, Asparaginase, Asparaginase, found in various plant, animal and bacterial cells.  Asparaginase catalyses the deamination of asparagine to yield aspartic acid and an ammonium ion, resulting in a depletion of free circulatory asparagine in plasma. The enzyme is effective in the treatment of human malignant lymphomas, which have a diminished capacity to produce asparagine synthetase: in order to survive, such cells absorb asparagine from blood plasma..- if Asn levels have been depleted by injection of asparaginase, the lymphoma cells die.</t>
  </si>
  <si>
    <t xml:space="preserve"> AgamP4_2R:59570835-59571446(+) </t>
  </si>
  <si>
    <t>AGAP010387-RA</t>
  </si>
  <si>
    <t xml:space="preserve">alanine-glyoxylate aminotransferase </t>
  </si>
  <si>
    <t>alanine-glyoxylate aminotransferase</t>
  </si>
  <si>
    <t>serine--pyruvate aminotransferase</t>
  </si>
  <si>
    <t>AGAP010387-PA</t>
  </si>
  <si>
    <t xml:space="preserve"> serine-pyruvate aminotransferase/archaeal aspartate aminotransferase</t>
  </si>
  <si>
    <t>Galdieria sulphuraria</t>
  </si>
  <si>
    <t>Felis catus</t>
  </si>
  <si>
    <t>cd06451, AGAT_like, Alanine-glyoxylate aminotransferase (AGAT) family. This family belongs to pyridoxal phosphate (PLP)-dependent aspartate aminotransferase superfamily (fold I). The major groups in this CD correspond to alanine-glyoxylate aminotransferase (AGAT), serine-glyoxylate aminotransferase (SGAT), and 3-hydroxykynurenine transaminase (HKT). AGAT is a homodimeric protein, which catalyses the transamination of glyoxylate to glycine, and SGAT converts serine and glyoxylate to hydroxypyruvate and glycine. HKT catalyzes the PLP-dependent transamination of 3-hydroxykynurenine, a potentially toxic metabolite of the kynurenine pathway.</t>
  </si>
  <si>
    <t>AGAT_like e-153| COG0075 3e-098| PLN02409 3e-083| PhnW-AepZ 1e-034| Aminotran_5 5e-034| 2-aminoethylphosphonate--pyruvate_amin...    99   3e-021 3e-021| csdA 3e-020| PRK13479 2e-019| am_tr_V_EF2568 2e-016| AAT_I 2e-015|</t>
  </si>
  <si>
    <t>KOG2862, KOG2862, KOG2862, Alanine-glyoxylate aminotransferase AGT1 [General function prediction only].</t>
  </si>
  <si>
    <t>pfam00266, Aminotran_5, Aminotransferase class-V.  This domain is found in amino transferases, and other enzymes including cysteine desulphurase EC:4.4.1.-.</t>
  </si>
  <si>
    <t xml:space="preserve"> AgamP4_3L:2444147-2445549(-) </t>
  </si>
  <si>
    <t>AGAP004624-RA</t>
  </si>
  <si>
    <t>Retinoblastoma pathway protein LIN-9/chromatin-associated protein Aly - probable fragment</t>
  </si>
  <si>
    <t>AGAP004624-PA</t>
  </si>
  <si>
    <t xml:space="preserve"> protein lin-9</t>
  </si>
  <si>
    <t>imm</t>
  </si>
  <si>
    <t>pfam06584, DIRP, DIRP.  DIRP (Domain in Rb-related Pathway) is postulated to be involved in the Rb-related pathway, which is encoded by multiple eukaryotic genomes and is present in proteins including lin-9 of Caenorhabditis elegans, aly of fruit fly and mustard weed. Studies of lin-9 and aly of fruit fly proteins containing DIRP suggest that this domain might be involved in development. Aly, lin-9, act in parallel to, or downstream of, activation of MAPK by the RTK-Ras signalling pathway.</t>
  </si>
  <si>
    <t>DIRP 8e-038| ATP-dependent_DNA_helicase_RecG | Smc | RecG | DUF4747 | GyrI-like | COG4713 | Probable_cobyrinic_acid_AC-diamide_syn...    30   3.9   | TCP2 | BchE |</t>
  </si>
  <si>
    <t>KOG1019, KOG1019, KOG1019, Retinoblastoma pathway protein LIN-9/chromatin-associated protein Aly [Chromatin structure and dynamics, Cell cycle control, cell division, chromosome partitioning, Signal transduction mechanisms].</t>
  </si>
  <si>
    <t xml:space="preserve">Chromatin structure and dynamics, Cell cycle control, cell division, chromosome partitioning, Signal transduction mechanisms </t>
  </si>
  <si>
    <t>smart00557, IG_FLMN, Filamin-type immunoglobulin domains.  These form a rod-like structure in the actin-binding cytoskeleton protein, filamin. The C-terminal repeats of filamin bind beta1-integrin (CD29).</t>
  </si>
  <si>
    <t xml:space="preserve"> AgamP4_2R:58628897-58630633(+) </t>
  </si>
  <si>
    <t>AGAP004819-RC</t>
  </si>
  <si>
    <t xml:space="preserve">receptor expression-enhancing protein 5 </t>
  </si>
  <si>
    <t>receptor expression-enhancing protein 5</t>
  </si>
  <si>
    <t>Protein involved in membrane traffic (YOP1/TB2/DP1/HVA22 family) - Membrane anchor detected - 2 predicted membrane helices</t>
  </si>
  <si>
    <t>pe membrAnchor membrane</t>
  </si>
  <si>
    <t>AGAP004819-PC</t>
  </si>
  <si>
    <t xml:space="preserve"> receptor expression-enhancing protein 5 - Membrane anchor detected - 2 predicted membrane helices</t>
  </si>
  <si>
    <t>ExpAA=49.52 First60=20.64 PredHel=2 Topology=i39-61o98-120i</t>
  </si>
  <si>
    <t>pfam03134, TB2_DP1_HVA22, TB2/DP1, HVA22 family.  This family includes members from a wide variety of eukaryotes. It includes the TB2/DP1 (deleted in polyposis) protein, which in humans is deleted in severe forms of familial adenomatous polyposis, an autosomal dominant oncological inherited disease. The family also includes the plant protein of known similarity to TB2/DP1, the HVA22 abscisic acid-induced protein, which is thought to be a regulatory protein.</t>
  </si>
  <si>
    <t>TB2_DP1_HVA22 3e-024| YOP1 4e-019| Thy1 0.041| GT_GPT_euk | BRI3BP | 2A0129 | PRK12489 | 7tmD_STE3 | DUF2231 | PRK14226 |</t>
  </si>
  <si>
    <t>KOG1725, KOG1725, KOG1725, Protein involved in membrane traffic (YOP1/TB2/DP1/HVA22 family) [Intracellular trafficking, secretion, and vesicular transport].</t>
  </si>
  <si>
    <t>smart00730, PSN, Presenilin, signal peptide peptidase, family. Presenilin 1 and presenilin 2 are polytopic membrane proteins, whose genes are mutated in some individuals with Alzheimer's disease. Distant homologues, present in eukaryotes and archaea, also contain conserved aspartic acid residues which are predicted to contribute to catalysis. At least one member of this family has been shown to possess signal peptide peptidase activity.</t>
  </si>
  <si>
    <t xml:space="preserve"> AgamP4_2L:3861247-3869625(-) </t>
  </si>
  <si>
    <t>AGAP029404-RA</t>
  </si>
  <si>
    <t>AGAP009656-PA partial</t>
  </si>
  <si>
    <t>AGAP029404-PA</t>
  </si>
  <si>
    <t>zf-AD 4e-008| zf-AD 5e-006| ZF_C2H2 0.003| ZF_C2H2 0.009| COG4012 | PHA00732 | K1377 | PI3K_1B_p101 | DRE_TIM_Re_CS | zf-C2H2 |</t>
  </si>
  <si>
    <t xml:space="preserve"> AgamP4_3R:37640296-37641874(+) </t>
  </si>
  <si>
    <t>AGAP004849-RA</t>
  </si>
  <si>
    <t xml:space="preserve">DnaJ homolog subfamily C member 9 </t>
  </si>
  <si>
    <t>DnaJ homolog subfamily C member 9</t>
  </si>
  <si>
    <t>Molecular chaperone (DnaJ superfamily)</t>
  </si>
  <si>
    <t>AGAP004849-PA</t>
  </si>
  <si>
    <t xml:space="preserve"> dnaj protein</t>
  </si>
  <si>
    <t>Aphanomyces invadans</t>
  </si>
  <si>
    <t>COG0484, DnaJ, DnaJ-class molecular chaperone with C-terminal Zn finger domain [Posttranslational modification, protein turnover, chaperones].</t>
  </si>
  <si>
    <t>DnaJ 1e-017| PRK10767 2e-017| Chaperone_protein_DnaJ 1e-016| DnaJ 3e-016| PRK14297 2e-014| PRK14282 2e-014| PRK14290 2e-014| PRK14281 2e-014| PRK14301 6e-014| PRK14298 3e-013|</t>
  </si>
  <si>
    <t>KOG0719, KOG0719, KOG0719, Molecular chaperone (DnaJ superfamily) [Posttranslational modification, protein turnover, chaperones].</t>
  </si>
  <si>
    <t>pfam00226, DnaJ, DnaJ domain.  DnaJ domains (J-domains) are associated with hsp70 heat-shock system and it is thought that this domain mediates the interaction. DnaJ-domain is therefore part of a chaperone (protein folding) system. The T-antigens, although not in Prosite are confirmed as DnaJ containing domains from literature.</t>
  </si>
  <si>
    <t>smart00271, DnaJ, DnaJ molecular chaperone homology domain.</t>
  </si>
  <si>
    <t xml:space="preserve"> AgamP4_2L:4441964-4442904(+) </t>
  </si>
  <si>
    <t xml:space="preserve">1 | 189    RKQRHKK|YA  0.665 *ProP*  | </t>
  </si>
  <si>
    <t>AGAP004418-RA</t>
  </si>
  <si>
    <t>WD40 domain</t>
  </si>
  <si>
    <t>AGAP004418-PA</t>
  </si>
  <si>
    <t xml:space="preserve"> tra0a82vjz6a0a82vjz6 anome os-merus ox-30066 pe-4 sv</t>
  </si>
  <si>
    <t>Medicago truncatula</t>
  </si>
  <si>
    <t>WD40 3e-009| 7WD40 2e-005| COG2319 0.001| conserved_hypothetical_protein | WD40 | WD40 | SBP56 | assembly_YfgL | COG0610 | PLN02869 |</t>
  </si>
  <si>
    <t>KOG0285, KOG0285, KOG0285, Pleiotropic regulator 1 [RNA processing and modification].</t>
  </si>
  <si>
    <t>pfam00400, WD40, WD domain, G-beta repeat.</t>
  </si>
  <si>
    <t xml:space="preserve"> AgamP4_2R:55853634-55854994(-) </t>
  </si>
  <si>
    <t>AGAP001300-RA</t>
  </si>
  <si>
    <t>Conserved plasma membrane protein - 4 predicted membrane helices - GPI anchored</t>
  </si>
  <si>
    <t>uc/memb/gpi</t>
  </si>
  <si>
    <t>AGAP001300-PA</t>
  </si>
  <si>
    <t>ExpAA=64.06 First60=0.44 PredHel=3 Topology=i67-86o130-152i157-177o</t>
  </si>
  <si>
    <t>Bufo gargarizans</t>
  </si>
  <si>
    <t>pfam04241, DUF423, Protein of unknown function (DUF423).  This family of proteins with unknown function is a possible integral membrane protein from Caenorhabditis elegans. This family of proteins has GO references indicating the protein is involved in nematode larval development and is a positive regulator of growth rate.</t>
  </si>
  <si>
    <t>DUF423 6e-018| COG2363 3e-011| PRK10873 5e-007| Glk | Uncharacterized_protein | RadC | PRK13876 | Adenylsuccinate_lyase_like | PRK00024 | MPN_DUF2466 |</t>
  </si>
  <si>
    <t>KOG3472, KOG3472, KOG3472, Predicted small membrane protein [Function unknown].</t>
  </si>
  <si>
    <t>smart00652, eIF1a, eukaryotic translation initiation factor 1A.</t>
  </si>
  <si>
    <t xml:space="preserve"> AgamP4_2R:2658241-2658939(-) </t>
  </si>
  <si>
    <t>AGAP008503-RB</t>
  </si>
  <si>
    <t>FUN14 domain-containing protein 1</t>
  </si>
  <si>
    <t>AGAP008503-PB</t>
  </si>
  <si>
    <t xml:space="preserve"> fun14 domain-containing protein 1a</t>
  </si>
  <si>
    <t>ExpAA=25.30 First60=4.26 PredHel=0 Topology=o</t>
  </si>
  <si>
    <t>Sus scrofa</t>
  </si>
  <si>
    <t>pfam04930, FUN14, FUN14 family.  This family of short proteins are found in eukaryotes and some archaea. Although the function of these proteins is not known they may contain transmembrane helices.</t>
  </si>
  <si>
    <t>FUN14 3e-017| COG2383 2e-004| fliR | recX | DUF1351 | POLXc | TFR_dimer | MdlB | PRK15213 |</t>
  </si>
  <si>
    <t>KOG4099, KOG4099, KOG4099, Predicted membrane protein [Function unknown].</t>
  </si>
  <si>
    <t>smart00483, POLXc, DNA polymerase X family.  includes vertebrate polymerase beta and terminal deoxynucleotidyltransferases.</t>
  </si>
  <si>
    <t xml:space="preserve"> AgamP4_3R:11348611-11350121(-) </t>
  </si>
  <si>
    <t>AGAP012895-RA</t>
  </si>
  <si>
    <t xml:space="preserve">Histone H2A [Source:UniProtKB/TrEMBL;Acc:Q7PD33] </t>
  </si>
  <si>
    <t>Histone H2A</t>
  </si>
  <si>
    <t>histone H2A</t>
  </si>
  <si>
    <t>AGAP012895-PA</t>
  </si>
  <si>
    <t>ExpAA=2.37 First60=1.47 PredHel=0 Topology=o</t>
  </si>
  <si>
    <t>Drosophila serrata</t>
  </si>
  <si>
    <t>PTZ00017, PTZ00017, histone H2A; Provisional.</t>
  </si>
  <si>
    <t>PTZ00017 2e-052| H2A 2e-050| H2A 4e-050| PLN00157 4e-050| PLN00156 6e-044| HTA1 1e-041| PLN00153 2e-040| PLN00154 7e-031| PTZ00252 5e-022| Histone_H2A_C 2e-014|</t>
  </si>
  <si>
    <t>KOG1756, KOG1756, KOG1756, Histone 2A [Chromatin structure and dynamics].</t>
  </si>
  <si>
    <t>pfam16211, Histone_H2A_C, C-terminus of histone H2A.</t>
  </si>
  <si>
    <t>smart00414, H2A, Histone 2A.</t>
  </si>
  <si>
    <t>AGAP002581-RA</t>
  </si>
  <si>
    <t>DNA replication licensing factor MCM6 component</t>
  </si>
  <si>
    <t>AGAP002581-PA</t>
  </si>
  <si>
    <t xml:space="preserve"> dna replication licensing factor rec</t>
  </si>
  <si>
    <t>COG1241, MCM2, Predicted ATPase involved in replication control, Cdc46/Mcm family [DNA replication, recombination, and repair].</t>
  </si>
  <si>
    <t>MCM2 7e-036| MCM 6e-028| MCM 2e-023| PTZ00111 9e-017| MCM_OB 0.023| zf-CHY | Glyco_hydro_1 | FGAM_synth_II | PBP1_ABC_ligand_binding_like_14 | PRK03158 |</t>
  </si>
  <si>
    <t>KOG0478, KOG0478, KOG0478, DNA replication licensing factor, MCM4 component [Replication, recombination and repair].</t>
  </si>
  <si>
    <t>pfam00493, MCM, MCM2/3/5 family.</t>
  </si>
  <si>
    <t xml:space="preserve"> AgamP4_2R:23275989-23278271(-) </t>
  </si>
  <si>
    <t>AGAP013527-RA</t>
  </si>
  <si>
    <t>AGAP013527-PA</t>
  </si>
  <si>
    <t xml:space="preserve"> tra0a82hka0a82hk anoar os-arabiensis ox-773 pe-4 sv</t>
  </si>
  <si>
    <t>Dictyostelium discoideum</t>
  </si>
  <si>
    <t>pfam03557, Bunya_G1, Bunyavirus glycoprotein G1.  Bunyavirus has three genomic segments: small (S), middle-sized (M), and large (L). The S segment encodes the nucleocapsid and a non-structural protein. The M segment codes for two glycoproteins, G1 and G2, and another non-structural protein (NSm). The L segment codes for an RNA polymerase. This family contains the G1 glycoprotein which is the viral attachment protein.</t>
  </si>
  <si>
    <t>Bunya_G1 | Inhibitor_I24 | PBP2_CysB | LIX1 | Com_YlbF | TUDOR | Ubiq_cyt_C_chap | XpaC | Halogen_Hydrol | TMEM206 |</t>
  </si>
  <si>
    <t>KOG1268, KOG1268, KOG1268, Glucosamine 6-phosphate synthetases, contain amidotransferase and phosphosugar isomerase domains [Cell wall/membrane/envelope biogenesis].</t>
  </si>
  <si>
    <t>smart00333, TUDOR, Tudor domain.  Domain of unknown function present in several RNA-binding proteins. 10 copies in the Drosophila Tudor protein. Initial proposal that the survival motor neuron gene product contain a Tudor domain are corroborated by more recent database search techniques such as PSI-BLAST (unpublished).</t>
  </si>
  <si>
    <t xml:space="preserve"> AgamP4_2R:635093-636464(+) </t>
  </si>
  <si>
    <t>AGAP012705-RA</t>
  </si>
  <si>
    <t xml:space="preserve">NADH dehydrogenase (ubiquinone) 1 alpha subcomplex 7 </t>
  </si>
  <si>
    <t>NADH dehydrogenase (ubiquinone) 1 alpha subcomplex 7</t>
  </si>
  <si>
    <t>AGAP012705-PA</t>
  </si>
  <si>
    <t xml:space="preserve"> ubiquinone oxidoreductase subunit b14</t>
  </si>
  <si>
    <t>pfam07347, CI-B14_5a, NADH:ubiquinone oxidoreductase subunit B14.5a (Complex I-B14.5a).  This family contains the eukaryotic NADH:ubiquinone oxidoreductase subunit B14.5a (Complex I-B14.5a) (EC:1.6.5.3). This is approximately 100 residues long, and forms part of a multiprotein complex that resides on the inner mitochondrial membrane. The main function of the complex is the transport of electrons from NADH to ubiquinone, accompanied by translocation of protons from the mitochondrial matrix to the intermembrane space.</t>
  </si>
  <si>
    <t>CI-B14_5a 3e-034| DUF249 | RgpF | FhuE | PTH2 | STKc_CK1_gamma | 7tmA_RNL3R2 |</t>
  </si>
  <si>
    <t>KOG4630, KOG4630, KOG4630, NADH:ubiquinone oxidoreductase, NDUFA7/B14.5A subunit [Energy production and conversion].</t>
  </si>
  <si>
    <t>smart00531, TFIIE, Transcription initiation factor IIE.</t>
  </si>
  <si>
    <t xml:space="preserve"> AgamP4_UNKN:24412824-24413392(+) </t>
  </si>
  <si>
    <t>AGAP010389.R328</t>
  </si>
  <si>
    <t>Prestin</t>
  </si>
  <si>
    <t>VectorBase: AGAP010389</t>
  </si>
  <si>
    <t>AGAP010263-RA</t>
  </si>
  <si>
    <t>Cell cycle-associated protein - probable fragment</t>
  </si>
  <si>
    <t>AGAP010263-PA</t>
  </si>
  <si>
    <t xml:space="preserve"> cell cycle-associated protein</t>
  </si>
  <si>
    <t>ExpAA=0.23 First60=0.00 PredHel=0 Topology=o</t>
  </si>
  <si>
    <t>pfam10350, DUF2428, Putative death-receptor fusion protein (DUF2428). This is a family of proteins conserved from plants to humans. The function is not known. Several members have been annotated as being HEAT repeat-containing proteins while others are designated as death-receptor interacting proteins, but neither of these could be confirmed.</t>
  </si>
  <si>
    <t>DUF2428 2e-061| COG5543 1e-023| HEAT | PI-PLCc_GDPD_SF | COG2902 | COG3421 |</t>
  </si>
  <si>
    <t>KOG1810, KOG1810, KOG1810, Cell cycle-associated protein [Cell cycle control, cell division, chromosome partitioning].</t>
  </si>
  <si>
    <t>smart00136, LamNT, Laminin N-terminal domain (domain VI).  N-terminal domain of laminins and laminin-related protein such as Unc-6/ netrins.</t>
  </si>
  <si>
    <t xml:space="preserve"> AgamP4_3R:51779636-51785942(+) </t>
  </si>
  <si>
    <t>AGAP010386-RA</t>
  </si>
  <si>
    <t xml:space="preserve">Translocating chain-associated membrane protein 2 </t>
  </si>
  <si>
    <t>Translocating chain-associated membrane protein 2</t>
  </si>
  <si>
    <t>Protein transporter of the TRAM (translocating chain-associating membrane) superfamily - 6 predicted membrane helices</t>
  </si>
  <si>
    <t>AGAP010386-PA</t>
  </si>
  <si>
    <t>protein transporter - 6 predicted membrane helices</t>
  </si>
  <si>
    <t>ExpAA=144.86 First60=18.37 PredHel=6 Topology=i86-108o128-147i168-190o205-227i262-284o294-316i</t>
  </si>
  <si>
    <t>smart00724, TLC, TRAM, LAG1 and CLN8 homology domains.  Protein domain with at least 5 transmembrane alpha-helices. Lag1p and Lac1p are essential for acyl-CoA-dependent ceramide synthesis, TRAM is a subunit of the translocon and the CLN8 gene is mutated in Northern epilepsy syndrome. The family may possess multiple functions such as lipid trafficking, metabolism, or sensing. Trh homologues possess additional homeobox domains.</t>
  </si>
  <si>
    <t>TLC 6e-019| TRAM_LAG1_CLN8 6e-019| LAG1 4e-014| TRAM1 2e-013| 7tmF_FZD7 | ERD2 | DUF4674 | DTHCT | RNA_polI_A34 | SRP-alpha_N |</t>
  </si>
  <si>
    <t>KOG1608, KOG1608, KOG1608, Protein transporter of the TRAM (translocating chain-associating membrane) superfamily [Intracellular trafficking, secretion, and vesicular transport].</t>
  </si>
  <si>
    <t>pfam03798, TRAM_LAG1_CLN8, TLC domain.</t>
  </si>
  <si>
    <t xml:space="preserve"> AgamP4_3L:2436835-2438434(-) </t>
  </si>
  <si>
    <t xml:space="preserve">1 | 319    NFLRSKR|ES  0.607 *ProP*  | </t>
  </si>
  <si>
    <t>AGAP004626-RA</t>
  </si>
  <si>
    <t>actin binding protein - signalP detected</t>
  </si>
  <si>
    <t>AGAP004626-PA</t>
  </si>
  <si>
    <t xml:space="preserve"> er membrane protein complex subunit 7 - signalP detected</t>
  </si>
  <si>
    <t>ExpAA=24.99 First60=0.08 PredHel=1 Topology=o149-171i</t>
  </si>
  <si>
    <t>pfam09430, DUF2012, Protein of unknown function (DUF2012).  This is a eukaryotic family of uncharacterized proteins.</t>
  </si>
  <si>
    <t>DUF2012 2e-028| PLN02624 | CbiD | baf | PTZ00468 | cbiD | CarbopepD_reg_2 | Asparagine_synthetase_1 | 7tmA_Chemokine_R | PRK14157 |</t>
  </si>
  <si>
    <t>KOG3306, KOG3306, KOG3306, Predicted membrane protein [Function unknown].</t>
  </si>
  <si>
    <t>smart00539, NIDO, Extracellular domain of unknown function in nidogen (entactin) and hypothetical proteins.</t>
  </si>
  <si>
    <t xml:space="preserve"> AgamP4_2R:58634598-58635394(-) </t>
  </si>
  <si>
    <t>AGAP004502-RB</t>
  </si>
  <si>
    <t xml:space="preserve">Serine/threonine-protein phosphatase 2A 55 kDa regulatory subunit B alpha isoform </t>
  </si>
  <si>
    <t>Serine/threonine-protein phosphatase 2A 55 kDa regulatory subunit B alpha isoform</t>
  </si>
  <si>
    <t>Serine/threonine protein phosphatase 2A regulatory subunit</t>
  </si>
  <si>
    <t>AGAP004502-PB</t>
  </si>
  <si>
    <t xml:space="preserve"> gnlcdd227498 cdc55</t>
  </si>
  <si>
    <t>COG5170, CDC55, Serine/threonine protein phosphatase 2A, regulatory subunit [Signal transduction mechanisms].</t>
  </si>
  <si>
    <t>CDC55 e-131| 7WD40 3e-028| WD40 8e-009| COG2319 4e-005| WD40 | WD40 | upp | PRK06273 | DUF629 | salvage_mtnX |</t>
  </si>
  <si>
    <t>KOG1354, KOG1354, KOG1354, Serine/threonine protein phosphatase 2A, regulatory subunit [Signal transduction mechanisms].</t>
  </si>
  <si>
    <t xml:space="preserve"> AgamP4_2R:57103550-57109160(-) </t>
  </si>
  <si>
    <t>AGAP007742-RA</t>
  </si>
  <si>
    <t xml:space="preserve">E3 UFM1-protein ligase 1 homolog [Source:UniProtKB/Swiss-Prot;Acc:Q7Q373] </t>
  </si>
  <si>
    <t>E3 UFM1-protein ligase 1 homolog</t>
  </si>
  <si>
    <t>Uncharacterized conserved protein</t>
  </si>
  <si>
    <t>AGAP007742-PA</t>
  </si>
  <si>
    <t>ExpAA=1.18 First60=0.00 PredHel=0 Topology=o</t>
  </si>
  <si>
    <t>pfam09743, DUF2042, Uncharacterized conserved protein (DUF2042). This entry is the conserved N-terminal 300 residues of a group of proteins found from protozoa to Humans. The function is unknown.</t>
  </si>
  <si>
    <t>DUF2042 e-102| PLN03083 7e-071| HemY | DUF1168 | six-Cys-in-45_modification_radical_SAM...    31   1.9   | MDN1 | Flavoprotein | ASFV_360 | PRK05761 | AP3D1 |</t>
  </si>
  <si>
    <t>KOG2235, KOG2235, KOG2235, Uncharacterized conserved protein [Function unknown].</t>
  </si>
  <si>
    <t>smart00332, PP2Cc, Serine/threonine phosphatases, family 2C, catalytic domain.  The protein architecture and deduced catalytic mechanism of PP2C phosphatases are similar to the PP1, PP2A, PP2B family of protein Ser/Thr phosphatases, with which PP2C shares no sequence similarity.</t>
  </si>
  <si>
    <t>AGAP007953-RA</t>
  </si>
  <si>
    <t xml:space="preserve">ATP-dependent RNA helicase YTHDC2 </t>
  </si>
  <si>
    <t>ATP-dependent RNA helicase YTHDC2</t>
  </si>
  <si>
    <t>HrpA-like helicases (DNA replication - probable fragment</t>
  </si>
  <si>
    <t>AGAP007953-PA</t>
  </si>
  <si>
    <t xml:space="preserve"> dexh-box helicase domain of yth domain protein</t>
  </si>
  <si>
    <t>ExpAA=1.42 First60=0.00 PredHel=0 Topology=o</t>
  </si>
  <si>
    <t>COG1643, HrpA, HrpA-like helicases [DNA replication, recombination, and repair].</t>
  </si>
  <si>
    <t>HrpA 3e-074| ATP-dependent_RNA_helicase_HrpA 2e-044| ATP-dependent_RNA_helicase_HrpB 4e-042| PRK11131 3e-041| PRK11664 1e-034| HA2 7e-020| DEXDc 3e-019| DEXDc 3e-018| R3H_DEXH_helicase 8e-016| HA2 5e-014|</t>
  </si>
  <si>
    <t>KOG0920, KOG0920, KOG0920, ATP-dependent RNA helicase A [RNA processing and modification].</t>
  </si>
  <si>
    <t>pfam04408, HA2, Helicase associated domain (HA2).  This presumed domain is about 90 amino acid residues in length. It is found is a diverse set of RNA helicases. Its function is unknown, however it seems likely to be involved in nucleic acid binding.</t>
  </si>
  <si>
    <t xml:space="preserve"> AgamP4_3R:3286000-3289406(+) </t>
  </si>
  <si>
    <t>AGAP003224-RA</t>
  </si>
  <si>
    <t>AGAP003224-PA</t>
  </si>
  <si>
    <t>ZF_C2H2 2e-026| ZF_C2H2 6e-015| zf-AD 3e-010| zf-AD 6e-009| SFP1 1e-005| COG5048 1e-004| zf-H2C2_2 4e-004| lambda-1 0.025| ZF_C2H2 0.041| ZF_C2H2 0.080|</t>
  </si>
  <si>
    <t xml:space="preserve"> AgamP4_2R:34032126-34033836(-) </t>
  </si>
  <si>
    <t>AGAP004556-RA</t>
  </si>
  <si>
    <t xml:space="preserve">ribosome biogenesis protein SSF1/2 </t>
  </si>
  <si>
    <t>ribosome biogenesis protein SSF1/2</t>
  </si>
  <si>
    <t>RNA-binding protein required for 60S ribosomal subunit biogenesis - 2 predicted membrane helices</t>
  </si>
  <si>
    <t>AGAP004556-PA</t>
  </si>
  <si>
    <t xml:space="preserve"> rna-binding protein - 2 predicted membrane helices</t>
  </si>
  <si>
    <t>ExpAA=16.09 First60=0.00 PredHel=1 Topology=i76-98o</t>
  </si>
  <si>
    <t>smart00879, Brix, The Brix domain is found in a number of eukaryotic proteins.  Members include SSF proteins from yeast and humans, Arabidopsis thaliana Peter Pan-like protein and several hypothetical proteins.</t>
  </si>
  <si>
    <t>Brix 3e-027| Brix 1e-024| BRX1 0.074| PTZ00108 | PTZ00121 | GBP_C | NARP1 | Caldesmon | MAD | DUF4659 |</t>
  </si>
  <si>
    <t>KOG2963, KOG2963, KOG2963, RNA-binding protein required for 60S ribosomal subunit biogenesis [Translation, ribosomal structure and biogenesis].</t>
  </si>
  <si>
    <t>pfam04427, Brix, Brix domain.</t>
  </si>
  <si>
    <t xml:space="preserve"> AgamP4_2R:57587637-57589186(+) </t>
  </si>
  <si>
    <t>AGAP010010-RA</t>
  </si>
  <si>
    <t xml:space="preserve">oligosaccharyltransferase complex subunit gamma </t>
  </si>
  <si>
    <t>oligosaccharyltransferase complex subunit gamma</t>
  </si>
  <si>
    <t>OST3 / OST6 family - signalP detected - 5 predicted membrane helices</t>
  </si>
  <si>
    <t>AGAP010010-PA</t>
  </si>
  <si>
    <t xml:space="preserve"> dolichyl-diphosphooligosaccharide--protein glycosyltransferase subunit 3 - signalP detected - 5 predicted membrane helices</t>
  </si>
  <si>
    <t>met/carb membrane</t>
  </si>
  <si>
    <t>ExpAA=85.55 First60=0.53 PredHel=4 Topology=o186-205i218-236o264-286i299-321o</t>
  </si>
  <si>
    <t>pfam04756, OST3_OST6, OST3 / OST6 family, transporter family.  The proteins in this family are part of a complex of eight ER proteins that transfers core oligosaccharide from dolichol carrier to Asn-X-Ser/Thr motifs. This family includes both OST3 and OST6, each of which contains four predicted transmembrane helices. Disruption of OST3 and OST6 leads to a defect in the assembly of the complex. Hence, the function of these genes seems to be essential for recruiting a fully active complex necessary for efficient N-glycosylation. These proteins are also thought to be novel Mg2+ transporters.</t>
  </si>
  <si>
    <t>OST3_OST6 6e-092| CstA | PRK08633 | TRX_family | Per1 | PRK05771 |</t>
  </si>
  <si>
    <t>KOG2603, KOG2603, KOG2603, Oligosaccharyltransferase, gamma subunit [Posttranslational modification, protein turnover, chaperones].</t>
  </si>
  <si>
    <t>smart00189, IL2, Interleukin-2 family.  Interleukin-2 is a cytokine produced by T-helper cells in response to antigenic or mitogenic stimulation. This protein is required for T-cell proliferation and other activities crucial to the regulation of the immune response.</t>
  </si>
  <si>
    <t xml:space="preserve"> AgamP4_3R:47578358-47579625(-) </t>
  </si>
  <si>
    <t>AGAP029497-RA</t>
  </si>
  <si>
    <t>agap007495-pa - 10 OH-glycosylation sites</t>
  </si>
  <si>
    <t>AGAP029497-PA</t>
  </si>
  <si>
    <t xml:space="preserve"> os-coluzzii ox-834 pe-4 sv - 10 OH-glycosylation sites</t>
  </si>
  <si>
    <t>ROM1 0.014| PRK04335 0.019| Myc_N 0.099| PI3K_1B_p101 | PHA03307 | LAP1C | PLN02768 | RGI1 | PLN03188 | PRK08581 |</t>
  </si>
  <si>
    <t>KOG0783, KOG0783, KOG0783, Uncharacterized conserved protein, contains ankyrin and BTB/POZ domains [Function unknown].</t>
  </si>
  <si>
    <t>pfam01056, Myc_N, Myc amino-terminal region.  The myc family belongs to the basic helix-loop-helix leucine zipper class of transcription factors, see pfam00010. Myc forms a heterodimer with Max, and this complex regulates cell growth through direct activation of genes involved in cell replication. Mutations in the C-terminal 20 residues of this domain cause unique changes in the induction of apoptosis, transformation, and G2 arrest.</t>
  </si>
  <si>
    <t>smart00143, PI3K_p85B, PI3-kinase family, p85-binding domain. Region of p110 PI3K that binds the p85 subunit.</t>
  </si>
  <si>
    <t xml:space="preserve"> AgamP4_2L:46917312-46920252(+) </t>
  </si>
  <si>
    <t>AGAP004746-RA</t>
  </si>
  <si>
    <t xml:space="preserve">THO complex subunit 5 </t>
  </si>
  <si>
    <t>Thoc5: THO complex subunit 5</t>
  </si>
  <si>
    <t>AGAP004746-PA</t>
  </si>
  <si>
    <t xml:space="preserve"> tho complex subunit 5</t>
  </si>
  <si>
    <t>pfam09766, FimP, Fms-interacting protein.  This entry carries part of the crucial 144 N-terminal residues of the FmiP protein, which is essential for the binding of the protein to the cytoplasmic domain of activated Fms-molecules in M-CSF induced haematopoietic differentiation of macrophages. The C-terminus contains a putative nuclear localization sequence and a leucine zipper which suggest further, as yet unknown, nuclear functions. The level of FMIP expression might form a threshold that determines whether cells differentiate into macrophages or into granulocytes.</t>
  </si>
  <si>
    <t>FimP e-120| Smc 2e-005| Chromosome_partition_protein_Smc 3e-004| chromosome_segregation_protein_related...    36   0.058 0.058| PRK03918 0.064| SbcC | TPP_PFOR_PNO | DUF3584 | PTZ00121 | DUF773 |</t>
  </si>
  <si>
    <t>KOG2216, KOG2216, KOG2216, Conserved coiled/coiled coil protein [Function unknown].</t>
  </si>
  <si>
    <t xml:space="preserve"> AgamP4_2L:3030774-3033159(+) </t>
  </si>
  <si>
    <t xml:space="preserve">1 | 121    VRIREGR|DA  0.566 *ProP*  | </t>
  </si>
  <si>
    <t>AGAP010219-RA</t>
  </si>
  <si>
    <t xml:space="preserve">DNA replication licensing factor Mcm6 [Source:UniProtKB/Swiss-Prot;Acc:Q7Q0Q1] </t>
  </si>
  <si>
    <t>Mcm6: DNA replication licensing factor Mcm6</t>
  </si>
  <si>
    <t>DNA replication licensing factor MCM4 component</t>
  </si>
  <si>
    <t>AGAP010219-PA</t>
  </si>
  <si>
    <t>MCM | MCM2 e-167| MCM e-154| PTZ00111 2e-074| MCM_OB 2e-044| MCM_N 3e-015| COG0714 1e-007| PRK09862 3e-006| Uncharacterized_protein_YifB 1e-004| Mg_chelatase 0.001|</t>
  </si>
  <si>
    <t>KOG0480, KOG0480, KOG0480, DNA replication licensing factor, MCM6 component [Replication, recombination and repair].</t>
  </si>
  <si>
    <t xml:space="preserve">1 | 505    IGGRYDR|SK  0.516 *ProP*  | </t>
  </si>
  <si>
    <t>AGAP001153-RA</t>
  </si>
  <si>
    <t xml:space="preserve">Polymerase delta-interacting protein 2 </t>
  </si>
  <si>
    <t>Polymerase delta-interacting protein 2</t>
  </si>
  <si>
    <t>Mg2+ and Co2+ transporter CorD - 14 OH-glycosylation sites -  14 NetOglyc sites</t>
  </si>
  <si>
    <t>AGAP001153-PA</t>
  </si>
  <si>
    <t xml:space="preserve"> mg2+ and co2+ transporter cord - 14 OH-glycosylation sites -  14 NetOglyc sites</t>
  </si>
  <si>
    <t>ExpAA=0.15 First60=0.01 PredHel=0 Topology=o</t>
  </si>
  <si>
    <t>PRK05461, apaG, CO2+/MG2+ efflux protein ApaG; Reviewed.</t>
  </si>
  <si>
    <t>apaG 3e-032| DUF525 9e-031| ApaG 2e-025| YccV-like 2e-012| YccV-like 4e-010| Hypothetical_protein_yccV. 0.007| COG3785 | Enamelin | TipE | ROM1 |</t>
  </si>
  <si>
    <t>KOG4408, KOG4408, KOG4408, Putative Mg2+ and Co2+ transporter CorD [Inorganic ion transport and metabolism].</t>
  </si>
  <si>
    <t>pfam04379, DUF525, ApaG domain.  Members of this family include the bacterial protein ApaG and the C termini of some F-box proteins (pfam00646). F-box proteins contain a carboxyl-terminal domain that interacts with protein substrates, so this family may be involved in protein-protein interaction. The function of ApaG proteins is unknown, but mutations in the Salmonella typhimurium ApaG homolog corD gives a phenotype of low-level cobalt resistance and decreased magnesium efflux by effects on the CorA magnesium transport system.</t>
  </si>
  <si>
    <t>smart00992, YccV-like, Hemimethylated DNA-binding protein YccV like.  YccV is a hemimethylated DNA binding protein which has been shown to regulate dnaA gene expression. The structure of one of the hypothetical proteins in this family has been solved and it forms a beta sheet structure with a terminating alpha helix.</t>
  </si>
  <si>
    <t xml:space="preserve"> AgamP4_2R:626658-628133(-) </t>
  </si>
  <si>
    <t>AGAP010432-RA</t>
  </si>
  <si>
    <t xml:space="preserve">DnaJ homolog subfamily C member 11 [Source:UniProtKB/TrEMBL;Acc:A0A1S4H3Y8] </t>
  </si>
  <si>
    <t>DnaJ homolog subfamily C member 11</t>
  </si>
  <si>
    <t>AGAP010432-PA</t>
  </si>
  <si>
    <t xml:space="preserve"> molecular chaperone dnaj superfamily</t>
  </si>
  <si>
    <t>ExpAA=8.81 First60=0.00 PredHel=0 Topology=o</t>
  </si>
  <si>
    <t>pfam11875, DUF3395, Domain of unknown function (DUF3395).  This domain is functionally uncharacterized. This domain is found in eukaryotes. This presumed domain is typically between 147 to 176 amino acids in length. This domain is found associated with pfam00226.</t>
  </si>
  <si>
    <t>DUF3395 1e-049| DnaJ 2e-019| PRK14282 7e-019| DnaJ 9e-019| Chaperone_protein_DnaJ 1e-017| PRK10767 2e-016| PRK14277 4e-016| PRK14290 6e-016| PRK14291 9e-016| DnaJ 2e-015|</t>
  </si>
  <si>
    <t>KOG0718, KOG0718, KOG0718, Molecular chaperone (DnaJ superfamily) [Posttranslational modification, protein turnover, chaperones].</t>
  </si>
  <si>
    <t>AGAP000586-RA</t>
  </si>
  <si>
    <t>AGAP000586-PA</t>
  </si>
  <si>
    <t>ExpAA=23.71 First60=0.00 PredHel=1 Topology=i68-90o</t>
  </si>
  <si>
    <t>Plasmodium yoelii</t>
  </si>
  <si>
    <t>pfam16028, SLC3A2_N, Solute carrier family 3 member 2 N-terminus. This domain is found at the N-terminus of solute carrier family 3 member 2 proteins (4F2 cell-surface antigen heavy chain).</t>
  </si>
  <si>
    <t>SLC3A2_N 2e-007| AmyAc_maltase-like 5e-007| hypothetical_protein_L8106_25395 | NtpA | DUF1877 | L-threonine_3-dehydrogenase | Med24_N | PvlArgDC | MetG | PBP2_ChoS |</t>
  </si>
  <si>
    <t>smart01049, Cache_2, Cache is an extracellular domain that is predicted to have a role in small-molecule recognition in a wide range of proteins.  Members include the animal dihydropyridine-sensitive voltage-gated Ca2+ channel; alpha-2delta subunit, and various bacterial chemotaxis receptors. The name Cache comes from CAlcium channels and CHEmotaxis receptors. This domain consists of an N-terminal part with three predicted strands and an alpha-helix, and a C-terminal part with a strand dyad followed by a relatively unstructured region. The N-terminal portion of the (unpermuted) Cache domain contains three predicted strands that could form a sheet analogous to that present in the core of the PAS domain structure. Cache domains are particularly widespread in bacteria, with Vibrio cholerae. The animal calcium channel alpha-2delta subunits might have acquired a part of their extracellular domains from a bacterial source. The Cache domain appears to have arisen from the GAF-PAS fold despite their divergent functions.</t>
  </si>
  <si>
    <t xml:space="preserve"> AgamP4_2R:28522599-28523847(+) </t>
  </si>
  <si>
    <t>AGAP029613-RA</t>
  </si>
  <si>
    <t>AGAP029613-PA</t>
  </si>
  <si>
    <t xml:space="preserve"> zinc finger protein 2</t>
  </si>
  <si>
    <t>ZF_C2H2 7e-009| zf-AD 2e-005| COG5048 2e-004| ZF_C2H2 3e-004| SFP1 0.016| PHA00733 0.024| ZF_C2H2 | zf-AD | PRK12814 | PTZ00448 |</t>
  </si>
  <si>
    <t xml:space="preserve"> AgamP4_3L:24214327-24216225(-) </t>
  </si>
  <si>
    <t xml:space="preserve">3 | 165    FSSRLKK|SP  0.698 *ProP*  | 335    REHRKKR|QL  0.757 *ProP*  | 445    QTAHEKR|SA  0.590 *ProP*  | </t>
  </si>
  <si>
    <t>C(3.03)</t>
  </si>
  <si>
    <t>AGAP006619-RA</t>
  </si>
  <si>
    <t>AGAP006619-PA</t>
  </si>
  <si>
    <t xml:space="preserve"> tra0a82i4j9a0a82i4j9 anoar os-arabiensis ox-773 pe-4 sv</t>
  </si>
  <si>
    <t>Entamoeba histolytica HM-1:IMSS</t>
  </si>
  <si>
    <t>pfam15341, SLX9, Ribosome biogenesis protein SLX9.  SLX9 is present in pre-ribosomes from an early stage and is implicated in the processing events that remove the ITS1 spacer sequences. In eukaryotes, biogenesis of ribosomes starts in the nucleolus with transcription by RNA polymerase I of a large precursor RNA molecule, called 35S pre-rRNA in yeast, in which the 18S, 5.8S, and 25S mature rRNAs reside, while RNA polymerase III transcribes a 3'-extended pre-5S rRNA. The 35S precursor also contains external transcribed spacer elements (5' and 3'-ETS) at either end as well as internal transcribed spacers (ITS1 and ITS2) that separate the mature sequences.</t>
  </si>
  <si>
    <t>SLX9 4e-009| PRK11778 | Peptidase_S49_N | PRK00247 | DUF1682 | CDC27 | PTZ00121 | COG1627 |</t>
  </si>
  <si>
    <t>KOG2412, KOG2412, KOG2412, Nuclear-export-signal (NES)-containing protein/polyadenylated-RNA export factor [RNA processing and modification].</t>
  </si>
  <si>
    <t>smart01104, CTD, Spt5 C-terminal nonapeptide repeat binding Spt4. The C-terminal domain of the transcription elongation factor protein Spt5 is necessary for binding to Spt4 to form the functional complex that regulates early transcription elongation by RNA polymerase II. The complex may be involved in pre-mRNA processing through its association with mRNA capping enzymes. This CTD domain carries a regular nonapeptide repeat that can be present in up to 18 copies, as in S. pombe. The repeat has a characteristic TPA motif.</t>
  </si>
  <si>
    <t xml:space="preserve"> AgamP4_2L:34751955-34752686(-) </t>
  </si>
  <si>
    <t xml:space="preserve">1 | 136    DKERKKR|EQ  0.655 *ProP*  | </t>
  </si>
  <si>
    <t>K(3.73)</t>
  </si>
  <si>
    <t>AGAP004682-RA</t>
  </si>
  <si>
    <t xml:space="preserve">U4/U6 small nuclear ribonucleoprotein PRP3 </t>
  </si>
  <si>
    <t>U4/U6 small nuclear ribonucleoprotein PRP3</t>
  </si>
  <si>
    <t>u4/u6 small nuclear ribonucleoprotein</t>
  </si>
  <si>
    <t>AGAP004682-PA</t>
  </si>
  <si>
    <t xml:space="preserve"> u4/u6 small nuclear ribonucleoprotein</t>
  </si>
  <si>
    <t>pfam08572, PRP3, pre-mRNA processing factor 3 (PRP3).  Pre-mRNA processing factor 3 (PRP3) is a U4/U6-associated splicing factor. The human PRP3 has been implicated in autosomal retinitis pigmentosa.</t>
  </si>
  <si>
    <t>PRP3 7e-078| DUF1115 1e-040| DUF3043 | PH-GRAM2_TBC1D8B | Chaperone_protein_DnaK | CCDC73 | PHA01745 |</t>
  </si>
  <si>
    <t>KOG2769, KOG2769, KOG2769, Putative u4/u6 small nuclear ribonucleoprotein [RNA processing and modification].</t>
  </si>
  <si>
    <t>smart00330, PIPKc, Phosphatidylinositol phosphate kinases.</t>
  </si>
  <si>
    <t xml:space="preserve"> AgamP4_2L:433503-461082(-) </t>
  </si>
  <si>
    <t xml:space="preserve">1 | 196    PAGRTKR|SL  0.798 *ProP*  | </t>
  </si>
  <si>
    <t>AGAP003725-RA</t>
  </si>
  <si>
    <t xml:space="preserve">Extended synaptotagmin-like protein 2a </t>
  </si>
  <si>
    <t>Extended synaptotagmin-like protein 2a</t>
  </si>
  <si>
    <t>Synaptotagmin-like mitochondrial-lipid-binding domain - 2 predicted membrane helices</t>
  </si>
  <si>
    <t>AGAP003725-PA</t>
  </si>
  <si>
    <t xml:space="preserve"> extended synaptotagmin-2-a - 2 predicted membrane helices</t>
  </si>
  <si>
    <t>pm membrane</t>
  </si>
  <si>
    <t>ExpAA=24.32 First60=18.07 PredHel=1 Topology=i44-66o</t>
  </si>
  <si>
    <t>cd04030, C2C_KIAA1228, C2 domain third repeat present in uncharacterized human KIAA1228-like proteins.  KIAA proteins are uncharacterized human proteins. They were compiled by the Kazusa mammalian cDNA project which identified more than 2000 human genes. They are identified by 4 digit codes that precede the KIAA designation.  Many KIAA genes are still functionally uncharacterized including KIAA1228.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 This cd contains the third C2 repeat, C2C, and has a type-II topology.</t>
  </si>
  <si>
    <t>C2C_KIAA1228 3e-044| C2A_C2C_Synaptotagmin_like 4e-041| SMP_LBD 5e-039| C2A_Synaptotagmin-like 5e-037| C2B_Synaptotagmin-like 5e-036| COG5038 2e-030| C2B_PI3K_class_II 4e-019| C2 3e-018| C2A_RIM1alpha 3e-018| C2 1e-017|</t>
  </si>
  <si>
    <t>KOG0905, KOG0905, KOG0905, Phosphoinositide 3-kinase [Signal transduction mechanisms].</t>
  </si>
  <si>
    <t>pfam17047, SMP_LBD, Synaptotagmin-like mitochondrial-lipid-binding domain.  SMP is a proposed lipid-binding module, ie a synaptotagmin-like mitochondrial-lipid-binding domain found in eukaryotes. The SMP domain has a beta-barrel structure like protein modules in the tubular-lipid-binding (TULIP) superfamily. It dimerizes to form an approximately 90-Angstrom-long cylinder traversed by a channel lined entirely with hydrophobic residues. The following two C2 domains then form arched structures flexibly linked to the SMP domain. The SMP domain is a lipid-binding domain that links the ER with other lipid bilayer-membranes within the cell.</t>
  </si>
  <si>
    <t>smart00239, C2, Protein kinase C conserved region 2 (CalB). Ca2+-binding motif present in phospholipases, protein kinases C, and synaptotagmins (among others). Some do not appear to contain Ca2+-binding sites. Particular C2s appear to bind phospholipids, inositol polyphosphates, and intracellular proteins. Unusual occurrence in perforin. Synaptotagmin and PLC C2s are permuted in sequence with respect to N- and C-terminal beta strands. SMART detects C2 domains using one or both of two profiles.</t>
  </si>
  <si>
    <t xml:space="preserve"> AgamP4_2R:42452242-42466980(+) </t>
  </si>
  <si>
    <t>AGAP004467-RA</t>
  </si>
  <si>
    <t xml:space="preserve">centromere/kinetochore protein ZW10 </t>
  </si>
  <si>
    <t>centromere/kinetochore protein ZW10</t>
  </si>
  <si>
    <t>Centromere/kinetochore protein zw10 involved in mitotic chromosome segregation</t>
  </si>
  <si>
    <t>AGAP004467-PA</t>
  </si>
  <si>
    <t xml:space="preserve"> centromere/kinetochore protein zw10 involved in mitotic chromosome segregation</t>
  </si>
  <si>
    <t>pfam06248, Zw10, Centromere/kinetochore Zw10.  Zw10 and rough deal proteins are both required for correct metaphase check-pointing during mitosis. These proteins bind to the centromere/kinetochore.</t>
  </si>
  <si>
    <t>Zw10 4e-043| Phage_GPA | Vps51 | PRK10534 | SWIRM-assoc_2 | TraF_2 | PTZ00176 | p450 | WD-3 | Prominin |</t>
  </si>
  <si>
    <t>KOG2163, KOG2163, KOG2163, Centromere/kinetochore protein zw10 involved in mitotic chromosome segregation [Cell cycle control, cell division, chromosome partitioning].</t>
  </si>
  <si>
    <t xml:space="preserve"> AgamP4_2R:56722860-56725057(+) </t>
  </si>
  <si>
    <t>AGAP004886-RB</t>
  </si>
  <si>
    <t>microtubule-associated protein, RP/EB family</t>
  </si>
  <si>
    <t>Microtubule-binding protein involved in cell cycle control</t>
  </si>
  <si>
    <t>AGAP004886-PB</t>
  </si>
  <si>
    <t xml:space="preserve"> microtubule-associated protein rp/eb family member 3 isoform x2</t>
  </si>
  <si>
    <t>COG5217, BIM1, Microtubule-binding protein involved in cell cycle control [Cell division and chromosome partitioning / Cytoskeleton].</t>
  </si>
  <si>
    <t>BIM1 5e-038| EB1 1e-014| CH 9e-011| CH 0.007| CH | 20 | COG3941 | Herpes_UL6 | GumC | MYSc_Myo23 |</t>
  </si>
  <si>
    <t>KOG3000, KOG3000, KOG3000, Microtubule-binding protein involved in cell cycle control [Cell cycle control, cell division, chromosome partitioning, Cytoskeleton].</t>
  </si>
  <si>
    <t>pfam03271, EB1, EB1-like C-terminal motif.  This motif is found at the C-terminus of proteins that are related to the EB1 protein. The EB1 proteins contain an N-terminal CH domain pfam00307. The human EB1 protein was originally discovered as a protein interacting with the C-terminus of the APC protein. This interaction is often disrupted in colon cancer, due to deletions affecting the APC C-terminus. Several EB1 orthologues are also included in this family. The interaction between EB1 and APC has been shown to have a potent synergistic effect on microtubule polymerization. Neither of EB1 or APC alone has this effect. It is thought that EB1 targets APC to the + ends of microtubules, where APC promotes microtubule polymerization. This process is regulated by APC phosphorylation by Cdc2, which disrupts APC-EB1 binding. Human EB1 protein can functionally substitute for the yeast EB1 homolog Mal3. In addition, Mal3 can substitute for human EB1 in promoting microtubule polymerization with APC.</t>
  </si>
  <si>
    <t>smart00033, CH, Calponin homology domain.  Actin binding domains present in duplicate at the N-termini of spectrin-like proteins (including dystrophin, alpha-actinin). These domains cross-link actin filaments into bundles and networks. A calponin homology domain is predicted in yeasst Cdc24p.</t>
  </si>
  <si>
    <t xml:space="preserve"> AgamP4_2L:4956483-4961288(-) </t>
  </si>
  <si>
    <t>AGAP002454-RA</t>
  </si>
  <si>
    <t xml:space="preserve">Golgi SNAP receptor complex member 1 [Source:UniProtKB/TrEMBL;Acc:Q7QC51] </t>
  </si>
  <si>
    <t>Golgi SNAP receptor complex member 1</t>
  </si>
  <si>
    <t>SNARE protein GS28 - 2 predicted membrane helices</t>
  </si>
  <si>
    <t>AGAP002454-PA</t>
  </si>
  <si>
    <t xml:space="preserve"> golgi snap receptor complex member 1 isoform x1 - 2 predicted membrane helices</t>
  </si>
  <si>
    <t>ExpAA=19.45 First60=0.00 PredHel=1 Topology=i209-228o</t>
  </si>
  <si>
    <t>cd15864, SNARE_GS28, SNARE motif of GS28.  GS28 (also known as golgi SNAP receptor complex member 1 or GOSR1) forms complexes with syntaxin-5 (Qa), Ykt6 (R-SNARE) and either Bet1 (Qc) or GS15 (Qc). These complexes regulate the early secretory pathway of eukaryotic cells at the level of the transport from the ER-Golgi intermediate compartment (ERGIC) to the cis-Golgi and transport from the trans-Golgi network to the cis-Golgi, respectively. GS28 is a member of the Qb subfamily of SNARE (soluble N-ethylmaleimide-sensitive factor attachment protein receptor) proteins which contain coiled-coil helices (called SNARE motifs) that mediate the interactions between SNARE proteins, and a transmembrane domain. The SNARE complex mediates membrane fusion, important for trafficking of newly synthesized proteins, recycling of pre-existing proteins and organelle formation. SNARE proteins are classified into four groups, Qa-, Qb-, Qc- and R-SNAREs, depending on whether the residue in the hydrophilic center layer of the four-helical bundle is a glutamine (Q) or arginine (R). Qa-, as well as Qb- and Qc-SNAREs, are localized to target organelle membranes, while R-SNARE is localized to vesicle membranes. They form unique complexes consisting of one member of each subgroup, that mediate fusion between a specific type of vesicles and their target organelle. Their SNARE motifs form twisted and parallel heterotetrameric helix bundles.</t>
  </si>
  <si>
    <t>SNARE_GS28 8e-021| V-SNARE_C 2e-012| SNARE_GS27 6e-004| DUF4201 0.090| PRK01156 | SNARE_Qb | MreD | PLN02342 | PRK09754 | COG5346 |</t>
  </si>
  <si>
    <t>KOG3208, KOG3208, KOG3208, SNARE protein GS28 [Intracellular trafficking, secretion, and vesicular transport].</t>
  </si>
  <si>
    <t>pfam12352, V-SNARE_C, Snare region anchored in the vesicle membrane C-terminus.  Within the SNARE proteins interactions in the C-terminal half of the SNARE helix are critical to the driving of membrane fusion; whereas interactions in the N-terminal half of the SNARE domain are important for promoting priming or docking of the vesicle pfam05008.</t>
  </si>
  <si>
    <t>AGAP007003-RA</t>
  </si>
  <si>
    <t>AGAP007003-PA</t>
  </si>
  <si>
    <t xml:space="preserve"> orf1a - 2 predicted membrane helices</t>
  </si>
  <si>
    <t>vir/ membrane</t>
  </si>
  <si>
    <t>ExpAA=19.43 First60=0.00 PredHel=1 Topology=i161-183o</t>
  </si>
  <si>
    <t>cd10322, SLC5sbd, Solute carrier 5 family, sodium/glucose transporters and related proteins; solute-binding domain.  This family represents the solute-binding domain of SLC5 proteins (also called the sodium/glucose cotransporter family or solute sodium symporter family) that co-transport Na+ with sugars, amino acids, inorganic ions or vitamins. Family members include: the human glucose (SGLT1, 2, 4, 5), chiro-inositol (SGLT5), myo-inositol (SMIT), choline (CHT), iodide (NIS), multivitamin (SMVT), and monocarboxylate (SMCT) cotransporters, as well as Vibrio parahaemolyticus glucose/galactose (vSGLT), and Escherichia coli proline (PutP) and pantothenate (PutF) cotransporters. Vibrio parahaemolyticus Na(+)/galactose cotransporter (vSGLT) has 13 transmembrane helices (TMs): TM-1, an inverted topology repeat: TMs1-5 and TMs6-10, and TMs 11-12 (TMs numbered to conform to the solute carrier 6 family Aquifex aeolicus LeuT). One member of this family, human SGLT3, has been characterized as a glucose sensor and not a transporter. Members of this family are important in human physiology and disease.</t>
  </si>
  <si>
    <t>SLC5sbd | 7tmA_VA_opsin | PRK07092 | 7tmA_CysLTR | SLC5sbd_PutP | 7tmA_CysLTR2 | 7tmA_EBI2 | DUF4718 | 7tmA_P2Y4 | Osmoregulated_proline_transporter |</t>
  </si>
  <si>
    <t>KOG2296, KOG2296, KOG2296, Integral membrane protein [General function prediction only].</t>
  </si>
  <si>
    <t>pfam15842, DUF4718, Domain of unknown function (DUF4718).  This family of proteins is found in eukaryotes. Proteins in this family are typically between 130 and 224 amino acids in length.</t>
  </si>
  <si>
    <t>smart00906, Fungal_trans, Fungal specific transcription factor domain.  This domain is found in a number of fungal transcription factors including transcriptional activator xlnR, yeast regulatory protein GAL4, and other transcription proteins regulating a variety of cellular and metabolic processes.</t>
  </si>
  <si>
    <t xml:space="preserve"> AgamP4_2L:40592378-40593862(-) </t>
  </si>
  <si>
    <t xml:space="preserve">1 | 348    VPARSAR|AF  0.587 *ProP*  | </t>
  </si>
  <si>
    <t>ExpAA=17.97 First60=0.00 PredHel=1 Topology=i202-224o</t>
  </si>
  <si>
    <t>AGAP011478-RA</t>
  </si>
  <si>
    <t>Apolipoprotein D/Lipocalin - signalP detected lipocalin</t>
  </si>
  <si>
    <t>lipid trans</t>
  </si>
  <si>
    <t>AGAP011478-PA</t>
  </si>
  <si>
    <t xml:space="preserve"> apolipoprotein d - signalP detected</t>
  </si>
  <si>
    <t xml:space="preserve"> 26-27</t>
  </si>
  <si>
    <t>ExpAA=28.40 First60=23.23 PredHel=1 Topology=i7-29o</t>
  </si>
  <si>
    <t>pfam00061, Lipocalin, Lipocalin / cytosolic fatty-acid binding protein family.  Lipocalins are transporters for small hydrophobic molecules, such as lipids, steroid hormones, bilins, and retinoids. The family also encompasses the enzyme prostaglandin D synthase (EC:5.3.99.2). Alignment subsumes both the lipocalin and fatty acid binding protein signatures from PROSITE. This is supported on structural and functional grounds. The structure is an eight-stranded beta barrel.</t>
  </si>
  <si>
    <t>Lipocalin 0.002| Blc | PRK10477 | Triabin | conserved_hypothetical_protein | COG1086 | ClC_3_like | fliG | PRK07769 | MlaE |</t>
  </si>
  <si>
    <t>KOG4824, KOG4824, KOG4824, Apolipoprotein D/Lipocalin [Cell wall/membrane/envelope biogenesis].</t>
  </si>
  <si>
    <t xml:space="preserve"> AgamP4_3L:25038532-25049055(-) </t>
  </si>
  <si>
    <t>AGAP010500-RA</t>
  </si>
  <si>
    <t>AGAP010500-PA partial</t>
  </si>
  <si>
    <t>AGAP010500-PA</t>
  </si>
  <si>
    <t>ExpAA=0.24 First60=0.00 PredHel=0 Topology=o</t>
  </si>
  <si>
    <t>ZF_C2H2 2e-022| ZF_C2H2 3e-013| zf-AD 4e-006| zf-AD 0.002| COG5048 0.002| ZF_C2H2 0.009| ZF_C2H2 0.029| zf-H2C2_2 0.030| zf-C2H2 0.093| Sporozoite_P67 |</t>
  </si>
  <si>
    <t xml:space="preserve"> AgamP4_3L:5056128-5058225(-) </t>
  </si>
  <si>
    <t xml:space="preserve">2 | 296    TNDRQKR|SS  0.754 *ProP*  | 299    RQKRSSR|SV  0.655 *ProP*  | </t>
  </si>
  <si>
    <t>AGAP012408-RA</t>
  </si>
  <si>
    <t xml:space="preserve">tRNA (uracil-5-)-methyltransferase </t>
  </si>
  <si>
    <t>tRNA (uracil-5-)-methyltransferase</t>
  </si>
  <si>
    <t>tRNA (uracil-5-)-methyltransferase homolog A</t>
  </si>
  <si>
    <t>AGAP012408-PA</t>
  </si>
  <si>
    <t xml:space="preserve"> sam-dependent methyltransferase</t>
  </si>
  <si>
    <t>COG2265, TrmA, SAM-dependent methyltransferases related to tRNA (uracil-5-)-methyltransferase [Translation, ribosomal structure and biogenesis].</t>
  </si>
  <si>
    <t>TrmA 3e-049| 23S_rRNA_uracil1939-C5-methyltransfera...   160   1e-039 1e-039| rumB 3e-024| RRM_TRMT2A 3e-022| rumA 6e-021| 23S_rRNA_uracil747-C5-methyltransferas...    92   8e-019 8e-019| RF_mod_PrmC 2e-016| PRK09328 3e-014| tRNA_U5-meth_tr 2e-012| tRNA/tmRNA_uracil-C5-methyltransferase...    69   8e-012 8e-012|</t>
  </si>
  <si>
    <t>KOG2187, KOG2187, KOG2187, tRNA uracil-5-methyltransferase and related tRNA-modifying enzymes [Translation, ribosomal structure and biogenesis].</t>
  </si>
  <si>
    <t>pfam05958, tRNA_U5-meth_tr, tRNA (Uracil-5-)-methyltransferase. This family consists of (Uracil-5-)-methyltransferases EC:2.1.1.35 from bacteria, archaea and eukaryotes. A 5-methyluridine (m(5)U) residue at position 54 is a conserved feature of bacterial and eukaryotic tRNAs. The methylation of U54 is catalyzed by the tRNA(m5U54)methyltransferase, which in Saccharomyces cerevisiae is encoded by the nonessential TRM2 gene. It is thought that tRNA modification enzymes might have a role in tRNA maturation not necessarily linked to their known catalytic activity.</t>
  </si>
  <si>
    <t xml:space="preserve"> AgamP4_3L:41768940-41770873(+) </t>
  </si>
  <si>
    <t>AGAP001136-RA</t>
  </si>
  <si>
    <t xml:space="preserve">tetratricopeptide repeat protein 35 </t>
  </si>
  <si>
    <t>tetratricopeptide repeat protein 35</t>
  </si>
  <si>
    <t>AGAP001136-PA</t>
  </si>
  <si>
    <t xml:space="preserve"> er membrane protein complex subunit 2</t>
  </si>
  <si>
    <t>ExpAA=0.17 First60=0.00 PredHel=0 Topology=o</t>
  </si>
  <si>
    <t>TIGR02917, TPR_domain_protein, putative PEP-CTERM system TPR-repeat lipoprotein.  This protein family occurs in strictly within a subset of Gram-negative bacterial species with the proposed PEP-CTERM/exosortase system, analogous to the LPXTG/sortase system common in Gram-positive bacteria. This protein occurs in a species if and only if a transmembrane histidine kinase (TIGR02916) and a DNA-binding response regulator (TIGR02915) also occur. The present of tetratricopeptide repeats (TPR) suggests protein-protein interaction, possibly for the regulation of PEP-CTERM protein expression, since many PEP-CTERM proteins in these genomes are preceded by a proposed DNA binding site for the response regulator.</t>
  </si>
  <si>
    <t>TPR_domain_protein 8e-008| TPR 9e-006| mod_pep_cyc 0.001| PilF 0.003| Uncharacterized_protein_HI_0366 0.006| COG4783 0.045| PGA_TPR_OMP 0.058| DNA_gyrase_subunit_A | NrfG | BTAD |</t>
  </si>
  <si>
    <t>KOG3060, KOG3060, KOG3060, Uncharacterized conserved protein [Function unknown].</t>
  </si>
  <si>
    <t>pfam07719, TPR_2, Tetratricopeptide repeat.  This Pfam entry includes outlying Tetratricopeptide-like repeats (TPR) that are not matched by pfam00515.</t>
  </si>
  <si>
    <t>smart01043, BTAD, Bacterial transcriptional activator domain. Found in the DNRI/REDD/AFSR family of regulators. This region of AFSR along with the C terminal region is capable of independently directing actinorhodin production. This family contains TPR repeats.</t>
  </si>
  <si>
    <t xml:space="preserve"> AgamP4_2R:565835-567009(+) </t>
  </si>
  <si>
    <t>AGAP010234-RA</t>
  </si>
  <si>
    <t xml:space="preserve">microsomal triglyceride transfer protein large subunit </t>
  </si>
  <si>
    <t>microsomal triglyceride transfer protein large subunit</t>
  </si>
  <si>
    <t>Microsomal triglyceride transfer protein - signalP detected</t>
  </si>
  <si>
    <t>AGAP010234-PA</t>
  </si>
  <si>
    <t xml:space="preserve"> microsomal triglyceride transfer protein - signalP detected</t>
  </si>
  <si>
    <t xml:space="preserve"> 25-26</t>
  </si>
  <si>
    <t>ExpAA=20.37 First60=20.36 PredHel=1 Topology=i7-26o</t>
  </si>
  <si>
    <t>LPD_N 4e-021| Vitellogenin_N 1e-016| PLN00129 | Herpes_U30 | DUF2514 | DUF3347 | PLN03200 | Y1_Tnp | CadC | COG4228 |</t>
  </si>
  <si>
    <t>KOG4337, KOG4337, KOG4337, Microsomal triglyceride transfer protein [Lipid transport and metabolism, Intracellular trafficking, secretion, and vesicular transport].</t>
  </si>
  <si>
    <t>pfam01347, Vitellogenin_N, Lipoprotein amino terminal region.  This family contains regions from: Vitellogenin, Microsomal triglyceride transfer protein and apolipoprotein B-100. These proteins are all involved in lipid transport. This family contains the LV1n chain from lipovitellin, that contains two structural domains.</t>
  </si>
  <si>
    <t xml:space="preserve"> AgamP4_3R:51336112-51339575(+) </t>
  </si>
  <si>
    <t>AGAP006233-RA</t>
  </si>
  <si>
    <t>mitochondrial cardiolipin hydrolase</t>
  </si>
  <si>
    <t>AGAP006233-PA</t>
  </si>
  <si>
    <t xml:space="preserve"> catalytic domain of edta-resistant nuclease nuc</t>
  </si>
  <si>
    <t>ExpAA=17.47 First60=17.24 PredHel=1 Topology=o20-39i</t>
  </si>
  <si>
    <t>cd09171, PLDc_vPLD6_like, Catalytic domain of vertebrate phospholipase D6 and similar proteins.  Catalytic domain of vertebrate phospholipase D6 (PLD6, EC 3.1.4.4), a homolog of the EDTA-resistant nuclease Nuc from Salmonella typhimurium, and similar proteins. PLD6 can selectively hydrolyze the terminal phosphodiester bond of phosphatidylcholine (PC) with the formation of phosphatidic acid and alcohols. Phosphatidic acid is an essential compound involved in signal transduction. It also catalyzes the transphosphatidylation of phospholipids to acceptor alcohols, by which various phospholipids can be synthesized. PLD6 belongs to the phospholipase D (PLD) superfamily. Its monomer contains a short conserved sequence motif, H-x-K-x(4)-D (where x represents any amino acid residue), termed the HKD motif, which is essential in catalysis. PLD6 is more closely related to the nuclease Nuc than to other vertebrate phospholipases, which have two copies of the HKD motif in a single polypeptide chain. Like Nuc, PLD6 may utilize a two-step mechanism to cleave phosphodiester bonds: Upon substrate binding, the bond is first attacked by a histidine residue from the HKD motif of one subunit to form a covalent phosphohistidine intermediate, which is then hydrolyzed by water with the aid of a second histidine residue from the other HKD motif in the opposite subunit.</t>
  </si>
  <si>
    <t>PLDc_vPLD6_like 7e-017| PLDc_Nuc_like 1e-014| PLDc_Nuc 2e-014| PLDc_2 7e-012| Cls 5e-008| PLDc_Nuc_like_unchar2 1e-007| PRK13912 1e-004| PLDc_SF 9e-004| PLDc_unchar1_1 9e-004| PLDc_EcCLS_like_1 0.004|</t>
  </si>
  <si>
    <t>KOG2456, KOG2456, KOG2456, Aldehyde dehydrogenase [Energy production and conversion].</t>
  </si>
  <si>
    <t>pfam13091, PLDc_2, PLD-like domain.</t>
  </si>
  <si>
    <t xml:space="preserve"> AgamP4_2L:28565991-28566972(+) </t>
  </si>
  <si>
    <t xml:space="preserve">1 | 227    AVPRRKK|SS  0.535 *ProP*  | </t>
  </si>
  <si>
    <t>AGAP007948-RA</t>
  </si>
  <si>
    <t xml:space="preserve">NET1-associated nuclear protein 1 (U3 small nucleolar RNA-associated protein 1 [Source:UniProtKB/TrEMBL;Acc:A0A1S4GWS7] </t>
  </si>
  <si>
    <t>NET1-associated nuclear protein 1 (U3 small nucleolar RNA-associated protein 1</t>
  </si>
  <si>
    <t>AGAP007948-PA partial</t>
  </si>
  <si>
    <t>AGAP007948-PA</t>
  </si>
  <si>
    <t xml:space="preserve"> tra0as4gws7a0as4gws7 anoga net-associated nuclear protein</t>
  </si>
  <si>
    <t>sd00039, 7WD40, WD40 repeats in seven bladed beta propellers.  The WD40 repeat is found in a number of eukaryotic proteins that cover a wide variety of functions including adaptor/regulatory modules in signal transduction, pre-mRNA processing, and cytoskeleton assembly. It typically contains a GH dipeptide 11-24 residues from its N-terminus and the WD dipeptide at its C-terminus and is 40 residues long, hence the name WD40. Between the GH and WD dipeptides lies a conserved core. It forms a propeller-like structure with several blades where each blade is composed of a four-stranded anti-parallel beta-sheet. The WD40 sequence repeat originally described in literature forms the first three strands of one blade and the last strand in the next blade. The C-terminal WD40 repeat completes the blade structure of the N-terminal WD40 repeat to create the closed ring propeller-structure. The residues on the top and bottom surface of the propeller are proposed to coordinate interactions with other proteins and/or small ligands, allowing them to bind either stably or reversibly.</t>
  </si>
  <si>
    <t>7WD40 3e-007| WD40 1e-006| COG2319 6e-004| WD40 | WD40 | assembly_YfgL | BamB_YfgL | AcnX_swivel | CAP_C | tolB |</t>
  </si>
  <si>
    <t>KOG1963, KOG1963, KOG1963, WD40 repeat protein [General function prediction only].</t>
  </si>
  <si>
    <t xml:space="preserve">2 | 723    TSRRSSR|KI  0.502 *ProP*  | 900    IPRRYPR|SQ  0.611 *ProP*  | </t>
  </si>
  <si>
    <t>AGAP007938-RA</t>
  </si>
  <si>
    <t xml:space="preserve">protein cactus (TOLL pathway signalling) </t>
  </si>
  <si>
    <t>cact: protein cactus (TOLL pathway signalling)</t>
  </si>
  <si>
    <t>AGAP007938-PA</t>
  </si>
  <si>
    <t xml:space="preserve"> nf-kappa-b inhibitor cactus</t>
  </si>
  <si>
    <t>ExpAA=0.14 First60=0.00 PredHel=0 Topology=o</t>
  </si>
  <si>
    <t>cd00204, ANK, ankyrin repeats;  ankyrin repeats mediate protein-protein interactions in very diverse families of proteins. The number of ANK repeats in a protein can range from 2 to over 20 (ankyrins, for example). ANK repeats may occur in combinations with other types of domains. The structural repeat unit contains two antiparallel helices and a beta-hairpin, repeats are stacked in a superhelical arrangement; this alignment contains 4 consecutive repeats.</t>
  </si>
  <si>
    <t>ANK 1e-022| ANK 1e-016| Ank_2 9e-012| Arp 1e-011| PHA02736 3e-011| PHA02743 3e-011| PHA03095 7e-007| Ank_4 3e-006| PTZ00322 3e-006| PHA02874 7e-006|</t>
  </si>
  <si>
    <t>KOG0507, KOG0507, KOG0507, CASK-interacting adaptor protein (caskin) and related proteins with ankyrin repeats and SAM domain [Signal transduction mechanisms].</t>
  </si>
  <si>
    <t>pfam12796, Ank_2, Ankyrin repeats (3 copies).</t>
  </si>
  <si>
    <t>smart00248, ANK, ankyrin repeats.  Ankyrin repeats are about 33 amino acids long and occur in at least four consecutive copies. They are involved in protein-protein interactions. The core of the repeat seems to be an helix-loop-helix structure.</t>
  </si>
  <si>
    <t xml:space="preserve"> AgamP4_3R:3214448-3217145(+) </t>
  </si>
  <si>
    <t>AGAP010211-RA</t>
  </si>
  <si>
    <t>agap010211-pa - signalP detected - 4 predicted membrane helices</t>
  </si>
  <si>
    <t>AGAP010211-PA</t>
  </si>
  <si>
    <t>hypothetical protein - signalP detected - 4 predicted membrane helices</t>
  </si>
  <si>
    <t xml:space="preserve"> 31-32</t>
  </si>
  <si>
    <t>ExpAA=89.85 First60=21.80 PredHel=4 Topology=i13-35o69-91i131-153o217-239i</t>
  </si>
  <si>
    <t>Bacteroides vulgatus (strain ATCC 8482 / DSM 1447 / JCM 5826 / NBRC 14291 / NCTC 11154)</t>
  </si>
  <si>
    <t>pfam12297, EVC2_like, Ellis van Creveld protein 2 like protein. This family of proteins is found in eukaryotes. Proteins in this family are typically between 571 and 1310 amino acids in length. There are two conserved sequence motifs: LPA and ELH. EVC2 is implicated in Ellis van Creveld chondrodysplastic dwarfism in humans. Mutations in this protein can give rise to this congenital condition. LIMBIN is a protein which shares around 80% sequence homology with EVC2 and it is implicated in a similar condition in bovine chondrodysplastic dwarfism.</t>
  </si>
  <si>
    <t>EVC2_like | pepcterm_polyde | Serinc | 7tmA_SREB3_GPR173 | DUF2101 | COG4025 |</t>
  </si>
  <si>
    <t>KOG1802, KOG1802, KOG1802, RNA helicase nonsense mRNA reducing factor (pNORF1) [RNA processing and modification].</t>
  </si>
  <si>
    <t>smart00551, ZnF_TAZ, TAZ zinc finger, present in p300 and CBP.</t>
  </si>
  <si>
    <t xml:space="preserve"> AgamP4_3R:50837393-50838570(+) </t>
  </si>
  <si>
    <t xml:space="preserve">1 | 100    CFGRRRR|YP  0.571 *ProP*  | </t>
  </si>
  <si>
    <t>AGAP004297-RA</t>
  </si>
  <si>
    <t>C-3 sterol dehydrogenase/3-beta-hydroxysteroid dehydrogenase</t>
  </si>
  <si>
    <t>AGAP004297-PA</t>
  </si>
  <si>
    <t xml:space="preserve"> nad-dependent epimerase/dehydratase family protein</t>
  </si>
  <si>
    <t>met/carb</t>
  </si>
  <si>
    <t>pfam01370, Epimerase, NAD dependent epimerase/dehydratase family. This family of proteins utilize NAD as a cofactor. The proteins in this family use nucleotide-sugar substrates for a variety of chemical reactions.</t>
  </si>
  <si>
    <t>Epimerase 7e-020| WcaG 5e-019| SDR_a1 4e-015| SDR_e 2e-012| UDP_G4E_5_SDR_e 4e-010| SDR_a5 2e-007| MupV_like_SDR_e 3e-007| NDUFA9_like_SDR_a 7e-007| UDP_G4E_4_SDR_e 1e-006| UDP_AE_SDR_e 1e-006|</t>
  </si>
  <si>
    <t>KOG1430, KOG1430, KOG1430, C-3 sterol dehydrogenase/3-beta-hydroxysteroid dehydrogenase and related dehydrogenases [Lipid transport and metabolism, Amino acid transport and metabolism].</t>
  </si>
  <si>
    <t xml:space="preserve">Lipid transport and metabolism, Amino acid transport and metabolism </t>
  </si>
  <si>
    <t xml:space="preserve"> AgamP4_2R:54160335-54161957(+) </t>
  </si>
  <si>
    <t>AGAP004752-RA</t>
  </si>
  <si>
    <t xml:space="preserve">tRNA (guanine-N(7)-)-methyltransferase [Source:UniProtKB/Swiss-Prot;Acc:Q7Q2P7] </t>
  </si>
  <si>
    <t>tRNA (guanine-N(7)-)-methyltransferase</t>
  </si>
  <si>
    <t>AGAP004752-PA</t>
  </si>
  <si>
    <t xml:space="preserve"> trna guanine-n7--methyltransferase isoform x1</t>
  </si>
  <si>
    <t>ExpAA=0.62 First60=0.23 PredHel=0 Topology=o</t>
  </si>
  <si>
    <t>pfam02390, Methyltransf_4, Putative methyltransferase.  This is a family of putative methyltransferases. The aligned region contains the GXGXG S-AdoMet binding site suggesting a putative methyltransferase activity.</t>
  </si>
  <si>
    <t>Methyltransf_4 6e-057| COG0220 2e-042| tRNA_guanine-N7--methyltransferase 2e-036| trmB 1e-028| PRK14121 2e-005| PRK01544 2e-004| AdoMet_MTases 6e-004| PRK06922 7e-004| Methyltransf_11 | Methyltransf_25 |</t>
  </si>
  <si>
    <t>KOG3115, KOG3115, KOG3115, Methyltransferase-like protein [General function prediction only].</t>
  </si>
  <si>
    <t>smart00828, PKS_MT, Methyltransferase in polyketide synthase (PKS) enzymes.</t>
  </si>
  <si>
    <t>AGAP010187-RA</t>
  </si>
  <si>
    <t xml:space="preserve">UDP-xylose:glucoside alpha-1,3-xylosyltransferase </t>
  </si>
  <si>
    <t>UDP-xylose:glucoside alpha-1,3-xylosyltransferase</t>
  </si>
  <si>
    <t>glucoside xylosyltransferase 1-like</t>
  </si>
  <si>
    <t>AGAP010187-PA</t>
  </si>
  <si>
    <t xml:space="preserve"> glucoside xylosyltransferase 1 isoform x2</t>
  </si>
  <si>
    <t>ExpAA=18.82 First60=18.79 PredHel=1 Topology=i7-26o</t>
  </si>
  <si>
    <t>cd06430, GT8_like_2, GT8_like_2 represents a subfamily of GT8 with unknown function.  A subfamily of glycosyltransferase family 8 with unknown function: Glycosyltransferase family 8 comprises enzymes with a number of known activities; lipopolysaccharide galactosyltransferase lipopolysaccharide glucosyltransferase 1, glycogenin glucosyltransferase and inositol 1-alpha-galactosyltransferase. It is classified as a retaining glycosyltransferase, based on the relative anomeric stereochemistry of the substrate and product in the reaction catalyzed.</t>
  </si>
  <si>
    <t>GT8_like_2 e-140| Glyco_transf_8 1e-041| GT8_A4GalT_like 3e-021| GT8_LARGE_C 2e-019| RfaJ 8e-013| Glyco_transf_8 2e-008| GT8_Glycogenin 0.002| GT8_HUGT1_C_like 0.066| PLN02870 | Bse634I |</t>
  </si>
  <si>
    <t>KOG3765, KOG3765, KOG3765, Predicted glycosyltransferase [Carbohydrate transport and metabolism].</t>
  </si>
  <si>
    <t xml:space="preserve">Carbohydrate transport and metabolism </t>
  </si>
  <si>
    <t>pfam01501, Glyco_transf_8, Glycosyl transferase family 8.  This family includes enzymes that transfer sugar residues to donor molecules. Members of this family are involved in lipopolysaccharide biosynthesis and glycogen synthesis. This family includes Lipopolysaccharide galactosyltransferase, lipopolysaccharide glucosyltransferase 1, and glycogenin glucosyltransferase.</t>
  </si>
  <si>
    <t xml:space="preserve"> AgamP4_3R:50335730-50337005(+) </t>
  </si>
  <si>
    <t xml:space="preserve">1 | 237    TRMREFR|WE  0.548 *ProP*  | </t>
  </si>
  <si>
    <t>AGAP001656-RA</t>
  </si>
  <si>
    <t xml:space="preserve">ribosomal RNA-processing protein 7 </t>
  </si>
  <si>
    <t>ribosomal RNA-processing protein 7</t>
  </si>
  <si>
    <t>ribosomal RNA-processing protein 7 homolog A</t>
  </si>
  <si>
    <t>AGAP001656-PA</t>
  </si>
  <si>
    <t>cd12951, RRP7_Rrp7A, RRP7 domain ribosomal RNA-processing protein 7 homolog A (Rrp7A) and similar proteins.  The family corresponds to the RRP7 domain of Rrp7A, also termed gastric cancer antigen Zg14, and similar proteins which are yeast ribosomal RNA-processing protein 7 (Rrp7p) homologs mainly found in Metazoans. The cellular function of Rrp7A remains unclear currently. Rrp7A harbors an N-terminal RNA recognition motif (RRM), also termed RBD (RNA binding domain) or RNP (ribonucleoprotein domain), and a C-terminal RRP7 domain.</t>
  </si>
  <si>
    <t>RRP7_Rrp7A 1e-035| RRM_Rrp7A 1e-031| RRP7 6e-030| RRP7_like 3e-027| RRP7_Rrp7p 7e-016| RRM_SF 0.001| RRM1_RBM34 0.001| RRM_Rrp7p 0.004| RRM3_TIA1_like 0.006| RRM_ABT1_like 0.012|</t>
  </si>
  <si>
    <t>KOG4008, KOG4008, KOG4008, rRNA processing protein RRP7 [RNA processing and modification].</t>
  </si>
  <si>
    <t>pfam12923, RRP7, Ribosomal RNA-processing protein 7 (RRP7).  RRP7 is an essential protein in yeast that is involved in pre-rRNA processing and ribosome assembly. It is speculated to be required for correct assembly of rpS27 into the pre-ribosomal particle.</t>
  </si>
  <si>
    <t xml:space="preserve"> AgamP4_2R:7326528-7327364(-) </t>
  </si>
  <si>
    <t>AGAP006204-RA</t>
  </si>
  <si>
    <t>Conserved protein with signal anchor - Membrane anchor detected</t>
  </si>
  <si>
    <t>AGAP006204-PA</t>
  </si>
  <si>
    <t>ExpAA=23.24 First60=22.91 PredHel=0 Topology=o</t>
  </si>
  <si>
    <t>pfam11779, SPT_ssu-like, Small subunit of serine palmitoyltransferase-like.  Serine palmitoyltransferase (SPT) catalyzes the first committed step in sphingolipid biosynthesis. In mammals, two small subunits of serine palmitoyltransferase, ssSPTa and ssSPTb, substantially enhance the activity of SPT, conferring full enzyme activity upon it. The 2 ssSPT isoforms share a conserved hydrophobic central domain, which is predicted to reside in the membrane.</t>
  </si>
  <si>
    <t>SPT_ssu-like | Nitrogenase_VnfN_like | PRK12830 | PHA03065 |</t>
  </si>
  <si>
    <t>KOG0202, KOG0202, KOG0202, Ca2+ transporting ATPase [Inorganic ion transport and metabolism].</t>
  </si>
  <si>
    <t>smart00059, FN2, Fibronectin type 2 domain.  One of three types of internal repeat within the plasma protein, fibronectin. Also occurs in coagulation factor XII, 2 type IV collagenases, PDC-109, and cation-independent mannose-6-phosphate and secretory phospholipase A2 receptors. In fibronectin, PDC-109, and the collagenases, this domain contributes to collagen-binding function.</t>
  </si>
  <si>
    <t xml:space="preserve"> AgamP4_2L:28232687-28233026(-) </t>
  </si>
  <si>
    <t>W(5.26)</t>
  </si>
  <si>
    <t>AGAP004990-RA</t>
  </si>
  <si>
    <t xml:space="preserve">multiprotein bridging factor 1 </t>
  </si>
  <si>
    <t>mbf1: multiprotein bridging factor 1</t>
  </si>
  <si>
    <t>Transcription factor MBF1</t>
  </si>
  <si>
    <t>AGAP004990-PA</t>
  </si>
  <si>
    <t xml:space="preserve"> transcription factor mbf1</t>
  </si>
  <si>
    <t>pfam08523, MBF1, Multiprotein bridging factor 1.  This domain is found in the multiprotein bridging factor 1 (MBF1) which forms a heterodimer with MBF2. It has been shown to make direct contact with the TATA-box binding protein (TBP) and interacts with Ftz-F1, stabilizing the Ftz-F1-DNA complex. It is also found in the endothelial differentiation-related factor (EDF-1). Human EDF-1 is involved in the repression of endothelial differentiation, interacts with CaM and is phosphorylated by PKC. The domain is found in a wide range of eukaryotic proteins including metazoans, fungi and plants. A helix-turn-helix motif (pfam01381) is found to its C-terminus.</t>
  </si>
  <si>
    <t>MBF1 3e-022| COG1813 2e-012| HTH_3 3e-006| HTH_XRE 8e-005| HTH_XRE 6e-004| PRK06424 0.004| TIGR00270 0.005| COG1709 | COG1426 | HTH_19 |</t>
  </si>
  <si>
    <t>KOG3398, KOG3398, KOG3398, Transcription factor MBF1 [Transcription].</t>
  </si>
  <si>
    <t>smart00530, HTH_XRE, Helix-turn-helix XRE-family like proteins.</t>
  </si>
  <si>
    <t xml:space="preserve"> AgamP4_2L:7586036-7586854(+) </t>
  </si>
  <si>
    <t>AGAP004670-RA</t>
  </si>
  <si>
    <t>AGAP004670-PA</t>
  </si>
  <si>
    <t>ExpAA=24.18 First60=0.00 PredHel=0 Topology=o</t>
  </si>
  <si>
    <t>pfam16070, TMEM132, Transmembrane protein family 132.  This presumed domain is found in members of the TMEM132 family. TMEM132A may be involved in embryonic and postnatal brain development. TMEM132D may be a marker for oligodendrocyte differentiation.</t>
  </si>
  <si>
    <t>TMEM132 e-140| TMEM132D_C 2e-014| T2SS-T3SS_pil_N 0.069| TMEM132D_N | CpaC | Amelogenin | COG3519 | ECM1 | CD20 | PRK00960 |</t>
  </si>
  <si>
    <t>KOG4789, KOG4789, KOG4789, Uncharacterized conserved protein [Function unknown].</t>
  </si>
  <si>
    <t xml:space="preserve"> AgamP4_2R:60847082-60875688(-) </t>
  </si>
  <si>
    <t xml:space="preserve">1 | 463    PIRRKKR|AY  0.814 *ProP*  | </t>
  </si>
  <si>
    <t>AGAP004772.R448</t>
  </si>
  <si>
    <t>SLIT-ROBO Rho GTPase activating protein</t>
  </si>
  <si>
    <t>VectorBase: AGAP004772</t>
  </si>
  <si>
    <t>AGAP010393-RA</t>
  </si>
  <si>
    <t>AGAP010393-PA partial</t>
  </si>
  <si>
    <t>AGAP010393-PA</t>
  </si>
  <si>
    <t xml:space="preserve"> telomere-associated protein rif1</t>
  </si>
  <si>
    <t>pfam12231, Rif1_N, Rap1-interacting factor 1 N terminal.  This domain family is found in eukaryotes, and is typically between 135 and 146 amino acids in length. Rif1 is a protein which interacts with Rap1 to regulate telomere length. Interaction with telomeres limits their length. The N terminal region contains many HEAT- and ARMADILLO- type repeats. These are helical folds which form extended curved proteins or RNA interface surfaces.</t>
  </si>
  <si>
    <t>Rif1_N 4e-005| PRK08581 0.001| PHA03307 0.011| Red1 | DUF4775 | High-affinity_potassium_transport_prot...    35   0.25  | PTZ00112 | GREB1 | MIP-T3 | PRK13914 |</t>
  </si>
  <si>
    <t>KOG1847, KOG1847, KOG1847, mRNA splicing factor [RNA processing and modification].</t>
  </si>
  <si>
    <t>smart00071, Galanin, Galanin.  Galanin is a neuropeptide that controls various biological activities: it regulates the release growth hormone, inhibits the release of insulin and somatostatin, contracts smooth muscle of the gastrointestinal and genitourinary tract and may be involved in the control of adrenal secretion.</t>
  </si>
  <si>
    <t xml:space="preserve"> AgamP4_3L:2602612-2608966(+) </t>
  </si>
  <si>
    <t xml:space="preserve">2 | 57    KECDKKR|SI  0.539 *ProP*  | 1006    TQQRERR|MS  0.573 *ProP*  | </t>
  </si>
  <si>
    <t>AGAP008410-RA</t>
  </si>
  <si>
    <t>AGAP008410-PA</t>
  </si>
  <si>
    <t xml:space="preserve"> tra0a82ic4a0a82ic4 anoar os-arabiensis ox-773 pe-4 sv</t>
  </si>
  <si>
    <t>Debaryomyces hansenii (strain ATCC 36239 / CBS 767 / JCM 1990 / NBRC 0083 / IGC 2968)</t>
  </si>
  <si>
    <t>pfam03715, Noc2, Noc2p family.  At least one member, Noc2p from yeast, is required for a late step in 60S subunit export from the nucleus. It has also been shown to co-precipitate with Nug1p, a nuclear GTPase also required for ribosome nucleus export. This family was formerly known as UPF0120.</t>
  </si>
  <si>
    <t>Noc2 | Sporulation-specific_protease_YabG | COG5406 | Adeno_terminal | PTZ00265 | PHA02800 | COG5604 |</t>
  </si>
  <si>
    <t>KOG1064, KOG1064, KOG1064, RAVE (regulator of V-ATPase assembly) complex subunit RAV1/DMX protein, WD repeat superfamily [General function prediction only].</t>
  </si>
  <si>
    <t>smart00404, PTPc_motif, Protein tyrosine phosphatase, catalytic domain motif.</t>
  </si>
  <si>
    <t xml:space="preserve"> AgamP4_3R:10480613-10481200(+) </t>
  </si>
  <si>
    <t>AGAP010018-RA</t>
  </si>
  <si>
    <t xml:space="preserve">DNA replication complex GINS protein pSF2 </t>
  </si>
  <si>
    <t>V</t>
  </si>
  <si>
    <t>DNA replication complex GINS protein pSF2</t>
  </si>
  <si>
    <t>DNA replication complex GINS protein PSF2</t>
  </si>
  <si>
    <t>AGAP010018-PA</t>
  </si>
  <si>
    <t xml:space="preserve"> trqtxvqtxv anoga dna replication complex gins protein psf2 os-ox-76 gn-32922 pe-3 sv-2</t>
  </si>
  <si>
    <t>cd11712, GINS_A_psf2, Alpha-helical domain of GINS complex protein Psf2 (partner of Sld5 2).  Psf2 is a component of GINS tetrameric protein complex and has been found to play important roles in normal eye development in Xenopus laevis. GINS is a complex of four subunits (Sld5, Psf1, Psf2 and Psf3) that is involved in both initiation and elongation stages of eukaryotic chromosome replication. Besides being essential for the maintenance of genomic integrity, GINS plays a central role in coordinating DNA replication with cell cycle checkpoints and is involved in cell growth. The eukaryotic GINS subunits are homologous and homologs are also found in the archaea; the complex is not found in bacteria. The four subunits of the complex consist of two domains each, termed the alpha-helical (A) and beta-strand (B) domains. The A and B domains of Sld5/Psf1 are permuted with respect to Psf1/Psf3.</t>
  </si>
  <si>
    <t>GINS_A_psf2 4e-031| COG5093 2e-017| Sld5 1e-014| ING 0.087| TruD | GAT_GGA3 | ELFV_dehydrog | PTZ00362 | PRK12282 | PRK09414 |</t>
  </si>
  <si>
    <t>KOG4071, KOG4071, KOG4071, Uncharacterized conserved protein [Function unknown].</t>
  </si>
  <si>
    <t>pfam05916, Sld5, GINS complex protein.  The eukaryotic GINS complex is essential for the initiation and elongation phases of DNA replication. It consists of four paralogous protein subunits (Sld5, Psf1, Psf2 and Psf3), all of which are included in this family. The GINS complex is conserved from yeast to humans, and has been shown in human to bind directly to DNA primase.</t>
  </si>
  <si>
    <t>smart00315, RGS, Regulator of G protein signalling domain.  RGS family members are GTPase-activating proteins for heterotrimeric G-protein alpha-subunits.</t>
  </si>
  <si>
    <t xml:space="preserve"> AgamP4_3R:47753852-47754404(-) </t>
  </si>
  <si>
    <t>AGAP004768-RA</t>
  </si>
  <si>
    <t xml:space="preserve">periodic tryptophan protein 1 </t>
  </si>
  <si>
    <t>periodic tryptophan protein 1</t>
  </si>
  <si>
    <t>WD40 repeat-containing protein</t>
  </si>
  <si>
    <t>AGAP004768-PA</t>
  </si>
  <si>
    <t xml:space="preserve"> periodic tryptophan protein</t>
  </si>
  <si>
    <t>WD40 4e-019| COG2319 3e-018| 7WD40 8e-015| PLN00181 8e-005| PTZ00420 1e-004| PTZ00421 9e-004| WD40 0.001| WD40 0.006| Nop14 0.048| Septin 0.068|</t>
  </si>
  <si>
    <t xml:space="preserve"> AgamP4_2L:3288119-3290025(-) </t>
  </si>
  <si>
    <t>AGAP006929-RA</t>
  </si>
  <si>
    <t>AGAP006929-PA</t>
  </si>
  <si>
    <t xml:space="preserve"> tra0a43yjd0a0a43yjd0 anoar zf-ad domain-containing protein os-arabiensis ox-773 pe-4 sv</t>
  </si>
  <si>
    <t>Oryza sativa subsp. japonica</t>
  </si>
  <si>
    <t>zf-AD 1e-007| zf-AD 4e-005| DUF4806 0.002| Cupin_6 | PRK05636 | SEC62 | PRK03670 |</t>
  </si>
  <si>
    <t>KOG2939, KOG2939, KOG2939, Uncharacterized conserved protein [Function unknown].</t>
  </si>
  <si>
    <t xml:space="preserve"> AgamP4_2L:40093379-40095828(-) </t>
  </si>
  <si>
    <t xml:space="preserve">1 | 651    GPMRFVR|FN  0.536 *ProP*  | </t>
  </si>
  <si>
    <t>AGAP028683-RA</t>
  </si>
  <si>
    <t>AGAP012753-PA partial</t>
  </si>
  <si>
    <t>AGAP028683-PA</t>
  </si>
  <si>
    <t xml:space="preserve"> transcription factor ouib-like protein</t>
  </si>
  <si>
    <t>zf-AD 3e-007| ZF_C2H2 3e-006| ZF_C2H2 5e-006| zf-AD 6e-004| Alanine_zipper 0.007| ATP-synt_B 0.049| FdhE 0.067| PRK00409 0.071| CobA_CobO_BtuR | AtpF |</t>
  </si>
  <si>
    <t xml:space="preserve"> AgamP4_3L:23885277-23886594(+) </t>
  </si>
  <si>
    <t>AGAP001484-RA</t>
  </si>
  <si>
    <t xml:space="preserve">AP-3 complex subunit mu </t>
  </si>
  <si>
    <t>AP-3 complex subunit mu</t>
  </si>
  <si>
    <t>Adaptor complexes medium subunit family</t>
  </si>
  <si>
    <t>AGAP001484-PA</t>
  </si>
  <si>
    <t xml:space="preserve"> c-terminal domain of medium mu3 subunit in adaptor protein</t>
  </si>
  <si>
    <t>cd09261, AP-3_Mu3B_Cterm, C-terminal domain of medium Mu3B subunit in neuron-specific adaptor protein (AP) complex AP-3. AP complexes participate in the formation of intracellular coated transport vesicles and select cargo molecules for incorporation into the coated vesicles in the late secretory and endocytic pathways. There are four AP complexes, AP-1, AP-2, AP-3, and AP-4, described in various eukaryotic organisms. Each AP complex consists of four subunits: two large chains (one each of gamma/alpha/delta/epsilon and beta1-4, respectively), a medium mu chain (mu1-4), and a small sigma chain (sigma1-4). Each of the four subunits from the different AP complexes exhibits similarity with each other. This subfamily corresponds to the C-terminal domain of heterotetrameric adaptor protein complex 3 (AP-3) medium mu3B subunit encoded by ap3m2 gene. Mu3B is specifically expressed in neurons and neuroendocrine cells. Neuron-specific AP-3 appears to be involved in synaptic vesicle biogenesis from endosomes in neurons and plays an important role in synaptic transmission in the central nervous system. Unlike AP-1 and AP-2, which function in conjunction with clathrin which is a scaffolding protein participating in the formation of coated vesicles, the nature of the outer shell of neuron-specific AP-3 containing coats remains to be elucidated. Membrane-anchored cargo molecules interact with adaptors through short sorting signals in their cytosolic segments. Tyrosine-based endocytotic signals are one of the most important sorting signals. They are of the form Y-X-X-Phi, where Y is tyrosine, X is any amino acid and Phi is a bulky hydrophobic residue that can be Leu, Ile, Met, Phe, or Val. These kinds of sorting signals can be recognized by the C-terminal domain of AP-3 mu3B subunit, also known as Y-X-X-Phi signal-binding domain that contains two hydrophobic pockets, one for the tyrosine-binding and one for the bulky hydrophobic residue-binding.</t>
  </si>
  <si>
    <t>AP-3_Mu3B_Cterm e-109| AP-3_Mu3_Cterm e-104| AP-3_Mu3A_Cterm e-103| Adap_comp_sub 8e-082| AP_MHD_Cterm 2e-057| AP-1_Mu1_Cterm 4e-037| AP-2_Mu2_Cterm 2e-034| AP-1_Mu1A_Cterm 4e-030| AP-1_Mu1B_Cterm 1e-029| AP-4_Mu4_Cterm 3e-025|</t>
  </si>
  <si>
    <t>KOG2740, KOG2740, KOG2740, Clathrin-associated protein medium chain [Intracellular trafficking, secretion, and vesicular transport].</t>
  </si>
  <si>
    <t>pfam00928, Adap_comp_sub, Adaptor complexes medium subunit family. This family also contains members which are coatomer subunits.</t>
  </si>
  <si>
    <t>smart00351, PAX, Paired Box domain.</t>
  </si>
  <si>
    <t xml:space="preserve"> AgamP4_2R:5427061-5428794(-) </t>
  </si>
  <si>
    <t>AGAP012523-RA</t>
  </si>
  <si>
    <t xml:space="preserve">ATP-dependent RNA helicase DDX42 </t>
  </si>
  <si>
    <t>ATP-dependent RNA helicase DDX42</t>
  </si>
  <si>
    <t>RNA helicase - probable fragment</t>
  </si>
  <si>
    <t>AGAP012523-PA</t>
  </si>
  <si>
    <t xml:space="preserve"> dead-box helicase domain of dead box protein 42</t>
  </si>
  <si>
    <t>PTZ00110, PTZ00110, helicase; Provisional.</t>
  </si>
  <si>
    <t>PTZ00110 e-123| SrmB e-115| PRK11776 6e-084| DEADc 8e-083| PRK11192 3e-082| PLN00206 5e-067| PRK11634 4e-066| PRK04837 2e-063| PRK04537 2e-063| PRK10590 2e-062|</t>
  </si>
  <si>
    <t>KOG0339, KOG0339, KOG0339, ATP-dependent RNA helicase [RNA processing and modification].</t>
  </si>
  <si>
    <t xml:space="preserve"> AgamP4_UNKN:10902878-10905625(-) </t>
  </si>
  <si>
    <t xml:space="preserve">1 | 784    TMPRKKK|SR  0.502 *ProP*  | </t>
  </si>
  <si>
    <t>AGAP010074-RA</t>
  </si>
  <si>
    <t xml:space="preserve">peroxin 13 </t>
  </si>
  <si>
    <t>Pex13: peroxin 13</t>
  </si>
  <si>
    <t>Peroxisomal biogenesis protein peroxin - 4 predicted membrane helices</t>
  </si>
  <si>
    <t>AGAP010074-PA</t>
  </si>
  <si>
    <t xml:space="preserve"> peroxisomal bioproteinis protein peroxin - 4 predicted membrane helices</t>
  </si>
  <si>
    <t>ExpAA=51.72 First60=0.00 PredHel=3 Topology=i130-152o167-186i228-247o</t>
  </si>
  <si>
    <t>pfam04088, Peroxin-13_N, Peroxin 13, N-terminal region.  Both termini of the Peroxin-13 are oriented to the cytosol. Peroxin-13 is required for peroxisomal association of peroxin-14.</t>
  </si>
  <si>
    <t>Peroxin-13_N 2e-037| SH3_PEX13_eumet 4e-013| PTZ00110 2e-004| SH3 3e-004| SH3 6e-004| SH3_9 0.003| SH3_Myosin-I_fungi 0.005| DUF1517 0.009| SH3_OSTF1 0.072| PRP 0.076|</t>
  </si>
  <si>
    <t>KOG3875, KOG3875, KOG3875, Peroxisomal biogenesis protein peroxin [Intracellular trafficking, secretion, and vesicular transport].</t>
  </si>
  <si>
    <t>smart00326, SH3, Src homology 3 domains.  Src homology 3 (SH3) domains bind to target proteins through sequences containing proline and hydrophobic amino acids. Pro-containing polypeptides may bind to SH3 domains in 2 different binding orientations.</t>
  </si>
  <si>
    <t xml:space="preserve"> AgamP4_3R:48620693-48621953(-) </t>
  </si>
  <si>
    <t>AGAP004551-RA</t>
  </si>
  <si>
    <t xml:space="preserve">gamma-interferon-inducible lysosomal thiol reductase </t>
  </si>
  <si>
    <t>GILT1: gamma-interferon-inducible lysosomal thiol reductase</t>
  </si>
  <si>
    <t>Gamma-interferon inducible lysosomal thiol reductase - signalP detected - GPI anchored</t>
  </si>
  <si>
    <t>imm/secreted Gamma-interferon/gpi</t>
  </si>
  <si>
    <t>AGAP004551-PA</t>
  </si>
  <si>
    <t xml:space="preserve"> gamma-interferon-inducible lysosomal thiol reductase-like isoform x1 - signalP detected - GPI anchored</t>
  </si>
  <si>
    <t>imm/secreted /gpi</t>
  </si>
  <si>
    <t xml:space="preserve"> 18-19</t>
  </si>
  <si>
    <t>ExpAA=9.20 First60=0.22 PredHel=0 Topology=o</t>
  </si>
  <si>
    <t>pfam03227, GILT, Gamma interferon inducible lysosomal thiol reductase (GILT).  This family includes the two characterized human gamma-interferon-inducible lysosomal thiol reductase (GILT) sequences. It also contains several other eukaryotic putative proteins with similarity to GILT. The aligned region contains three conserved cysteine residues. In addition, the two GILT sequences possess a C-X(2)-C motif that is shared by some of the other sequences in the family. This motif is thought to be associated with disulphide bond reduction.</t>
  </si>
  <si>
    <t>GILT 2e-029| Met_dep_hydrolase_D | dCMP_cyt_deam_1 | PRK08418 | PRK08156 |</t>
  </si>
  <si>
    <t>KOG3160, KOG3160, KOG3160, Gamma-interferon inducible lysosomal thiol reductase [Posttranslational modification, protein turnover, chaperones].</t>
  </si>
  <si>
    <t>smart00790, AFOR_N, Aldehyde ferredoxin oxidoreductase, N-terminal domain.  Enzymes of the aldehyde ferredoxin oxidoreductase (AOR) family contain a tungsten cofactor and an 4Fe4S cluster and catalyse the interconversion of aldehydes to carboxylates. This family includes AOR, formaldehyde ferredoxin oxidoreductase (FOR), glyceraldehyde-3-phosphate ferredoxin oxidoreductase (GAPOR), all isolated from hyperthermophilic archea. carboxylic acid reductase found in clostridia. and hydroxycarboxylate viologen oxidoreductase from Proteus vulgaris, the sole member of the AOR family containing molybdenum. GAPOR may be involved in glycolysis. but the functions of the other proteins are not yet clear. AOR has been proposed to be the primary enzyme responsible for oxidising the aldehydes that are produced by the 2-keto acid oxidoreductases.</t>
  </si>
  <si>
    <t xml:space="preserve"> AgamP4_2R:57539514-57542459(+) </t>
  </si>
  <si>
    <t>AGAP004434-RA</t>
  </si>
  <si>
    <t xml:space="preserve">histone acetyltransferase </t>
  </si>
  <si>
    <t>Pcaf: histone acetyltransferase</t>
  </si>
  <si>
    <t>Histone acetyltransferase SAGA/ADA catalytic subunit PCAF/GCN5</t>
  </si>
  <si>
    <t>AGAP004434-PA</t>
  </si>
  <si>
    <t xml:space="preserve"> transcription factor involved in chromatin remodeling</t>
  </si>
  <si>
    <t>pfam06466, PCAF_N, PCAF (P300/CBP-associated factor) N-terminal domain.  This region is spliced out of human KAT2A isoform 2. It is predicted to be of a mixed alpha/beta fold - though predominantly helical.</t>
  </si>
  <si>
    <t>PCAF_N e-115| Bromo_gcn5_like 2e-043| COG5076 5e-031| BROMO 2e-029| Bromodomain 2e-024| Bromo_Acf1_like 2e-021| Bromo_SPT7_like 1e-018| Bromo_Brdt_II_like 4e-018| Bromodomain 2e-017| Bromo_BAZ2A_B_like 2e-017|</t>
  </si>
  <si>
    <t>KOG1472, KOG1472, KOG1472, Histone acetyltransferase SAGA/ADA, catalytic subunit PCAF/GCN5 and related proteins [Chromatin structure and dynamics, Transcription].</t>
  </si>
  <si>
    <t>smart00297, BROMO, bromo domain.</t>
  </si>
  <si>
    <t xml:space="preserve"> AgamP4_2R:55991864-55994644(-) </t>
  </si>
  <si>
    <t>AGAP010235-RB</t>
  </si>
  <si>
    <t xml:space="preserve">TBC1 domain family member 24 </t>
  </si>
  <si>
    <t>TBC1 domain family member 24</t>
  </si>
  <si>
    <t>Rab-GAPs</t>
  </si>
  <si>
    <t>AGAP010235-PB</t>
  </si>
  <si>
    <t xml:space="preserve"> rab-gtpase activating protein</t>
  </si>
  <si>
    <t>smart00584, TLDc, domain in TBC and LysM domain containing proteins.</t>
  </si>
  <si>
    <t>TLDc 6e-048| TLD 2e-025| OXR1 7e-013| TBC 3e-008| RabGAP-TBC 3e-008| COG5210 0.003| Type_III_YscG | WecC | PTZ00386 |</t>
  </si>
  <si>
    <t>KOG2801, KOG2801, KOG2801, Probable Rab-GAPs [Intracellular trafficking, secretion, and vesicular transport].</t>
  </si>
  <si>
    <t>pfam07534, TLD, TLD.  This domain is predicted to be an enzyme and is often found associated with pfam01476. It's structure consists of a beta-sandwich surrounded by two helices and two one-turn helices.</t>
  </si>
  <si>
    <t xml:space="preserve"> AgamP4_3R:51345177-51357275(+) </t>
  </si>
  <si>
    <t>AGAP007728-RA</t>
  </si>
  <si>
    <t xml:space="preserve">mitochondrial intermediate peptidase </t>
  </si>
  <si>
    <t>mitochondrial intermediate peptidase</t>
  </si>
  <si>
    <t>mitochondrial intermediate peptidase-like</t>
  </si>
  <si>
    <t>AGAP007728-PA</t>
  </si>
  <si>
    <t>cd06457, M3A_MIP, Peptidase M3 mitochondrial intermediate peptidase (MIP).  Peptidase M3 mitochondrial intermediate peptidase (MIP; EC 3.4.24.59) belongs to the widespread subfamily M3A, that show similarity to the Thimet oligopeptidase (TOP). It is one of three peptidases responsible for the proteolytic processing of both, nuclear and mitochondrial encoded precursor polypeptides targeted to the various subcompartments of the mitochondria. It cleaves intermediate-size proteins initially processed by mitochondrial processing peptidase (MPP) to yield a processing intermediate with a typical N-terminal octapeptide that is sequentially cleaved by MIP to mature-size protein.  MIP cleaves precursor proteins of respiratory components, including subunits of the electron transport chain and tri-carboxylic acid cycle enzymes, and components of the mitochondrial genetic machinery, including ribosomal proteins, translation factors, and proteins required for mitochondrial DNA metabolism. It has been suggested that the human MIP (HMIP polypeptide; gene symbol MIPEP) may be one of the loci predicted to influence the clinical manifestations of Friedreich's ataxia (FRDA), an autosomal recessive neurodegenerative disease caused by lack of human frataxin. These proteins are enriched in cysteine residues, two of which are highly conserved, suggesting their importance to stability as well as in formation of metal binding sites, thus playing a role in MIP activity.</t>
  </si>
  <si>
    <t>M3A_MIP | M3A e-171| M3A_TOP e-103| Dcp 2e-099| Peptidase_M3 1e-097| M3A_DCP 4e-073| PRK10911 3e-046| PRK10280 2e-034| M3_like 4e-017| COG1164 1e-007|</t>
  </si>
  <si>
    <t>KOG2090, KOG2090, KOG2090, Metalloendopeptidase family - mitochondrial intermediate peptidase [Posttranslational modification, protein turnover, chaperones].</t>
  </si>
  <si>
    <t>pfam01432, Peptidase_M3, Peptidase family M3.  This is the Thimet oligopeptidase family, large family of mammalian and bacterial oligopeptidases that cleave medium sized peptides. The group also contains mitochondrial intermediate peptidase which is encoded by nuclear DNA but functions within the mitochondria to remove the leader sequence.</t>
  </si>
  <si>
    <t>smart01060, Catalase, Catalases are antioxidant enzymes that catalyse the conversion of hydrogen peroxide to water and molecular oxygen, serving to protect cells from its toxic effects.  Hydrogen peroxide is produced as a consequence of oxidative cellular metabolism and can be converted to the highly reactive hydroxyl radical via transition metals, this radical being able to damage a wide variety of molecules within a cell, leading to oxidative stress and cell death. Catalases act to neutralise hydrogen peroxide toxicity, and are produced by all aerobic organisms ranging from bacteria to man. Most catalases are mono-functional, haem-containing enzymes, although there are also bifunctional haem-containing peroxidase/catalases that are closely related to plant peroxidases, and non-haem, manganese-containing catalases that are found in bacteria.</t>
  </si>
  <si>
    <t xml:space="preserve"> AgamP4_2L:49340930-49343147(-) </t>
  </si>
  <si>
    <t xml:space="preserve">1 | 83    SPNRSRK|MV  0.546 *ProP*  | </t>
  </si>
  <si>
    <t>AGAP004509-RA</t>
  </si>
  <si>
    <t xml:space="preserve">pre-mRNA-splicing factor RBM22/SLT11 </t>
  </si>
  <si>
    <t>pre-mRNA-splicing factor RBM22/SLT11</t>
  </si>
  <si>
    <t>pre-mRNA-splicing factor RBM22</t>
  </si>
  <si>
    <t>AGAP004509-PA</t>
  </si>
  <si>
    <t xml:space="preserve"> pre-mrna-splicing factor</t>
  </si>
  <si>
    <t>cd12224, RRM_RBM22, RNA recognition motif (RRM) found in Pre-mRNA-splicing factor RBM22 and similar proteins. This subgroup corresponds to the RRM of RBM22 (also known as RNA-binding motif protein 22, or Zinc finger CCCH domain-containing protein 16), a newly discovered RNA-binding motif protein which belongs to the SLT11 gene family. SLT11 gene encoding protein (Slt11p) is a splicing factor in yeast, which is required for spliceosome assembly. Slt11p has two distinct biochemical properties: RNA-annealing and RNA-binding activities. RBM22 is the homolog of SLT11 in vertebrate. It has been reported to be involved in pre-splicesome assembly and to interact with the Ca2+-signaling protein ALG-2. It also plays an important role in embryogenesis. RBM22 contains a conserved RNA recognition motif (RRM), also known as RBD (RNA binding domain) or RNP (ribonucleoprotein domain), a zinc finger of the unusual type C-x8-C-x5-C-x3-H, and a C-terminus that is unusually rich in the amino acids Gly and Pro, including sequences of tetraprolines.</t>
  </si>
  <si>
    <t>RRM_RBM22 1e-035| RRM_SF 2e-011| RRM 5e-011| RRM_RBM18 3e-010| RRM3_NGR1_NAM8_like 8e-010| RRM_cwf2 1e-009| COG0724 2e-009| RRM_SCAF4_SCAF8 4e-009| RRM_SLT11 1e-008| RRM_1 3e-008|</t>
  </si>
  <si>
    <t>KOG0153, KOG0153, KOG0153, Predicted RNA-binding protein (RRM superfamily) [General function prediction only].</t>
  </si>
  <si>
    <t xml:space="preserve"> AgamP4_2R:57179204-57180696(+) </t>
  </si>
  <si>
    <t xml:space="preserve">1 | 67    ARMRFKK|TE  0.504 *ProP*  | </t>
  </si>
  <si>
    <t>AGAP011404-RA</t>
  </si>
  <si>
    <t>C2H2-type Zn-finger protein</t>
  </si>
  <si>
    <t>AGAP011404-PA</t>
  </si>
  <si>
    <t>ZF_C2H2 1e-011| zf-AD 5e-007| ZF_C2H2 3e-006| zf-AD 6e-004| ZF_C2H2 | recJ | zf-C2H2 | RPE65 | PHA00733 | COG3464 |</t>
  </si>
  <si>
    <t xml:space="preserve"> AgamP4_3L:23873908-23875307(-) </t>
  </si>
  <si>
    <t xml:space="preserve">1 | 238    RKQRVKK|GS  0.546 *ProP*  | </t>
  </si>
  <si>
    <t>AGAP004841-RD</t>
  </si>
  <si>
    <t>myosin-I-binding protein</t>
  </si>
  <si>
    <t>AGAP004841-PD</t>
  </si>
  <si>
    <t xml:space="preserve"> f-actin-uncapping protein lrrc16a</t>
  </si>
  <si>
    <t>ExpAA=1.56 First60=0.01 PredHel=0 Topology=o</t>
  </si>
  <si>
    <t>pfam16000, CARMIL_C, CARMIL C-terminus.  This domain is found near to the C-terminus of leucine-rich repeat-containing proteins in the CARMIL family. In leucine-rich repeat-containing protein 16A (LRRC16A) it includes the region responsible for interaction with F-actin-capping protein subunit alpha-2 (CAPZA2).</t>
  </si>
  <si>
    <t>CARMIL_C 2e-063| LRR_RI 7e-010| LRR_RI 2e-007| LRR_AMN1 0.002| HpnN | PRK13930 | SEC1 | LRR_1 | PRK06059 | TonB |</t>
  </si>
  <si>
    <t>KOG4242, KOG4242, KOG4242, Predicted myosin-I-binding protein [Cell motility].</t>
  </si>
  <si>
    <t xml:space="preserve">Cell motility </t>
  </si>
  <si>
    <t>smart00368, LRR_RI, Leucine rich repeat, ribonuclease inhibitor type.</t>
  </si>
  <si>
    <t xml:space="preserve"> AgamP4_2L:4381262-4388124(-) </t>
  </si>
  <si>
    <t xml:space="preserve">2 | 993    VKGRPKR|AK  0.646 *ProP*  | 1134    TPVRESR|PV  0.595 *ProP*  | </t>
  </si>
  <si>
    <t>AGAP002931-RB</t>
  </si>
  <si>
    <t xml:space="preserve">ADP-ribosylation factor 2 </t>
  </si>
  <si>
    <t>Arf2: ADP-ribosylation factor 2</t>
  </si>
  <si>
    <t>GTP-binding ADP-ribosylation factor-like protein ARL1</t>
  </si>
  <si>
    <t>AGAP002931-PB</t>
  </si>
  <si>
    <t xml:space="preserve"> adp-ribosylation factor-1</t>
  </si>
  <si>
    <t>ExpAA=0.09 First60=0.09 PredHel=0 Topology=o</t>
  </si>
  <si>
    <t>cd04150, Arf1_5_like, ADP-ribosylation factor-1 (Arf1) and ADP-ribosylation factor-5 (Arf5).  The Arf1-Arf5-like subfamily contains Arf1, Arf2, Arf3, Arf4, Arf5, and related proteins. Arfs1-5 are soluble proteins that are crucial for assembling coat proteins during vesicle formation. Each contains an N-terminal myristoylated amphipathic helix that is folded into the protein in the GDP-bound state. GDP/GTP exchange exposes the helix, which anchors to the membrane. Following GTP hydrolysis, the helix dissociates from the membrane and folds back into the protein. A general feature of Arf1-5 signaling may be the cooperation of two Arfs at the same site. Arfs1-5 are generally considered to be interchangeable in function and location, but some specific functions have been assigned. Arf1 localizes to the early/cis-Golgi, where it is activated by GBF1 and recruits the coat protein COPI. It also localizes to the trans-Golgi network (TGN), where it is activated by BIG1/BIG2 and recruits the AP1, AP3, AP4, and GGA proteins. Humans, but not rodents and other lower eukaryotes, lack Arf2. Human Arf3 shares 96% sequence identity with Arf1 and is believed to generally function interchangeably with Arf1. Human Arf4 in the activated (GTP-bound) state has been shown to interact with the cytoplasmic domain of epidermal growth factor receptor (EGFR) and mediate the EGF-dependent activation of phospholipase D2 (PLD2), leading to activation of the activator protein 1 (AP-1) transcription factor. Arf4 has also been shown to recognize the C-terminal sorting signal of rhodopsin and regulate its incorporation into specialized post-Golgi rhodopsin transport carriers (RTCs). There is some evidence that Arf5 functions at the early-Golgi and the trans-Golgi to affect Golgi-associated alpha-adaptin homology Arf-binding proteins (GGAs).</t>
  </si>
  <si>
    <t>Arf1_5_like 6e-096| PLN00223 1e-094| PTZ00133 1e-093| ARF 2e-086| Arf 1e-081| Arf_Arl 1e-078| Arf6 4e-078| Arl1 3e-069| Arl5_Arl8 2e-062| ARLTS1 2e-053|</t>
  </si>
  <si>
    <t>KOG0070, KOG0070, KOG0070, GTP-binding ADP-ribosylation factor Arf1 [Intracellular trafficking, secretion, and vesicular transport].</t>
  </si>
  <si>
    <t xml:space="preserve"> AgamP4_2R:29823850-29824666(+) </t>
  </si>
  <si>
    <t>AGAP011107-RA</t>
  </si>
  <si>
    <t xml:space="preserve">glutaredoxin </t>
  </si>
  <si>
    <t>GRX1: glutaredoxin</t>
  </si>
  <si>
    <t>Glutaredoxin</t>
  </si>
  <si>
    <t>AGAP011107-PA</t>
  </si>
  <si>
    <t xml:space="preserve"> gnlcdd274016</t>
  </si>
  <si>
    <t>cd03419, GRX_GRXh_1_2_like, Glutaredoxin (GRX) family, GRX human class 1 and 2 (h_1_2)-like subfamily; composed of proteins similar to human GRXs, approximately 10 kDa in size, and proteins containing a GRX or GRX-like domain. GRX is a glutathione (GSH) dependent reductase, catalyzing the disulfide reduction of target proteins such as ribonucleotide reductase. It contains a redox active CXXC motif in a TRX fold and uses a similar dithiol mechanism employed by TRXs for intramolecular disulfide bond reduction of protein substrates. Unlike TRX, GRX has preference for mixed GSH disulfide substrates, in which it uses a monothiol mechanism where only the N-terminal cysteine is required. The flow of reducing equivalents in the GRX system goes from NADPH -==&gt;  GSH reductase -==&gt;  GSH -==&gt;  GRX -==&gt;  protein substrates. By altering the redox state of target proteins, GRX is involved in many cellular functions including DNA synthesis, signal transduction and the defense against oxidative stress. Different classes are known including human GRX1 and GRX2, which are members of this subfamily. Also included in this subfamily are the N-terminal GRX domains of proteins similar to human thioredoxin reductase 1 and 3.</t>
  </si>
  <si>
    <t>GRX_GRXh_1_2_like 4e-034| Uncharacterized_monothiol_glutaredoxin...   119   3e-028 3e-028| GRX_family 4e-018| Glutaredoxin 2e-015| GrxC 7e-015| GRX_bact 2e-011| glutaredoxin-like_protein 6e-011| GRX_GRXb_1_3_like 5e-010| probable_peroxiredoxin/glutaredoxin_fa...    58   2e-009 2e-009| GRX_hybridPRX5 2e-009|</t>
  </si>
  <si>
    <t>KOG1752, KOG1752, KOG1752, Glutaredoxin and related proteins [Posttranslational modification, protein turnover, chaperones].</t>
  </si>
  <si>
    <t>pfam00462, Glutaredoxin, Glutaredoxin.</t>
  </si>
  <si>
    <t>smart00325, RhoGEF, Guanine nucleotide exchange factor for Rho/Rac/Cdc42-like GTPases.  Guanine nucleotide exchange factor for Rho/Rac/Cdc42-like GTPases Also called Dbl-homologous (DH) domain. It appears that PH domains invariably occur C-terminal to RhoGEF/DH domains. Improved coverage.</t>
  </si>
  <si>
    <t xml:space="preserve"> AgamP4_3L:17002432-17003006(-) </t>
  </si>
  <si>
    <t>AGAP001158-RA</t>
  </si>
  <si>
    <t>AGAP001158-PA</t>
  </si>
  <si>
    <t xml:space="preserve"> family m100 unassigned peptidase</t>
  </si>
  <si>
    <t>pfam10263, SprT-like, SprT-like family.  This family represents a domain found in eukaryotes and prokaryotes. The domain contains a characteristic motif of the zinc metallopeptidases. This family includes the bacterial SprT protein.</t>
  </si>
  <si>
    <t>SprT-like 1e-017| SprT 5e-013| ZnF_Rad18 0.011| PRK14844 | DUF5036 | DA1-like | AslB | six-Cys-in-45_modification_radical_SAM...    29   5.0   | DUF3267 | SQR_TypeB_1_TM |</t>
  </si>
  <si>
    <t>KOG3931, KOG3931, KOG3931, Uncharacterized conserved protein [Function unknown].</t>
  </si>
  <si>
    <t>smart00731, SprT, SprT homologues.  Predicted to have roles in transcription elongation. Contains a conserved HExxH motif, indicating a metalloprotease function.</t>
  </si>
  <si>
    <t xml:space="preserve"> AgamP4_2R:656192-657815(-) </t>
  </si>
  <si>
    <t xml:space="preserve">1 | 473    SSVRKPR|HF  0.586 *ProP*  | </t>
  </si>
  <si>
    <t>AGAP002475-RA</t>
  </si>
  <si>
    <t>AGAP002475-PA</t>
  </si>
  <si>
    <t xml:space="preserve"> first tudor domain found in tudor domain-containing protein 7</t>
  </si>
  <si>
    <t>pfam00567, TUDOR, Tudor domain.</t>
  </si>
  <si>
    <t>TUDOR 3e-015| TUDOR 1e-008| TUDOR 1e-006| DUF2362 | metallo-hydrolase-like_MBL-fold | PCRF | ZnF_C3H1 | hypothetical_protein_BL1641 | ligD | ArgG |</t>
  </si>
  <si>
    <t>KOG2039, KOG2039, KOG2039, Transcriptional coactivator p100 [Transcription].</t>
  </si>
  <si>
    <t xml:space="preserve"> AgamP4_2R:21854891-21856897(-) </t>
  </si>
  <si>
    <t>AGAP004515-RA</t>
  </si>
  <si>
    <t>general transcriptional corepressor trfA-like - probable fragment - 11 OH-glycosylation sites -  11 NetOglyc sites</t>
  </si>
  <si>
    <t>AGAP004515-PA</t>
  </si>
  <si>
    <t xml:space="preserve"> os-coluzzii ox-834 pe-4 sv - 11 OH-glycosylation sites -  11 NetOglyc sites</t>
  </si>
  <si>
    <t>retinal_rod | Oxygen-dependent_choline_dehydrogenase...    30   2.3   | DUF1509 | Nup188 | MIP-T3 | Ribophorin_I | Transglut_prok | PAP1 | PHA03269 |</t>
  </si>
  <si>
    <t>KOG1899, KOG1899, KOG1899, LAR transmembrane tyrosine phosphatase-interacting protein liprin [General function prediction only].</t>
  </si>
  <si>
    <t>pfam07420, DUF1509, Protein of unknown function (DUF1509).  This family consists of several uncharacterized viral proteins from the Marek's disease-like viruses. Members of this family are typically around 400 residues in length. The function of this family is unknown.</t>
  </si>
  <si>
    <t>smart00003, NH, Neurohypophysial hormones.  Vasopressin/oxytocin gene family.</t>
  </si>
  <si>
    <t xml:space="preserve"> AgamP4_2R:57252167-57253507(-) </t>
  </si>
  <si>
    <t>AGAP013053-RA</t>
  </si>
  <si>
    <t>AGAP013053-PA</t>
  </si>
  <si>
    <t xml:space="preserve"> trans-golgi network integral membrane protein 1</t>
  </si>
  <si>
    <t>ExpAA=16.73 First60=0.00 PredHel=1 Topology=o365-384i</t>
  </si>
  <si>
    <t>COG4547, CobT, Cobalamin biosynthesis protein CobT (nicotinate-mononucleotide:5, 6-dimethylbenzimidazole phosphoribosyltransferase) [Coenzyme metabolism].</t>
  </si>
  <si>
    <t>CobT 0.014| PHA02664 | PRK14022 | Sre | AAA_35 | PRK13700 | RRM1_RBM19_MRD1 | RNA_pol_Rpb2_3 | LuxE | retinal_rod |</t>
  </si>
  <si>
    <t>KOG0559, KOG0559, KOG0559, Dihydrolipoamide succinyltransferase (2-oxoglutarate dehydrogenase, E2 subunit) [Energy production and conversion].</t>
  </si>
  <si>
    <t>pfam03125, Sre, C. elegans Sre G protein-coupled chemoreceptor. Caenorhabditis elegans Sre proteins are candidate chemosensory receptors. There are four main recognized groups of such receptors: Odr-10, Sra, Sro, and Srg. Sre (this family), Sra pfam02117 and Srb pfam02175 comprise the Sra group. All of the above receptors are thought to be G protein-coupled seven transmembrane domain proteins. The existence of several different chemosensory receptors underlies the fact that in spite of having only 20-30 chemosensory neurones, C. elegans detects hundreds of different chemicals, with the ability to discern individual chemicals among combinations.</t>
  </si>
  <si>
    <t>smart00835, Cupin_1, Cupin.  This family represents the conserved barrel domain of the 'cupin' superfamily ('cupa' is the Latin term for a small barrel). This family contains 11S and 7S plant seed storage proteins, and germins. Plant seed storage proteins provide the major nitrogen source for the developing plant.</t>
  </si>
  <si>
    <t xml:space="preserve"> AgamP4_2R:57708225-57709556(+) </t>
  </si>
  <si>
    <t>AGAP004593.R604</t>
  </si>
  <si>
    <t>EH domain-containing protein 1</t>
  </si>
  <si>
    <t>VectorBase: AGAP004593</t>
  </si>
  <si>
    <t>AGAP000660-RA</t>
  </si>
  <si>
    <t>Transcription factor TMF TATA element modulatory factor - probable fragment</t>
  </si>
  <si>
    <t>AGAP000660-PA</t>
  </si>
  <si>
    <t xml:space="preserve"> tata element modulatory factor</t>
  </si>
  <si>
    <t>pfam12325, TMF_TATA_bd, TATA element modulatory factor 1 TATA binding.  This is the C-terminal conserved coiled coil region of a family of TATA element modulatory factor 1 proteins conserved in eukaryotes. The proteins bind to the TATA element of some RNA polymerase II promoters and repress their activity. by competing with the binding of TATA binding protein. TMF1_TATA_bd is the most conserved part of the TMFs. TMFs are evolutionarily conserved golgins that bind Rab6, a ubiquitous ras-like GTP-binding Golgi protein, and contribute to Golgi organisation in animal and plant cells. The Rab6-binding domain appears to be the same region as this C-terminal family.</t>
  </si>
  <si>
    <t>TMF_TATA_bd 2e-020| Smc 2e-013| SbcC 6e-013| Chromosome_partition_protein_Smc 1e-012| TMF_DNA_bd 5e-012| chromosome_segregation_protein_related...    59   1e-008 1e-008| PRK03918 2e-008| DUF3584 9e-007| PTZ00121 2e-006| SMC_N 6e-006|</t>
  </si>
  <si>
    <t>KOG4673, KOG4673, KOG4673, Transcription factor TMF, TATA element modulatory factor [Transcription].</t>
  </si>
  <si>
    <t xml:space="preserve"> AgamP4_X:11750947-11754470(+) </t>
  </si>
  <si>
    <t xml:space="preserve">1 | 633    ETERLKR|SL  0.795 *ProP*  | </t>
  </si>
  <si>
    <t>AGAP010453-RA</t>
  </si>
  <si>
    <t xml:space="preserve">ribosome biogenesis protein NSA1 </t>
  </si>
  <si>
    <t>ribosome biogenesis protein NSA1</t>
  </si>
  <si>
    <t>AGAP010453-PA</t>
  </si>
  <si>
    <t xml:space="preserve"> tra0as4h4v4a0as4h4v4 anoga ribosome bioproteinis protein nsa os-ox-76 pe-4 sv</t>
  </si>
  <si>
    <t>WD40 5e-010| 7WD40 7e-010| COG2319 1e-006| WD40 0.004| WD40 0.022| BBS2_Mid 0.034| RNA_pol_Rpb1_2 | PRK14701 | 7tmA_EBI2 | PRK12357 |</t>
  </si>
  <si>
    <t>KOG3881, KOG3881, KOG3881, Uncharacterized conserved protein [Function unknown].</t>
  </si>
  <si>
    <t xml:space="preserve"> AgamP4_3L:3870970-3872332(-) </t>
  </si>
  <si>
    <t>AGAP005044-RA</t>
  </si>
  <si>
    <t>COPII vesicle protein</t>
  </si>
  <si>
    <t>AGAP005044-PA</t>
  </si>
  <si>
    <t xml:space="preserve"> endoplasmic reticulum-golgi intermediate compartment protein 2</t>
  </si>
  <si>
    <t>ExpAA=23.94 First60=6.82 PredHel=0 Topology=o</t>
  </si>
  <si>
    <t>pfam07970, COPIIcoated_ERV, Endoplasmic reticulum vesicle transporter.  This family is conserved from plants and fungi to humans. Erv46 works in close conjunction with Erv41 and together they form a complex which cycles between the endoplasmic reticulum and Golgi complex. Erv46-41 interacts strongly with the endoplasmic reticulum glucosidase II. Mammalian glucosidase II comprises a catalytic alpha-subunit and a 58 kDa beta subunit, which is required for ER localization. All proteins identified biochemically as Erv41p-Erv46p interactors are localized to the early secretory pathway and are involved in protein maturation and processing in the ER and/or sorting into COPII vesicles for transport to the Golgi.</t>
  </si>
  <si>
    <t>COPIIcoated_ERV 2e-041| ERGIC_N 2e-022| omega-3_polyunsaturated_fatty_acid_syn...    32   0.45  | PBP2_iGluR_ligand_binding | EscV | MupV_like_SDR_e |</t>
  </si>
  <si>
    <t>KOG2667, KOG2667, KOG2667, COPII vesicle protein [Intracellular trafficking, secretion, and vesicular transport].</t>
  </si>
  <si>
    <t>smart00509, TFS2N, Domain in the N-terminus of transcription elongation factor S-II (and elsewhere).</t>
  </si>
  <si>
    <t xml:space="preserve"> AgamP4_2L:8787362-8791347(-) </t>
  </si>
  <si>
    <t>AGAP007959-RA</t>
  </si>
  <si>
    <t xml:space="preserve"> AgamP4_3R:3317951-3318851(+) </t>
  </si>
  <si>
    <t>AGAP004269-RA</t>
  </si>
  <si>
    <t>AGAP004269-PA</t>
  </si>
  <si>
    <t>ZF_C2H2 3e-022| ZF_C2H2 4e-011| zf-AD 1e-008| zf-AD 1e-008| SFP1 0.001| ZF_C2H2 0.004| zf-H2C2_2 0.009| zf-C2H2 0.017| COG5048 0.022| ZnF_C2H2 0.068|</t>
  </si>
  <si>
    <t xml:space="preserve"> AgamP4_2R:53506480-53508737(+) </t>
  </si>
  <si>
    <t>AGAP009954-RA</t>
  </si>
  <si>
    <t xml:space="preserve">ankyrin repeat domain-containing protein 13C </t>
  </si>
  <si>
    <t>ankyrin repeat domain-containing protein 13C</t>
  </si>
  <si>
    <t>ankyrin repeat protein - probable fragment</t>
  </si>
  <si>
    <t>AGAP009954-PA</t>
  </si>
  <si>
    <t xml:space="preserve"> ankyrin repeat domain-containing protein 13c</t>
  </si>
  <si>
    <t>pfam11904, GPCR_chapero_1, GPCR-chaperone.  This domain, and the associated ANK family repeat pfam00023 domain, together act as a chaperone for biogenesis and folding of the DP receptor for prostaglandin D2.</t>
  </si>
  <si>
    <t>GPCR_chapero_1 1e-075| ANK 3e-006| Ank_2 8e-004| ANK 0.001| Ank_4 0.042| PLN03192 | PHA02874 | Arp | PHA02875 | CuRO_3_CotA_like |</t>
  </si>
  <si>
    <t>KOG0522, KOG0522, KOG0522, Ankyrin repeat protein [General function prediction only].</t>
  </si>
  <si>
    <t xml:space="preserve"> AgamP4_3R:46298112-46302214(+) </t>
  </si>
  <si>
    <t>AGAP004844-RA</t>
  </si>
  <si>
    <t xml:space="preserve">suppressor of cytokine signaling, invertebrate </t>
  </si>
  <si>
    <t>suppressor of cytokine signaling, invertebrate</t>
  </si>
  <si>
    <t>suppressor of cytokine signaling 6</t>
  </si>
  <si>
    <t>AGAP004844-PA</t>
  </si>
  <si>
    <t xml:space="preserve"> tra0as4gmba0as4gmb anoga suppressor of cytokine signaling</t>
  </si>
  <si>
    <t>Entamoeba invadens IP1</t>
  </si>
  <si>
    <t>cd09923, SH2_SOCS_family, Src homology 2 (SH2) domain found in suppressor of cytokine signaling (SOCS) family.  SH2 domain found in SOCS proteins. SOCS was first recognized as a group of cytokine-inducible SH2 (CIS) domain proteins comprising eight family members in human (CIS and SOCS1-SOCS7). In addition to the SH2 domain, SOCS proteins have a variable N-terminal domain and a conserved SOCS box in the C-terminal domain. SOCS proteins bind to a substrate via their SH2 domain. The prototypical members, CIS and SOCS1-SOCS3, have been shown to regulate growth hormone signaling in vitro and in a classic negative feedback response compete for binding at phosphotyrosine sites in JAK kinase and receptor pathways to displace effector proteins and target bound receptors for proteasomal degradation. Loss of SOCS activity results in excessive cytokine signaling associated with a variety of hematopoietic, autoimmune, and inflammatory diseases and certain cancers. Members (SOCS4-SOCS7) were identified by their conserved SOCS box, an adapter motif of 3 helices that associates substrate binding domains, such as the SOCS SH2 domain, ankryin, and WD40 with ubiquitin ligase components. These show limited cytokine induction. In general SH2 domains are involved in signal transduction. They typically bind pTyr-containing ligands via two surface pockets, a pTyr and hydrophobic binding pocket, allowing proteins with SH2 domains to localize to tyrosine phosphorylated sites.</t>
  </si>
  <si>
    <t>SH2_SOCS_family 2e-024| SH2_SOCS6 2e-021| SH2_SOCS7 3e-016| SH2 2e-014| SH2 8e-013| SH2 9e-011| SH2_SOCS4 1e-008| SH2_SOCS2 2e-008| SOCS_SOCS6 4e-008| SH2_SOCS5 5e-008|</t>
  </si>
  <si>
    <t>KOG4637, KOG4637, KOG4637, Adaptor for phosphoinositide 3-kinase [Signal transduction mechanisms].</t>
  </si>
  <si>
    <t>pfam00017, SH2, SH2 domain.</t>
  </si>
  <si>
    <t>smart00252, SH2, Src homology 2 domains.  Src homology 2 domains bind phosphotyrosine-containing polypeptides via 2 surface pockets. Specificity is provided via interaction with residues that are distinct from the phosphotyrosine. Only a single occurrence of a SH2 domain has been found in S. cerevisiae.</t>
  </si>
  <si>
    <t xml:space="preserve"> AgamP4_2L:4393035-4394301(-) </t>
  </si>
  <si>
    <t xml:space="preserve">1 | 57    PSLRRKR|SS  0.774 *ProP*  | </t>
  </si>
  <si>
    <t>AGAP029668-RA</t>
  </si>
  <si>
    <t>agap004837-pa - 35 OH-glycosylation sites -  35 NetOglyc sites</t>
  </si>
  <si>
    <t>AGAP029668-PA</t>
  </si>
  <si>
    <t xml:space="preserve"> tra0a82umi2a0a82umi2 anome os-merus ox-30066 pe-3 sv - 35 OH-glycosylation sites -  35 NetOglyc sites</t>
  </si>
  <si>
    <t>Eimeria necatrix</t>
  </si>
  <si>
    <t>pfam07084, Spot_14, Thyroid hormone-inducible hepatic protein Spot 14.  This family consists of several thyroid hormone-inducible hepatic protein (Spot 14 or S14) sequences. Mainly expressed in tissues that synthesize triglycerides, the mRNA coding for Spot 14 has been shown to be increased in rat liver by insulin, dietary carbohydrates, glucose in hepatocyte culture medium, as well as thyroid hormone. In contrast, dietary fats and polyunsaturated fatty acids, have been shown to decrease the amount of Spot 14 mRNA, while an elevated level of cAMP acts as a dominant negative factor. In addition, liver-specific factors or chromatin organisation of the gene have been shown to contribute to the regulation of its expression. Spot 14 protein is thought to be required for induction of hepatic lipogenesis.</t>
  </si>
  <si>
    <t>Spot_14 7e-005| SSP160 4e-004| PRK08581 0.003| PAP1 0.003| FSA_C 0.021| PHA03273 0.030| Endomucin | PRK13914 | FlgH | IsdH_HarA |</t>
  </si>
  <si>
    <t>KOG1819, KOG1819, KOG1819, FYVE finger-containing proteins [General function prediction only].</t>
  </si>
  <si>
    <t>smart00784, SPT2, SPT2 chromatin protein.  This entry includes the Saccharomyces cerevisiae protein SPT2 which is a chromatin protein involved in transcriptional regulation.</t>
  </si>
  <si>
    <t xml:space="preserve"> AgamP4_2L:4352840-4361922(-) </t>
  </si>
  <si>
    <t>AGAP001065-RG</t>
  </si>
  <si>
    <t xml:space="preserve">glycine hydroxymethyltransferase </t>
  </si>
  <si>
    <t>glycine hydroxymethyltransferase</t>
  </si>
  <si>
    <t>Glycine/serine hydroxymethyltransferase</t>
  </si>
  <si>
    <t>AGAP001065-PG</t>
  </si>
  <si>
    <t>ExpAA=0.20 First60=0.00 PredHel=0 Topology=o</t>
  </si>
  <si>
    <t>Oryctolagus cuniculus</t>
  </si>
  <si>
    <t>PLN03226, PLN03226, serine hydroxymethyltransferase; Provisional.</t>
  </si>
  <si>
    <t>PLN03226 | PTZ00094 | SHMT | SHMT | glyA e-165| GlyA e-164| PLN02271 e-153| PRK13034 e-140| PRK13580 3e-096| AAT_I 9e-024|</t>
  </si>
  <si>
    <t>KOG2467, KOG2467, KOG2467, Glycine/serine hydroxymethyltransferase [Amino acid transport and metabolism].</t>
  </si>
  <si>
    <t>pfam00464, SHMT, Serine hydroxymethyltransferase.</t>
  </si>
  <si>
    <t>smart00554, FAS1, Four repeated domains in the Fasciclin I family of proteins, present in many other contexts.</t>
  </si>
  <si>
    <t xml:space="preserve"> AgamP4_X:22328619-22330127(+) </t>
  </si>
  <si>
    <t>AGAP004640-RA</t>
  </si>
  <si>
    <t>RING finger and transmembrane domain-containing protein 2 - probable fragment - 13 OH-glycosylation sites -  13 NetOglyc sites - 3 predicted membrane helices</t>
  </si>
  <si>
    <t>prot membrane</t>
  </si>
  <si>
    <t>AGAP004640-PA</t>
  </si>
  <si>
    <t xml:space="preserve"> e3 ubiquitin-protein ligase rnft1 - 13 OH-glycosylation sites -  13 NetOglyc sites - 3 predicted membrane helices</t>
  </si>
  <si>
    <t>ExpAA=66.61 First60=0.00 PredHel=3 Topology=o425-442i463-485o500-522i</t>
  </si>
  <si>
    <t>cd16532, RING-HC_RNFT1_like, RING finger, HC subclass, found in RING finger and transmembrane domain-containing protein RNFT1, RNFT2, and similar proteins.  Both RNFT1 and RNFT2 are multi-pass membrane proteins containing a C3HC4-type RING-HC finger. Their biological roles remain unclear.</t>
  </si>
  <si>
    <t>RING-HC_RNFT1_like 1e-019| RING-HC_RNFT2 2e-013| RING-HC_RNFT1 3e-013| RING-HC_RNF151 4e-010| RING-HC 5e-010| zf-RING_2 2e-009| RING-HC_TRIM17_C-IV 5e-009| RING 7e-009| RING-HC_HLTF 9e-009| rad18 9e-009|</t>
  </si>
  <si>
    <t>KOG4638, KOG4638, KOG4638, Uncharacterized conserved protein [Function unknown].</t>
  </si>
  <si>
    <t xml:space="preserve"> AgamP4_2R:58817964-58839360(+) </t>
  </si>
  <si>
    <t>AGAP010267-RA</t>
  </si>
  <si>
    <t xml:space="preserve">glutaminyl-tRNA synthetase </t>
  </si>
  <si>
    <t>glutaminyl-tRNA synthetase</t>
  </si>
  <si>
    <t>glutamine-tRNA ligase</t>
  </si>
  <si>
    <t>AGAP010267-PA</t>
  </si>
  <si>
    <t xml:space="preserve"> glutaminyl-trna synthetase</t>
  </si>
  <si>
    <t>PLN02859, PLN02859, glutamine-tRNA ligase.</t>
  </si>
  <si>
    <t>PLN02859 | PRK05347 | Glutamine--tRNA_ligase e-154| PRK14703 e-154| PTZ00437 e-141| tRNA-synt_1c e-108| GlnS 7e-083| Glutamate--tRNA_ligase 1e-075| PLN02907 2e-073| GlnRS_core 6e-072|</t>
  </si>
  <si>
    <t>KOG1148, KOG1148, KOG1148, Glutaminyl-tRNA synthetase [Translation, ribosomal structure and biogenesis].</t>
  </si>
  <si>
    <t>pfam00749, tRNA-synt_1c, tRNA synthetases class I (E and Q), catalytic domain.  Other tRNA synthetase sub-families are too dissimilar to be included. This family includes only glutamyl and glutaminyl tRNA synthetases. In some organisms, a single glutamyl-tRNA synthetase aminoacylates both tRNA(Glu) and tRNA(Gln).</t>
  </si>
  <si>
    <t>smart00230, CysPc, Calpain-like thiol protease family. Calpain-like thiol protease family (peptidase family C2). Calcium activated neutral protease (large subunit).</t>
  </si>
  <si>
    <t xml:space="preserve"> AgamP4_3R:51878832-51881222(-) </t>
  </si>
  <si>
    <t>AGAP004151-RA</t>
  </si>
  <si>
    <t xml:space="preserve">protein phosphatase 5 </t>
  </si>
  <si>
    <t>protein phosphatase 5</t>
  </si>
  <si>
    <t>PP5</t>
  </si>
  <si>
    <t>AGAP004151-PA</t>
  </si>
  <si>
    <t xml:space="preserve"> serine/threonine-protein phosphatase 5</t>
  </si>
  <si>
    <t>cd07417, MPP_PP5_C, PP5, C-terminal metallophosphatase domain. Serine/threonine protein phosphatase-5 (PP5) is a member of the PPP gene family of protein phosphatases that is highly conserved among eukaryotes and widely expressed in mammalian tissues. PP5 has a C-terminal phosphatase domain and an extended N-terminal TPR (tetratricopeptide repeat) domain containing three TPR motifs.  The PPP (phosphoprotein phosphatase) family, to which PP5 belongs, is one of two known protein phosphatase families specific for serine and threonine.  The PPP family also includes: PP1, PP2A, PP2B (calcineurin), PP4, PP6, PP7, Bsu1, RdgC, PrpE, PrpA/PrpB, and ApA4 hydrolase. The PPP catalytic domain is defined by three conserved motifs (-GDXHG-, -GDXVDRG- and -GNHE-).  The PPP enzyme family is ancient with members found in all eukaryotes, and in most bacterial and archeal genomes. Dephosphorylation of phosphoserines and phosphothreonines on target proteins plays a central role in the regulation of many cellular processes.  PPPs belong to the metallophosphatase (MPP) superfamily. MPPs are functionally diverse, but all share a conserved domain with an active site consisting of two metal ions (usually manganese, iron, or zinc) coordinated with octahedral geometry by a cage of histidine, aspartate, and asparagine residues. The MPP superfamily includes: Mre11/SbcD-like exonucleases, Dbr1-like RNA lariat debranching enzymes, YfcE-like phosphodiesterases, purple acid phosphatases (PAPs), YbbF-like UDP-2,3-diacylglucosamine hydrolases, and acid sphingomyelinases (ASMases).  The conserved domain is a double beta-sheet sandwich with a di-metal active site made up of residues located at the C-terminal side of the sheets.  This domain is thought to allow for productive metal coordination.</t>
  </si>
  <si>
    <t>MPP_PP5_C e-180| PP2Ac e-101| MPP_RdgC 8e-081| MPP_PP2A_PP4_PP6 7e-080| MPP_PPP_family 1e-074| MPP_PP2B 4e-071| MPP_PP1_PPKL 4e-069| PTZ00244 6e-061| MPP_PP7 6e-061| PTZ00239 3e-056|</t>
  </si>
  <si>
    <t>KOG0376, KOG0376, KOG0376, Serine-threonine phosphatase 2A, catalytic subunit [General function prediction only].</t>
  </si>
  <si>
    <t>pfam08321, PPP5, PPP5 TPR repeat region.  This region is specific to the PPP5 subfamily of serine/threonine phosphatases and contains TPR repeats.</t>
  </si>
  <si>
    <t>smart00156, PP2Ac, Protein phosphatase 2A homologues, catalytic domain.  Large family of serine/threonine phosphatases, that includes PP1, PP2A and PP2B (calcineurin) family members.</t>
  </si>
  <si>
    <t xml:space="preserve"> AgamP4_2R:50757551-50759539(-) </t>
  </si>
  <si>
    <t xml:space="preserve">1 | 405    GRVPSKR|GV  0.639 *ProP*  | </t>
  </si>
  <si>
    <t>AGAP010585.R338</t>
  </si>
  <si>
    <t>DNA fragmentation factor-related protein 1</t>
  </si>
  <si>
    <t>VectorBase: AGAP010585</t>
  </si>
  <si>
    <t>AGAP006518-RA</t>
  </si>
  <si>
    <t xml:space="preserve">charged multivesicular body protein 1 </t>
  </si>
  <si>
    <t>charged multivesicular body protein 1</t>
  </si>
  <si>
    <t>Vacuolar assembly/sorting protein DID2</t>
  </si>
  <si>
    <t>AGAP006518-PA</t>
  </si>
  <si>
    <t xml:space="preserve"> chromatin modifying protein 1b</t>
  </si>
  <si>
    <t>COG5491, VPS24, Conserved protein implicated in secretion [Cell motility and secretion].</t>
  </si>
  <si>
    <t>VPS24 9e-012| Snf7 2e-010| Poxvirus_B22R_C | PTZ00464 | PLN02381 | Pox_A6 |</t>
  </si>
  <si>
    <t>KOG3232, KOG3232, KOG3232, Vacuolar assembly/sorting protein DID2 [Intracellular trafficking, secretion, and vesicular transport].</t>
  </si>
  <si>
    <t>pfam03357, Snf7, Snf7.  This family of proteins are involved in protein sorting and transport from the endosome to the vacuole/lysosome in eukaryotic cells. Vacuoles/lysosomes play an important role in the degradation of both lipids and cellular proteins. In order to perform this degradative function, vacuoles/lysosomes contain numerous hydrolases which have been transported in the form of inactive precursors via the biosynthetic pathway and are proteolytically activated upon delivery to the vacuole/lysosome. The delivery of transmembrane proteins, such as activated cell surface receptors to the lumen of the vacuole/lysosome, either for degradation/downregulation, or in the case of hydrolases, for proper localization, requires the formation of multivesicular bodies (MVBs). These late endosomal structures are formed by invaginating and budding of the limiting membrane into the lumen of the compartment. During this process, a subset of the endosomal membrane proteins is sorted into the forming vesicles. Mature MVBs fuse with the vacuole/lysosome, thereby releasing cargo containing vesicles into its hydrolytic lumen for degradation. Endosomal proteins that are not sorted into the intralumenal MVB vesicles are either recycled back to the plasma membrane or Golgi complex, or remain in the limiting membrane of the MVB and are thereby transported to the limiting membrane of the vacuole/lysosome as a consequence of fusion. Therefore, the MVB sorting pathway plays a critical role in the decision between recycling and degradation of membrane proteins. A few archaeal sequences are also present within this family.</t>
  </si>
  <si>
    <t>smart00807, AKAP_110, A-kinase anchor protein 110 kDa.  This family consists of several mammalian protein kinase A anchoring protein 3 (PRKA3) or A-kinase anchor protein 110 kDa (AKAP 110) sequences. Agents that increase intracellular cAMP are potent stimulators of sperm motility. Anchoring inhibitor peptides, designed to disrupt the interaction of the cAMP-dependent protein kinase A (PKA) with A kinase-anchoring proteins (AKAPs), are potent inhibitors of sperm motility. PKA anchoring is a key biochemical mechanism controlling motility. AKAP110 shares compartments with both RI and RII isoforms of PKA and may function as a regulator of both motility- and head-associated functions such as capacitation and the acrosome reaction.</t>
  </si>
  <si>
    <t xml:space="preserve"> AgamP4_2L:33776459-33777288(+) </t>
  </si>
  <si>
    <t>AGAP003810-RA</t>
  </si>
  <si>
    <t>agap003810-pa - signalP detected - 4 predicted membrane helices</t>
  </si>
  <si>
    <t>AGAP003810-PA</t>
  </si>
  <si>
    <t xml:space="preserve"> protein - signalP detected - 4 predicted membrane helices</t>
  </si>
  <si>
    <t>ExpAA=91.85 First60=22.15 PredHel=4 Topology=i12-34o90-112i125-147o167-189i</t>
  </si>
  <si>
    <t>pfam13903, Claudin_2, PMP-22/EMP/MP20/Claudin tight junction. Members of this family are claudins, that form tight junctions between cells.</t>
  </si>
  <si>
    <t>Claudin_2 4e-038| PMP22_Claudin 0.065| Clc-like | COG2866 | L_HMGIC_fpl | Voltage_gated_ClC | DUF1420 | 7tmA_Kappa_opioid_R | 7tm_V1R_pheromone | SUR7 |</t>
  </si>
  <si>
    <t>KOG2124, KOG2124, KOG2124, Glycosylphosphatidylinositol anchor synthesis protein [Signal transduction mechanisms].</t>
  </si>
  <si>
    <t>smart00282, LamG, Laminin G domain.</t>
  </si>
  <si>
    <t xml:space="preserve"> AgamP4_2R:43720595-43721573(-) </t>
  </si>
  <si>
    <t>W(3.22)</t>
  </si>
  <si>
    <t>AGAP001380-RA</t>
  </si>
  <si>
    <t xml:space="preserve">translation initiation factor 6 </t>
  </si>
  <si>
    <t>translation initiation factor 6</t>
  </si>
  <si>
    <t>eukaryotic translation initiation factor 6</t>
  </si>
  <si>
    <t>AGAP001380-PA</t>
  </si>
  <si>
    <t>ExpAA=0.36 First60=0.35 PredHel=0 Topology=o</t>
  </si>
  <si>
    <t>PTZ00136, PTZ00136, eukaryotic translation initiation factor 6-like protein; Provisional.</t>
  </si>
  <si>
    <t>PTZ00136 e-120| IF6 2e-091| eIF6 5e-084| eIF-6 1e-082| TIF6 7e-073| Translation_initiation_factor_6 2e-062| PRK04046 1e-049| fliI | carB | Carbamoyl-phosphate_synthase_large_cha...    30   1.5   |</t>
  </si>
  <si>
    <t>KOG3185, KOG3185, KOG3185, Translation initiation factor 6 (eIF-6) [Translation, ribosomal structure and biogenesis].</t>
  </si>
  <si>
    <t>pfam01912, eIF-6, eIF-6 family.  This family includes eukaryotic translation initiation factor 6 as well as presumed archaebacterial homologs.</t>
  </si>
  <si>
    <t xml:space="preserve"> AgamP4_2R:4050620-4051677(-) </t>
  </si>
  <si>
    <t>AGAP009931-RA</t>
  </si>
  <si>
    <t xml:space="preserve">vacuolar fusion protein MON1 homolog A </t>
  </si>
  <si>
    <t>vacuolar fusion protein MON1 homolog A</t>
  </si>
  <si>
    <t>Uncharacterized conserved protein Sand</t>
  </si>
  <si>
    <t>AGAP009931-PA</t>
  </si>
  <si>
    <t xml:space="preserve"> trafficking protein mon1</t>
  </si>
  <si>
    <t>ExpAA=0.05 First60=0.00 PredHel=0 Topology=o</t>
  </si>
  <si>
    <t>pfam03164, Mon1, Trafficking protein Mon1.  Members of this family have been called SAND proteins although these proteins do not contain a SAND domain. In Saccharomyces cerevisiae a protein complex of Mon1 and Ccz1 functions with the small GTPase Ypt7 to mediate vesicle trafficking to the vacuole. The Mon1/Ccz1 complex is conserved in eukaryotic evolution and members of this family (previously known as DUF254) are distant homologs to domains of known structure that assemble into cargo vesicle adapter (AP) complexes. describes orthologues in Fugu rubripes.</t>
  </si>
  <si>
    <t>Mon1 e-165| PI3K_1B_p101 | RNA_pol_Rpb1_2 | COG5219 | Tir_receptor_C | YjgP_YjgQ | PH_ARHGEF2 | DNA_gyrase_subunit_A | PRK05340 | XR_like_SDR_c |</t>
  </si>
  <si>
    <t>KOG0997, KOG0997, KOG0997, Uncharacterized conserved protein Sand [Function unknown].</t>
  </si>
  <si>
    <t>smart00535, RIBOc, Ribonuclease III family.</t>
  </si>
  <si>
    <t xml:space="preserve"> AgamP4_3R:45436183-45438146(+) </t>
  </si>
  <si>
    <t>AGAP012406-RA</t>
  </si>
  <si>
    <t xml:space="preserve">uncharacterized protein slr0305 </t>
  </si>
  <si>
    <t>uncharacterized protein slr0305</t>
  </si>
  <si>
    <t>Conserved plasma membrane protein - 4 predicted membrane helices</t>
  </si>
  <si>
    <t>AGAP012406-PA</t>
  </si>
  <si>
    <t xml:space="preserve"> transmembrane protein 64 - 4 predicted membrane helices</t>
  </si>
  <si>
    <t>ExpAA=104.41 First60=0.00 PredHel=4 Topology=i201-218o238-260i267-289o391-413i</t>
  </si>
  <si>
    <t>pfam09335, SNARE_assoc, SNARE associated Golgi protein.  This is a family of SNARE associated Golgi proteins. The yeast member of this family localizes with the t-SNARE Tlg2.</t>
  </si>
  <si>
    <t>SNARE_assoc 4e-015| COG0398 2e-012| DedA 0.018| PRK07668 | EIIC-GAT | PigN | PRK13387 | OST3_OST6 | SLC6sbd_PROT | NfeD |</t>
  </si>
  <si>
    <t>KOG3140, KOG3140, KOG3140, Predicted membrane protein [Function unknown].</t>
  </si>
  <si>
    <t>smart01098, CPSF73-100_C, This is the C-terminal conserved region of the pre-mRNA 3'-end-processing of the polyadenylation factor CPSF-73/CPSF-100 proteins.  The exact function of this domain is not known.</t>
  </si>
  <si>
    <t xml:space="preserve"> AgamP4_3L:41755657-41759505(-) </t>
  </si>
  <si>
    <t>AGAP004841-RA</t>
  </si>
  <si>
    <t>AGAP004841-PA</t>
  </si>
  <si>
    <t>ExpAA=0.33 First60=0.01 PredHel=0 Topology=o</t>
  </si>
  <si>
    <t>CARMIL_C 2e-060| LRR_RI 5e-010| LRR_RI 1e-007| LRR_AMN1 0.002| PHA03307 0.026| HpnN | PRK13930 | LRR_1 | SEC1 | SR-25 |</t>
  </si>
  <si>
    <t xml:space="preserve"> AgamP4_2L:4381183-4388124(-) </t>
  </si>
  <si>
    <t xml:space="preserve">2 | 1000    VKGRPKR|AK  0.646 *ProP*  | 1141    TPVRESR|PV  0.595 *ProP*  | </t>
  </si>
  <si>
    <t>AGAP004938-RB</t>
  </si>
  <si>
    <t xml:space="preserve">zinc finger, DHHC-type containing 15 </t>
  </si>
  <si>
    <t>zinc finger, DHHC-type containing 15</t>
  </si>
  <si>
    <t>palmitoyltransferase ZDHHC15 isoform X4 - 4 predicted membrane helices</t>
  </si>
  <si>
    <t>met/lipd membrane</t>
  </si>
  <si>
    <t>AGAP004938-PB</t>
  </si>
  <si>
    <t xml:space="preserve"> palmitoyltransferase zdhhc20 - 4 predicted membrane helices</t>
  </si>
  <si>
    <t>ExpAA=90.12 First60=21.14 PredHel=4 Topology=i34-53o63-85i185-207o222-244i</t>
  </si>
  <si>
    <t>COG5273, COG5273, Uncharacterized protein containing DHHC-type Zn finger [General function prediction only].</t>
  </si>
  <si>
    <t>COG5273 3e-030| zf-DHHC 2e-028| PRK13795 | ECA_wecA | PBP2_TmCBP_oligosaccharides_like | PRK13852 | Reticulon | ND6 | KbaA |</t>
  </si>
  <si>
    <t>KOG1315, KOG1315, KOG1315, Predicted DHHC-type Zn-finger protein [General function prediction only].</t>
  </si>
  <si>
    <t>pfam01529, zf-DHHC, DHHC palmitoyltransferase.  This family includes the well known DHHC zinc binding domain as well as three of the four conserved transmembrane regions found in this family of palmitoyltransferase enzymes.</t>
  </si>
  <si>
    <t>smart00940, PepX_N, X-Prolyl dipeptidyl aminopeptidase PepX, N-terminal.  This N-terminal domain adopts a secondary structure consisting of a helical bundle of eight alpha helices and three beta strands, with the last alpha helix connecting to the first strand of the catalytic domain. The first strand of the N-terminus also forms a small parallel beta sheet with strand five of the catalytic domain. This domain mediates dimerisation of the protein, with two proline residues present in the domain being critical for interaction.</t>
  </si>
  <si>
    <t xml:space="preserve"> AgamP4_2L:6225726-6227738(-) </t>
  </si>
  <si>
    <t>AGAP003598-RA</t>
  </si>
  <si>
    <t xml:space="preserve">template-activating factor I </t>
  </si>
  <si>
    <t>template-activating factor I</t>
  </si>
  <si>
    <t>DNA replication factor/protein phosphatase inhibitor SET/SPR-2</t>
  </si>
  <si>
    <t>AGAP003598-PA</t>
  </si>
  <si>
    <t xml:space="preserve"> protein set</t>
  </si>
  <si>
    <t>st/apoptosis</t>
  </si>
  <si>
    <t>pfam00956, NAP, Nucleosome assembly protein (NAP).  NAP proteins are involved in moving histones into the nucleus, nucleosome assembly and chromatin fluidity. They affect the transcription of many genes.</t>
  </si>
  <si>
    <t>NAP 1e-029| PTZ00007 9e-021| PTZ00008 1e-018| HSP90 0.025| retinal_rod 0.068| PTZ00248 0.073| PRK05901 | DUF2457 | VID27 | Nop14 |</t>
  </si>
  <si>
    <t>KOG1508, KOG1508, KOG1508, DNA replication factor/protein phosphatase inhibitor SET/SPR-2 [Replication, recombination and repair].</t>
  </si>
  <si>
    <t>smart00721, BAR, BAR domain.</t>
  </si>
  <si>
    <t xml:space="preserve"> AgamP4_2R:40402990-40403835(+) </t>
  </si>
  <si>
    <t xml:space="preserve">1 | 171    ANNRRKR|GL  0.701 *ProP*  | </t>
  </si>
  <si>
    <t>AGAP007965-RA</t>
  </si>
  <si>
    <t>AGAP007965-PA</t>
  </si>
  <si>
    <t xml:space="preserve"> the first lotus domain in oskar and tudor-containing protein 5 and 7</t>
  </si>
  <si>
    <t>ExpAA=0.32 First60=0.31 PredHel=0 Topology=o</t>
  </si>
  <si>
    <t>cd09972, LOTUS_TDRD_OSKAR, The first LOTUS domain in Oskar and Tudor-containing proteins 5 and 7.  The first LOTUS domain in Oskar and Tudor-containing proteins 5 and 7: The LOTUS containing proteins are germline-specific and are found in the nuage/polar granules of germ cells. Tudor-containing protein 5 and 7 belong to the evolutionary conserved Tudor domain-containing protein (TDRD) family involved in germ cell development. In mice, TDRD5 and TDRD7 are components of the intermitochondrial cements (IMCs) and the chromatoid bodies (CBs), which are cytoplasmic ribonucleoprotein granules involved in RNA processing for spermatogenesis. Oskar protein is a critical component of the pole plasm in the Drosophila oocyte, which is required for germ cell formation.The exact molecular function of LOTUS domain remains to be identified. Its occurrence in proteins associated with RNA metabolism suggests that it might be involved in RNA binding function. The presence of several basic residues and RNA fold recognition motifs support this hypothesis. The RNA binding function might be the first step of regulating mRNA translation or localization.</t>
  </si>
  <si>
    <t>LOTUS_TDRD_OSKAR 7e-027| TUDOR 3e-016| TUDOR 2e-008| LOTUS_1_TDRD7 2e-006| TUDOR 2e-006| OST-HTH 3e-006| LOTUS_1_TDRD5 6e-004| LOTUS 0.001| LOTUS_2_TDRD5 | LOTUS_3_TDRD5 |</t>
  </si>
  <si>
    <t xml:space="preserve"> AgamP4_3R:3384349-3385919(-) </t>
  </si>
  <si>
    <t>AGAP003731-RA</t>
  </si>
  <si>
    <t xml:space="preserve">vacuolar protein sorting 37B </t>
  </si>
  <si>
    <t>Vps37B: vacuolar protein sorting 37B</t>
  </si>
  <si>
    <t>vacuolar protein sorting 37B</t>
  </si>
  <si>
    <t>AGAP003731-PA</t>
  </si>
  <si>
    <t>pfam07200, Mod_r, Modifier of rudimentary (Mod(r)) protein.  This family represents a conserved region approximately 150 residues long within a number of eukaryotic proteins that show homology with Drosophila melanogaster Modifier of rudimentary (Mod(r)) proteins. The N-terminal half of Mod(r) proteins is acidic, whereas the C-terminal half is basic, and both of these regions are represented in this family. Members of this family include the Vps37 subunit of the endosomal sorting complex ESCRT-I, a complex involved in recruiting transport machinery for protein sorting at the multivesicular body (MVB). The yeast ESCRT-I complex consists of three proteins (Vps23, Vps28 and Vps37). The mammalian homolog of Vps37 interacts with Tsg101 (Pfam: PF05743) through its mod(r) domain and its function is essential for lysosomal sorting of EGF receptors.</t>
  </si>
  <si>
    <t>Mod_r 2e-034| Chromosome_partition_protein_Smc 0.010| PRK13410 0.015| IFT57 0.070| PRK03918 0.081| CALCOCO1 0.087| V_Alix_like 0.097| chromosome_segregation_protein_related...    33   0.12  | Smc | COG4487 |</t>
  </si>
  <si>
    <t>KOG3270, KOG3270, KOG3270, Uncharacterized conserved protein [Function unknown].</t>
  </si>
  <si>
    <t>smart00517, PolyA, C-terminal domain of Poly(A)-binding protein. Present also in Drosophila hyperplastics discs protein. Involved in homodimerisation (either directly or indirectly).</t>
  </si>
  <si>
    <t xml:space="preserve"> AgamP4_2R:42641815-42642644(+) </t>
  </si>
  <si>
    <t>AGAP005272-RA</t>
  </si>
  <si>
    <t>AGAP005272-PA</t>
  </si>
  <si>
    <t xml:space="preserve"> tra0a82icz7a0a82icz7 anoar ubiquitin-like domain-containing protein</t>
  </si>
  <si>
    <t>pfam11976, Rad60-SLD, Ubiquitin-2 like Rad60 SUMO-like.  The small ubiquitin-related modifier SUMO-1 is a Ub/Ubl family member, and although SUMO-1 shares structural similarity to Ub, SUMO's cellular functions remain distinct insomuch as SUMO modification alters protein function through changes in activity, cellular localization, or by protecting substrates from ubiquitination. Rad60 family members contain functionally enigmatic, integral SUMO-like domains (SLDs). Despite their divergence from SUMO, each Rad60 SLD interacts with a subset of SUMO pathway enzymes: SLD2 specifically binds the SUMO E2 conjugating enzyme (Ubc9)), whereas SLD1 binds the SUMO E1 (Fub2, also called Uba2) activating and E3 (Pli1, also called Siz1 and Siz2) specificity enzymes. Structural analysis of Structure 2uyz reveals a mechanistic basis for the near-synonymous roles of Rad60 and SUMO in survival of genotoxic stress and suggest unprecedented DNA-damage-response functions for SLDs in regulating SUMOylation. The Rad60 branch of this family is also known as RENi (Rad60-Esc2-Nip45), and biologically it should be two distinct families SUMO and RENi (Rad60-Esc2-Nip45).</t>
  </si>
  <si>
    <t>Rad60-SLD 6e-004| Sumo | Elong_Iki1 | UBQ | PLN02328 | GH20_chitobiase-like | UBL | PRK07708 | PX_FISH | PTZ00108 |</t>
  </si>
  <si>
    <t>KOG1002, KOG1002, KOG1002, Nucleotide excision repair protein RAD16 [Replication, recombination and repair].</t>
  </si>
  <si>
    <t>smart00213, UBQ, Ubiquitin homologues.  Ubiquitin-mediated proteolysis is involved in the regulated turnover of proteins required for controlling cell cycle progression.</t>
  </si>
  <si>
    <t xml:space="preserve"> AgamP4_2L:13505873-13507770(+) </t>
  </si>
  <si>
    <t xml:space="preserve">2 | 209    PPPRSRR|SR  0.740 *ProP*  | 211    PRSRRSR|GP  0.583 *ProP*  | </t>
  </si>
  <si>
    <t>AGAP001139-RA</t>
  </si>
  <si>
    <t xml:space="preserve">39S ribosomal protein L19, mitochondrial </t>
  </si>
  <si>
    <t>mRpL19: 39S ribosomal protein L19, mitochondrial</t>
  </si>
  <si>
    <t>Mitochondrial/chloroplast ribosomal protein L19</t>
  </si>
  <si>
    <t>AGAP001139-PA</t>
  </si>
  <si>
    <t xml:space="preserve"> 39s ribosomal protein l9</t>
  </si>
  <si>
    <t>pfam01245, Ribosomal_L19, Ribosomal protein L19.</t>
  </si>
  <si>
    <t>Ribosomal_L19 7e-009| RplS 3e-006| 50S_ribosomal_protein_L19 2e-005| rplS 6e-004| rpl19 0.008| PTZ00399 | GP11 | PBP2_NikA_DppA_OppA_like_4 | 4HB_MCP_1 | PRK10594 |</t>
  </si>
  <si>
    <t>KOG1698, KOG1698, KOG1698, Mitochondrial/chloroplast ribosomal protein L19 [Translation, ribosomal structure and biogenesis].</t>
  </si>
  <si>
    <t>smart00119, HECTc, Domain Homologous to E6-AP Carboxyl Terminus with.  E3 ubiquitin-protein ligases. Can bind to E2 enzymes.</t>
  </si>
  <si>
    <t xml:space="preserve"> AgamP4_2R:570647-571656(+) </t>
  </si>
  <si>
    <t xml:space="preserve">1 | 249    TNERRRR|KA  0.729 *ProP*  | </t>
  </si>
  <si>
    <t>AGAP010459-RA</t>
  </si>
  <si>
    <t xml:space="preserve">transcriptional adapter 3 </t>
  </si>
  <si>
    <t>transcriptional adapter 3</t>
  </si>
  <si>
    <t>Histone acetyltransferases PCAF/SAGA/ADA subunit TADA3L/NGG1</t>
  </si>
  <si>
    <t>AGAP010459-PA</t>
  </si>
  <si>
    <t xml:space="preserve"> transcriptional adapter 3 isoform x1</t>
  </si>
  <si>
    <t>pfam10198, Ada3, Histone acetyltransferases subunit 3.  Ada3 is a family of proteins conserved from yeasts to humans. It is an essential component of the Ada transcriptional coactivator (alteration/deficiency in activation) complex. Ada3 plays a key role in linking histone acetyltransferase-containing complexes to p53 (tumor suppressor protein) thereby regulating p53 acetylation, stability and transcriptional activation following DNA damage.</t>
  </si>
  <si>
    <t>Ada3 8e-026| NtpI 0.043| COG1422 0.067| DUF1682 | PRK04778 | PTZ00108 | Smc | YchF | Yuri_gagarin | YkyA |</t>
  </si>
  <si>
    <t>KOG4191, KOG4191, KOG4191, Histone acetyltransferases PCAF/SAGA/ADA, subunit TADA3L/NGG1 [Chromatin structure and dynamics].</t>
  </si>
  <si>
    <t xml:space="preserve"> AgamP4_3L:3926356-3928128(-) </t>
  </si>
  <si>
    <t>AGAP001420-RA</t>
  </si>
  <si>
    <t xml:space="preserve">2,3-bisphosphoglycerate-dependent phosphoglycerate mutase </t>
  </si>
  <si>
    <t>2,3-bisphosphoglycerate-dependent phosphoglycerate mutase</t>
  </si>
  <si>
    <t>Phosphoglycerate mutase</t>
  </si>
  <si>
    <t>AGAP001420-PA</t>
  </si>
  <si>
    <t xml:space="preserve"> gpma</t>
  </si>
  <si>
    <t>PRK14115, gpmA, phosphoglyceromutase; Provisional.</t>
  </si>
  <si>
    <t>gpmA e-114| Phosphoglycerate_mutase_1 e-109| GpmA 6e-098| PTZ00123 2e-096| gpmA 1e-089| gpmA 6e-073| gpmA 4e-071| gpmA 2e-070| PRK01295 3e-068| gpmA 5e-068|</t>
  </si>
  <si>
    <t>KOG0235, KOG0235, KOG0235, Phosphoglycerate mutase [Carbohydrate transport and metabolism].</t>
  </si>
  <si>
    <t>pfam00300, His_Phos_1, Histidine phosphatase superfamily (branch 1).  The histidine phosphatase superfamily is so named because catalysis centers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 The larger branch 1 contains a wide variety of catalytic functions, the best known being fructose 2,6-bisphosphatase (found in a bifunctional protein with 2-phosphofructokinase) and cofactor-dependent phosphoglycerate mutase. The latter is an unusual example of a mutase activity in the superfamily: the vast majority of members appear to be phosphatases. The bacterial regulatory protein phosphatase SixA is also in branch 1 and has a minimal, and possible ancestral-like structure, lacking the large domain insertions that contribute to binding of small molecules in branch 1 members.</t>
  </si>
  <si>
    <t xml:space="preserve"> AgamP4_2R:4739393-4740249(-) </t>
  </si>
  <si>
    <t>AGAP004852-RA</t>
  </si>
  <si>
    <t xml:space="preserve">Adducin </t>
  </si>
  <si>
    <t>Adducin</t>
  </si>
  <si>
    <t>Cytoskeletal protein Adducin - probable fragment</t>
  </si>
  <si>
    <t>AGAP004852-PA</t>
  </si>
  <si>
    <t xml:space="preserve"> alpha-adducin</t>
  </si>
  <si>
    <t>ExpAA=0.13 First60=0.00 PredHel=0 Topology=o</t>
  </si>
  <si>
    <t>PRK07044, PRK07044, aldolase II superfamily protein; Provisional.</t>
  </si>
  <si>
    <t>PRK07044 5e-054| Aldolase_II 8e-044| Aldolase_II 3e-039| Aldolase_II 6e-037| PRK06208 3e-031| AraD 7e-029| PRK06661 3e-028| PRK06486 1e-020| PRK07490 8e-019| PRK07090 2e-015|</t>
  </si>
  <si>
    <t>KOG3699, KOG3699, KOG3699, Cytoskeletal protein Adducin [Signal transduction mechanisms, Cytoskeleton].</t>
  </si>
  <si>
    <t xml:space="preserve">Signal transduction mechanisms, Cytoskeleton </t>
  </si>
  <si>
    <t>pfam00596, Aldolase_II, Class II Aldolase and Adducin N-terminal domain.  This family includes class II aldolases and adducins which have not been ascribed any enzymatic function.</t>
  </si>
  <si>
    <t>smart01007, Aldolase_II, Class II Aldolase and Adducin N-terminal domain.  This family includes class II aldolases and adducins which have not been ascribed any enzymatic function.</t>
  </si>
  <si>
    <t xml:space="preserve"> AgamP4_2L:4472157-4474213(-) </t>
  </si>
  <si>
    <t>AGAP004592-RE</t>
  </si>
  <si>
    <t xml:space="preserve">splicing factor, arginine/serine-rich 4/5/6 </t>
  </si>
  <si>
    <t>splicing factor, arginine/serine-rich 4/5/6</t>
  </si>
  <si>
    <t>Serine/arginine-rich splicing factor 6</t>
  </si>
  <si>
    <t>AGAP004592-PE</t>
  </si>
  <si>
    <t xml:space="preserve"> serine/arginine-rich splicing factor 6 isoform x1</t>
  </si>
  <si>
    <t>cd12600, RRM2_SRSF4_like, RNA recognition motif 2 in serine/arginine-rich splicing factor 4 (SRSF4) and similar proteins.  This subfamily corresponds to the RRM2 of three serine/arginine (SR) proteins: serine/arginine-rich splicing factor 4 (SRSF4 or SRp75 or SFRS4), serine/arginine-rich splicing factor 5 (SRSF5 or SRp40 or SFRS5 or HRS), serine/arginine-rich splicing factor 6 (SRSF6 or SRp55). SRSF4 plays an important role in both, constitutive  and alternative, splicing of many pre-mRNAs. It can shuttle between the nucleus and cytoplasm. SRSF5 regulates both alternative splicing and basal splicing. It is the only SR protein efficiently selected from nuclear extracts (NE) by the splicing enhancer (ESE) and is essential for enhancer activation. SRSF6 preferentially interacts with a number of purine-rich splicing enhancers (ESEs) to activate splicing of the ESE-containing exon. It is the only protein from HeLa nuclear extract or purified SR proteins that specifically binds B element RNA after UV irradiation. SRSF6 may also recognize different types of RNA sites. Members in this family contain two N-terminal RNA recognition motifs (RRMs), also termed RBDs (RNA binding domains) or RNPs (ribonucleoprotein domains), followed by a C-terminal RS domains rich in serine-arginine dipeptides.  .</t>
  </si>
  <si>
    <t>RRM2_SRSF4_like 4e-031| RRM1_SRSF4_like 9e-029| RRM1_SRSF6 1e-022| RRM2_SRSF4 2e-022| RRM2_SRSF1_4_like 4e-022| RRM2_SRSF6 7e-022| RRM2_SRSF5 2e-021| RRM1_SRSF4 3e-018| RRM1_SRSF5 8e-017| RRM_SRSF3_like 2e-015|</t>
  </si>
  <si>
    <t>KOG0106, KOG0106, KOG0106, Alternative splicing factor SRp55/B52/SRp75 (RRM superfamily) [RNA processing and modification].</t>
  </si>
  <si>
    <t xml:space="preserve"> AgamP4_2R:58135544-58141795(-) </t>
  </si>
  <si>
    <t xml:space="preserve">5 | 214    SRSRSRR|RS  0.571 *ProP*  | 217    RSRRRSR|SR  0.619 *ProP*  | 224    SRSRSRR|SS  0.749 *ProP*  | 227    RSRRSSR|SR  0.670 *ProP*  | 312    SRSRSPR|SH  0.758 *ProP*  | </t>
  </si>
  <si>
    <t>R(3.71)</t>
  </si>
  <si>
    <t>AGAP004592-RA</t>
  </si>
  <si>
    <t>RNA recognition motif 2 in serine/arginine-rich splicing factor 4</t>
  </si>
  <si>
    <t>AGAP004592-PA</t>
  </si>
  <si>
    <t xml:space="preserve"> arginine/serine-rich splicing factor 4 isoform 1</t>
  </si>
  <si>
    <t>RRM2_SRSF4_like 4e-031| RRM1_SRSF4_like 1e-028| RRM1_SRSF6 1e-022| RRM2_SRSF4 2e-022| RRM2_SRSF1_4_like 5e-022| RRM2_SRSF6 7e-022| RRM2_SRSF5 2e-021| RRM1_SRSF4 3e-018| RRM1_SRSF5 8e-017| RRM_SRSF3_like 2e-015|</t>
  </si>
  <si>
    <t xml:space="preserve">5 | 208    SRSRSRR|RS  0.571 *ProP*  | 211    RSRRRSR|SR  0.619 *ProP*  | 218    SRSRSRR|SS  0.749 *ProP*  | 221    RSRRSSR|SR  0.670 *ProP*  | 306    SRSRSPR|SH  0.758 *ProP*  | </t>
  </si>
  <si>
    <t>R(3.72)</t>
  </si>
  <si>
    <t>AGAP029493-RA</t>
  </si>
  <si>
    <t>S phase cyclin A-associated protein in the endoplasmic reticulum-like</t>
  </si>
  <si>
    <t>AGAP029493-PA</t>
  </si>
  <si>
    <t xml:space="preserve"> s phase cyclin a-associated protein in the endoplasmic reticulum-like isoform x1</t>
  </si>
  <si>
    <t>ExpAA=0.27 First60=0.00 PredHel=0 Topology=o</t>
  </si>
  <si>
    <t>pfam16501, SCAPER_N, S phase cyclin A-associated protein in the endoplasmic reticulum.  SCAPER_N is a short highly conserved region close to the N-terminus. SCAPER is localized to the endoplasmic reticulum and is a substrate for cyclin A/Cdk2. It associates with cyclin A and localizes to the ER. One theory suggests that SCAPER functions to create a local high concentration of cyclin A2 in the cytoplasm. Alternatively, SCAPER might be acting to sequester a portion of cellular cyclin A2 that could then be readily available for nuclear translocation, which may be needed for exit from G0 phase.</t>
  </si>
  <si>
    <t>SCAPER_N 2e-044| TPH 2e-015| Smc 9e-014| PRK02224 2e-011| SbcC 3e-011| Chromosome_partition_protein_Smc 6e-011| PTZ00121 3e-010| chromosome_segregation_protein_related...    63   1e-009 1e-009| GBP_C 5e-009| DUF3584 7e-009|</t>
  </si>
  <si>
    <t>KOG4722, KOG4722, KOG4722, Zn-finger protein [General function prediction only].</t>
  </si>
  <si>
    <t xml:space="preserve"> AgamP4_3R:50715297-50756517(+) </t>
  </si>
  <si>
    <t xml:space="preserve">2 | 1051    ETERQKR|AE  0.581 *ProP*  | 1090    RREREKR|VG  0.689 *ProP*  | </t>
  </si>
  <si>
    <t>AGAP001091-RB</t>
  </si>
  <si>
    <t xml:space="preserve">N-terminal kinase-like protein </t>
  </si>
  <si>
    <t>N-terminal kinase-like protein</t>
  </si>
  <si>
    <t>N-terminal kinase-like protein isoform X1</t>
  </si>
  <si>
    <t>AGAP001091-PB</t>
  </si>
  <si>
    <t xml:space="preserve"> gnlcdd229185</t>
  </si>
  <si>
    <t>cd14011, PK_SCY1_like, Pseudokinase domain of Scy1-like proteins. The pseudokinase domain shows similarity to protein kinases but lacks crucial residues for catalytic activity. This subfamily is composed of the catalytically inactive kinases with similarity to yeast Scy1. It includes four mammalian proteins called SCY1-like protein 1 (SCYL1), SCYL2, SCYL3, as well as Testis-EXpressed protein 14 (TEX14). SCYL1 binds to and co-localizes with the membrane trafficking coatomer I (COPI) complex, and regulates COPI-mediated vesicle trafficking. Null mutations in the SCYL1 gene are responsible for the pathology in mdf (muscle-deficient) mice which display progressive motor neuropathy. SCYL2, also called coated vesicle-associated kinase of 104 kDa (CVAK104), is involved in the trafficking of clathrin-coated vesicles. It also binds the HIV-1 accessory protein Vpu and acts as a regulatory factor that promotes the dephosphorylation of Vpu, facilitating the restriction of HIV-1 release. SCYL3, also called ezrin-binding protein PACE-1, may be involved in regulating cell adhesion and migration. TEX14 is required for spermatogenesis and male fertility. It localizes to kinetochores (KT) during mitosis and is a target of the mitotic kinase PLK1. It regulates the maturation of the outer KT and the KT-microtubule attachment. The SCY1-like subfamily is part of a larger superfamily that includes the catalytic domains of other protein serine/threonine kinases, protein tyrosine kinases, RIO kinases, aminoglycoside phosphotransferase, choline kinase, and phosphoinositide 3-kinase.</t>
  </si>
  <si>
    <t>PK_SCY1_like 1e-040| PKc 3e-009| Pkinase 1e-008| HEAT 4e-008| STKc_Nek6_7 5e-007| STKc_Nek6 1e-005| STKc_PLK2 7e-005| SSP160 2e-004| STKc_STK36 2e-004| STKc_Nek3 3e-004|</t>
  </si>
  <si>
    <t>KOG1243, KOG1243, KOG1243, Protein kinase [General function prediction only].</t>
  </si>
  <si>
    <t xml:space="preserve"> AgamP4_X:23957544-23998144(+) </t>
  </si>
  <si>
    <t xml:space="preserve">1 | 871    DEARRKR|ED  0.640 *ProP*  | </t>
  </si>
  <si>
    <t>AGAP010261-RA</t>
  </si>
  <si>
    <t>Dystrophin Dp427c isoform</t>
  </si>
  <si>
    <t>Beta-dystrobrevin</t>
  </si>
  <si>
    <t>AGAP010261-PA</t>
  </si>
  <si>
    <t xml:space="preserve"> ef-hand-like motif found in the dystrophins subfamily protein</t>
  </si>
  <si>
    <t>ExpAA=0.08 First60=0.00 PredHel=0 Topology=o</t>
  </si>
  <si>
    <t>cd16242, EFh_DMD_like, EF-hand-like motif found in the dystrophins subfamily.  This dystrophins subfamily includes dystrophin and its two paralogs, utrophin and DRP-2. Dystrophin is a large, submembrane cytoskeletal protein that is the main component of the dystrophin-glycoprotein complex (DGC) in skeletal muscle. It links the transmembrane DGC to the actin cytoskeleton through binding strongly to the cytoplasmic tail of beta-dystroglycan, the transmembrane subunit of a highly O-glycosylated cell-surface protein. Dystrophin also involves in maintaining the structural integrity of cells, as well as in the formation of the blood-brain barrier (BBB). Utrophin, also termed dystrophin-related protein 1 (DRP-1), is an autosomal dystrophin homologue that increases dystrophic muscle function and reduces pathology. It is broadly expressed at both the mRNA and protein levels, and occurs in the cerebrovascular endothelium. Utrophin forms the utrophin-glycoprotein complex (UGC) by interacting with the dystroglycans (DGs) and the sarcoglycan-dystroglycans, sarcoglycans and sarcospan (SG-SSPN) subcomplex. It may act as a scaffolding protein that stabilizes lipid microdomains and clusters mechanosensitive channel subunits, and link the F-actin cytoskeleton to the cell membrane via the associated glycoprotein complex. DRP-2 is mainly expressed in the vertebrate central nervous system (CNS). It is associated with brain membrane fractions and highly enriched in the postsynaptic density. DRP-2 plays a role in the organization of central cholinergic synapses. It interacts with dystroglycan and L-Periaxin to form a transmembrane complex, which plays a role in Schwann cell-basal lamina interactions and in the regulation of the terminal stages of myelination. The dystrophins subfamily has been characterized by a compact cluster of domains comprising a WW domain, four EF-hand-like motifs and a ZZ-domain, followed by two syntrophin binding sites (SBSs) and a looser region with two coiled-coils.</t>
  </si>
  <si>
    <t>EFh_DMD_like 1e-072| EFh_DMD_DYTN_DTN 2e-046| EFh_UTRO 1e-045| EFh_DMD 3e-045| EFh_DRP-2 2e-043| EF-hand_2 3e-042| EF-hand_3 5e-041| ZZ_dystrophin 2e-025| EFh_DAH 2e-025| SPEC 3e-020|</t>
  </si>
  <si>
    <t>KOG4286, KOG4286, KOG4286, Dystrophin-like protein [Cell motility, Signal transduction mechanisms, Cytoskeleton].</t>
  </si>
  <si>
    <t xml:space="preserve">Cell motility, Signal transduction mechanisms, Cytoskeleton </t>
  </si>
  <si>
    <t>pfam09068, EF-hand_2, EF hand.  Members of this family adopt a helix-loop-helix motif, as per other EF hand domains. However, since they do not contain the canonical pattern of calcium binding residues found in many EF hand domains, they do not bind calcium ions. The main function of this domain is the provision of specificity in beta-dystroglycan recognition, though in dystrophin it serves an additional role: stabilisation of the WW domain (pfam00397), enhancing dystroglycan binding.</t>
  </si>
  <si>
    <t>smart00291, ZnF_ZZ, Zinc-binding domain, present in Dystrophin, CREB-binding protein.  Putative zinc-binding domain present in dystrophin-like proteins, and CREB-binding protein/p300 homologues. The ZZ in dystrophin appears to bind calmodulin. A missense mutation of one of the conserved cysteines in dystrophin results in a patient with Duchenne muscular dystrophy.</t>
  </si>
  <si>
    <t xml:space="preserve"> AgamP4_3R:51759874-51777334(-) </t>
  </si>
  <si>
    <t xml:space="preserve">1 | 347    DTSRIKR|MT  0.686 *ProP*  | </t>
  </si>
  <si>
    <t>AGAP010224-RA</t>
  </si>
  <si>
    <t xml:space="preserve">ER lumen protein retaining receptor </t>
  </si>
  <si>
    <t>ER lumen protein retaining receptor</t>
  </si>
  <si>
    <t>ER lumen protein retaining receptor - signalP detected - 5 predicted membrane helices</t>
  </si>
  <si>
    <t>AGAP010224-PA</t>
  </si>
  <si>
    <t xml:space="preserve"> protein - signalP detected - 5 predicted membrane helices</t>
  </si>
  <si>
    <t>ExpAA=124.46 First60=24.32 PredHel=5 Topology=o58-80i92-114o118-139i146-168o178-200i</t>
  </si>
  <si>
    <t>COG5196, ERD2, ER lumen protein retaining receptor [Intracellular trafficking and secretion].</t>
  </si>
  <si>
    <t>ERD2 2e-054| ER_lumen_recept 2e-054| PTZ00296 |</t>
  </si>
  <si>
    <t>KOG3106, KOG3106, KOG3106, ER lumen protein retaining receptor [Intracellular trafficking, secretion, and vesicular transport].</t>
  </si>
  <si>
    <t>pfam00810, ER_lumen_recept, ER lumen protein retaining receptor.</t>
  </si>
  <si>
    <t xml:space="preserve"> AgamP4_3R:51265404-51266042(-) </t>
  </si>
  <si>
    <t>AGAP010493-RA</t>
  </si>
  <si>
    <t xml:space="preserve">transcription initiation factor TFIID subunit 7 </t>
  </si>
  <si>
    <t>transcription initiation factor TFIID subunit 7</t>
  </si>
  <si>
    <t>TAFII55 protein conserved region</t>
  </si>
  <si>
    <t>AGAP010493-PA</t>
  </si>
  <si>
    <t xml:space="preserve"> transcription initiation factor tfiid subunit 7-like isoform x1</t>
  </si>
  <si>
    <t>pfam04658, TAFII55_N, TAFII55 protein conserved region.  The general transcription factor, TFIID, consists of the TATA-binding protein (TBP) associated with a series of TBP-associated factors (TAFs) that together participate in the assembly of the transcription preinitiation complex. TAFII55 binds to TAFII250 and inhibits it acetyltransferase activity. The exact role of TAFII55 is currently unknown. The conserved region is situated towards the N-terminus of the protein.</t>
  </si>
  <si>
    <t>TAFII55_N 1e-066| TAF7 1e-053| COG5414 3e-019| Presenilin 4e-004| IncA 0.003| MDN1 0.033| OmpH 0.086| Nup88 | ATG16 | 46 |</t>
  </si>
  <si>
    <t>KOG4011, KOG4011, KOG4011, Transcription initiation factor TFIID, subunit TAF7 [Transcription].</t>
  </si>
  <si>
    <t xml:space="preserve"> AgamP4_3L:5034627-5036117(+) </t>
  </si>
  <si>
    <t xml:space="preserve">1 | 149    KNIRKRR|FR  0.544 *ProP*  | </t>
  </si>
  <si>
    <t>AGAP007519-RA</t>
  </si>
  <si>
    <t xml:space="preserve">28S ribosomal protein S22, mitochondrial </t>
  </si>
  <si>
    <t>mRpS22: 28S ribosomal protein S22, mitochondrial</t>
  </si>
  <si>
    <t>Mitochondrial 28S ribosomal protein S22</t>
  </si>
  <si>
    <t>AGAP007519-PA</t>
  </si>
  <si>
    <t xml:space="preserve"> mitochondrial 28s ribosomal protein s22</t>
  </si>
  <si>
    <t>pfam10245, MRP-S22, Mitochondrial 28S ribosomal protein S22.  This is the conserved N-terminus and central portion of the mitochondrial small subunit 28S ribosomal protein S22. Mammalian mitochondria carry out the synthesis of 13 polypeptides that are essential for oxidative phosphorylation and, hence, for the synthesis of the majority of the ATP used by eukaryotic organisms. The number of proteins produced by prokaryotes is smaller, reflected in the lower number of ribosomal proteins present in them.</t>
  </si>
  <si>
    <t>MRP-S22 e-106| YtxC | Trp-synth-beta_II | TRI5 | PBP2_UgpB | SDR_c2 | PLN03133 | Lipin_N | PRK10503 | Zwint |</t>
  </si>
  <si>
    <t>KOG3890, KOG3890, KOG3890, Mitochondrial 28S ribosomal protein S22 [Translation, ribosomal structure and biogenesis].</t>
  </si>
  <si>
    <t xml:space="preserve"> AgamP4_2L:47128357-47129560(-) </t>
  </si>
  <si>
    <t xml:space="preserve">1 | 78    DKVFRKR|SV  0.519 *ProP*  | </t>
  </si>
  <si>
    <t>AGAP012414-RA</t>
  </si>
  <si>
    <t xml:space="preserve">polypeptide N-acetylgalactosaminyltransferase </t>
  </si>
  <si>
    <t>polypeptide N-acetylgalactosaminyltransferase</t>
  </si>
  <si>
    <t>N-acetylgalactosaminyltransferase 6-like</t>
  </si>
  <si>
    <t>AGAP012414-PA</t>
  </si>
  <si>
    <t xml:space="preserve"> polypeptide n-acetylgalactosaminyltransferase 13</t>
  </si>
  <si>
    <t xml:space="preserve"> 30-31</t>
  </si>
  <si>
    <t>ExpAA=20.79 First60=20.79 PredHel=1 Topology=i7-29o</t>
  </si>
  <si>
    <t>cd02510, pp-GalNAc-T, pp-GalNAc-T initiates the formation of mucin-type O-linked glycans.  UDP-GalNAc: polypeptide alpha-N-acetylgalactosaminyltransferases (pp-GalNAc-T) initiate the formation of mucin-type, O-linked glycans by catalyzing the transfer of alpha-N-acetylgalactosamine (GalNAc) from UDP-GalNAc to hydroxyl groups of Ser or Thr residues of core proteins to form the Tn antigen (GalNAc-a-1-O-Ser/Thr). These enzymes are type II membrane proteins with a GT-A type catalytic domain and a lectin domain located on the lumen side of the Golgi apparatus. In human, there are 15 isozymes of pp-GalNAc-Ts, representing the largest of all glycosyltransferase families. Each isozyme has unique but partially redundant substrate specificity for glycosylation sites on acceptor proteins.</t>
  </si>
  <si>
    <t>pp-GalNAc-T e-143| Glycos_transf_2 3e-030| Ricin_B_lectin 5e-027| RICIN 3e-021| RICIN 3e-014| glycosyltransferase_Rv0696_family 7e-013| Glyco_tranf_GTA_type 4e-012| COG1215 2e-011| DPM_DPG-synthase_like 3e-010| WcaA 5e-010|</t>
  </si>
  <si>
    <t>KOG3736, KOG3736, KOG3736, Polypeptide N-acetylgalactosaminyltransferase [Posttranslational modification, protein turnover, chaperones].</t>
  </si>
  <si>
    <t>pfam00535, Glycos_transf_2, Glycosyl transferase family 2.  Diverse family, transferring sugar from UDP-glucose, UDP-N-acetyl- galactosamine, GDP-mannose or CDP-abequose, to a range of substrates including cellulose, dolichol phosphate and teichoic acids.</t>
  </si>
  <si>
    <t>smart00458, RICIN, Ricin-type beta-trefoil.  Carbohydrate-binding domain formed from presumed gene triplication.</t>
  </si>
  <si>
    <t xml:space="preserve"> AgamP4_3L:41826549-41828378(+) </t>
  </si>
  <si>
    <t>AGAP004588-RA</t>
  </si>
  <si>
    <t>Anion exchanger adaptor protein Kanadaptin contains FHA domain</t>
  </si>
  <si>
    <t>AGAP004588-PA</t>
  </si>
  <si>
    <t xml:space="preserve"> kanadaptin</t>
  </si>
  <si>
    <t>cd00060, FHA, Forkhead associated domain (FHA); found in eukaryotic and prokaryotic proteins. Putative nuclear signalling domain. FHA domains may bind phosphothreonine, phosphoserine and sometimes phosphotyrosine. In eukaryotes, many FHA domain-containing proteins localize to the nucleus, where they participate in establishing or maintaining cell cycle checkpoints, DNA repair, or transcriptional regulation. Members of the FHA family include: Dun1, Rad53,  Cds1, Mek1, KAPP(kinase-associated protein phosphatase),and Ki-67 (a human nuclear protein related to cell proliferation).</t>
  </si>
  <si>
    <t>FHA 3e-016| FHA 4e-013| FHA 4e-008| COG1716 4e-005| Yop-YscD_cpl 0.004| Dicer_dimer 0.010| hypothetical_protein_BACCELL_00210 | PRK14127 | PHA00728 | PRK00106 |</t>
  </si>
  <si>
    <t>KOG1881, KOG1881, KOG1881, Anion exchanger adaptor protein Kanadaptin, contains FHA domain [General function prediction only].</t>
  </si>
  <si>
    <t>pfam00498, FHA, FHA domain.  The FHA (Forkhead-associated) domain is a phosphopeptide binding motif.</t>
  </si>
  <si>
    <t>smart00240, FHA, Forkhead associated domain.  Found in eukaryotic and prokaryotic proteins. Putative nuclear signalling domain.</t>
  </si>
  <si>
    <t xml:space="preserve"> AgamP4_2R:58123048-58125211(+) </t>
  </si>
  <si>
    <t>AGAP001310-RA</t>
  </si>
  <si>
    <t xml:space="preserve">Protein-S-isoprenylcysteine O-methyltransferase [Source:UniProtKB/TrEMBL;Acc:Q7PXA7] </t>
  </si>
  <si>
    <t>Protein-S-isoprenylcysteine O-methyltransferase</t>
  </si>
  <si>
    <t>Farnesyl cysteine-carboxyl methyltransferase - signalP detected - 6 predicted membrane helices</t>
  </si>
  <si>
    <t>AGAP001310-PA</t>
  </si>
  <si>
    <t>protein-s-isoprenylcysteine o-methyltransferase os-coluzzii ox-834 pe-3 sv - signalP detected - 6 predicted membrane helices</t>
  </si>
  <si>
    <t>met/int membrane</t>
  </si>
  <si>
    <t>ExpAA=128.86 First60=38.73 PredHel=6 Topology=i12-34o38-60i67-89o94-116i125-147o218-240i</t>
  </si>
  <si>
    <t>pfam04140, ICMT, Isoprenylcysteine carboxyl methyltransferase (ICMT) family.  The isoprenylcysteine o-methyltransferase (EC:2.1.1.100) family carry out carboxyl methylation of cleaved eukaryotic proteins that terminate in a CaaX motif. In Saccharomyces cerevisiae this methylation is carried out by Ste14p, an integral endoplasmic reticulum membrane protein. Ste14p is the founding member of the isoprenylcysteine carboxyl methyltransferase (ICMT) family, whose members share significant sequence homology.</t>
  </si>
  <si>
    <t>ICMT 4e-018| STE14 1e-016| LmtA_Leptospira 9e-006| PEMT 7e-005| COG1755 | ACF2 | MMACHC-like | Osmoregulated_proline_transporter |</t>
  </si>
  <si>
    <t>KOG2628, KOG2628, KOG2628, Farnesyl cysteine-carboxyl methyltransferase [Posttranslational modification, protein turnover, chaperones].</t>
  </si>
  <si>
    <t>smart00190, IL4_13, Interleukins 4 and 13.  Interleukins-4 and -13 are cytokines involved in inflammatory and immune responses. IL-4 stimulates B and T cells.</t>
  </si>
  <si>
    <t>AGAP004459-RA</t>
  </si>
  <si>
    <t xml:space="preserve">ubiquitin-like 1-activating enzyme E1 A </t>
  </si>
  <si>
    <t>ubiquitin-like 1-activating enzyme E1 A</t>
  </si>
  <si>
    <t>SMT3/SUMO-activating complex AOS1/RAD31 component</t>
  </si>
  <si>
    <t>AGAP004459-PA</t>
  </si>
  <si>
    <t xml:space="preserve"> sumo-activating enzyme subunit 1</t>
  </si>
  <si>
    <t>ExpAA=0.91 First60=0.40 PredHel=0 Topology=o</t>
  </si>
  <si>
    <t>cd01492, Aos1_SUMO, Ubiquitin activating enzyme (E1) subunit Aos1. Aos1 is part of the heterodimeric activating enzyme (E1), specific for the SUMO family of ubiquitin-like proteins (Ubls). E1 enzymes are part of a conjugation cascade to attach Ub or Ubls, covalently to substrate proteins consisting of activating (E1), conjugating (E2), and/or ligating (E3) enzymes. E1 activates ubiquitin by C-terminal adenylation, and subsequently forms a highly reactive thioester bond between its catalytic cysteine and Ubls C-terminus. The E1 also associates with E2 and promotes ubiquitin transfer to the E2's catalytic cysteine. Post-translational modification by SUMO family of ubiquitin-like proteins (Ublps) is involved in cell division, nuclear transport, the stress response and signal transduction. Aos1 contains part of the adenylation domain.</t>
  </si>
  <si>
    <t>Aos1_SUMO 9e-063| E1-1_like 2e-035| Ube1_repeat1 3e-033| ThiF 7e-030| ubiquitin_activating_enzyme 3e-026| ThiF 3e-026| APPBP1_RUB 3e-026| E1_enzyme_family 1e-017| PTZ00245 6e-016| ThiF_MoeB_HesA_family 1e-013|</t>
  </si>
  <si>
    <t>KOG2014, KOG2014, KOG2014, SMT3/SUMO-activating complex, AOS1/RAD31 component [Posttranslational modification, protein turnover, chaperones].</t>
  </si>
  <si>
    <t>pfam00899, ThiF, ThiF family.  This domain is found in ubiquitin activating E1 family and members of the bacterial ThiF/MoeB/HesA family. It is repeated in Ubiquitin-activating enzyme E1.</t>
  </si>
  <si>
    <t xml:space="preserve"> AgamP4_2R:56705677-56706756(+) </t>
  </si>
  <si>
    <t xml:space="preserve">1 | 36    KRVRLAR|IL  0.500 *ProP*  | </t>
  </si>
  <si>
    <t>AGAP001134-RA</t>
  </si>
  <si>
    <t xml:space="preserve">28S ribosomal protein S30, mitochondrial </t>
  </si>
  <si>
    <t>mRpS30: 28S ribosomal protein S30, mitochondrial</t>
  </si>
  <si>
    <t>Mitochondrial 28S ribosomal protein S30</t>
  </si>
  <si>
    <t>AGAP001134-PA</t>
  </si>
  <si>
    <t xml:space="preserve"> tra0as4gba0as4gb anoga 28s ribosomal protein s30</t>
  </si>
  <si>
    <t>Cyclospora cayetanensis</t>
  </si>
  <si>
    <t>pfam07147, PDCD9, Mitochondrial 28S ribosomal protein S30 (PDCD9). This family consists of several eukaryotic mitochondrial 28S ribosomal protein S30 (or programmed cell death protein 9 PDCD9) sequences. The exact function of this family is unknown although it is known to be a component of the mitochondrial ribosome and a component in cellular apoptotic signaling pathways.</t>
  </si>
  <si>
    <t>PDCD9 e-159| PRK13434 | dnd_assoc_2 | DUF3843 | HPS6 | DUF3612 | COG1106 | COG1673 |</t>
  </si>
  <si>
    <t>KOG4461, KOG4461, KOG4461, Mitochondrial 28S ribosomal protein S30 [Translation, ribosomal structure and biogenesis].</t>
  </si>
  <si>
    <t xml:space="preserve"> AgamP4_2R:560810-562592(+) </t>
  </si>
  <si>
    <t>AGAP001585-RA</t>
  </si>
  <si>
    <t xml:space="preserve">deoxynucleoside kinase </t>
  </si>
  <si>
    <t>deoxynucleoside kinase</t>
  </si>
  <si>
    <t>Mitochondrial thymidine kinase 2/deoxyguanosine kinase</t>
  </si>
  <si>
    <t>AGAP001585-PA</t>
  </si>
  <si>
    <t xml:space="preserve"> thymidine kinase 2</t>
  </si>
  <si>
    <t>cd01673, dNK, Deoxyribonucleoside kinase (dNK) catalyzes the phosphorylation of deoxyribonucleosides to yield corresponding monophosphates (dNMPs). This family consists of various deoxynucleoside kinases including deoxyribo- cytidine (EC 2.7.1.74), guanosine (EC 2.7.1.113), adenosine (EC 2.7.1.76), and thymidine (EC 2.7.1.21) kinases. They are key enzymes in the salvage of deoxyribonucleosides originating from extra- or intracellular breakdown of DNA.</t>
  </si>
  <si>
    <t>dNK 1e-048| dNK 1e-043| COG1428 2e-013| PHA03132 2e-009| NDUO42 6e-005| Tmk 0.003| PHA03138 0.010| NK 0.013| Herpes_TK 0.013| TMPK 0.024|</t>
  </si>
  <si>
    <t>KOG4235, KOG4235, KOG4235, Mitochondrial thymidine kinase 2/deoxyguanosine kinase [Nucleotide transport and metabolism].</t>
  </si>
  <si>
    <t>pfam01712, dNK, Deoxynucleoside kinase.  This family consists of various deoxynucleoside kinases cytidine EC:2.7.1.74, guanosine EC:2.7.1.113, adenosine EC:2.7.1.76 and thymidine kinase EC:2.7.1.21 (which also phosphorylates deoxyuridine and deoxycytosine.) These enzymes catalyze the production of deoxynucleotide 5'-monophosphate from a deoxynucleoside. Using ATP and yielding ADP in the process.</t>
  </si>
  <si>
    <t xml:space="preserve"> AgamP4_2R:6481308-6482286(+) </t>
  </si>
  <si>
    <t>AGAP010218-RA</t>
  </si>
  <si>
    <t xml:space="preserve">Lkb1 interacting protein </t>
  </si>
  <si>
    <t>Lkb1 interacting protein</t>
  </si>
  <si>
    <t>serine/threonine-protein kinase 11-interacting protein-like isoform X1</t>
  </si>
  <si>
    <t>AGAP010218-PA</t>
  </si>
  <si>
    <t xml:space="preserve"> serine/threonine-protein kinase -interacting protein os-coluzzii ox-834 pe-3 sv</t>
  </si>
  <si>
    <t>ExpAA=0.26 First60=0.00 PredHel=0 Topology=o</t>
  </si>
  <si>
    <t>pfam15904, LIP1, LKB1 serine/threonine kinase interacting protein 1.  LIP1 is a protein found in eukaryotes. It represents the N-terminus of a leucine-rich-repeat protein that is implicated in Peutz-Jeghers syndrome. LIP1 interacts with the TGF-beta-regulated transcription factor SMAD4 to form a LKB1-LIP1-SMAD4 ternary complex. Mutations in SMAD4 lead to juvenile polyposis, suggesting a mechanistic link between these two diseases.</t>
  </si>
  <si>
    <t>LIP1 1e-016| LRR_RI 1e-013| LRR_1 2e-011| COG4886 4e-008| LRR_8 6e-005| LRR_NTF 9e-005| LRR_9 1e-004| LRR_RI 0.002| LRR_4 0.002| RPC10 0.071|</t>
  </si>
  <si>
    <t>KOG1859, KOG1859, KOG1859, Leucine-rich repeat proteins [General function prediction only].</t>
  </si>
  <si>
    <t>smart00659, RPOLCX, RNA polymerase subunit CX.  present in RNA polymerase I, II and III.</t>
  </si>
  <si>
    <t xml:space="preserve"> AgamP4_3R:50851868-50871670(+) </t>
  </si>
  <si>
    <t xml:space="preserve">1 | 414    KKLRVRR|AV  0.637 *ProP*  | </t>
  </si>
  <si>
    <t>AGAP001109.R535</t>
  </si>
  <si>
    <t>protein-tyrosine phosphatase</t>
  </si>
  <si>
    <t>VectorBase: AGAP001109</t>
  </si>
  <si>
    <t>AGAP010324.R103</t>
  </si>
  <si>
    <t>Groucho</t>
  </si>
  <si>
    <t>VectorBase: AGAP010324</t>
  </si>
  <si>
    <t>AGAP007668-RA</t>
  </si>
  <si>
    <t xml:space="preserve">Eukaryotic translation initiation factor 3 subunit G [Source:UniProtKB/Swiss-Prot;Acc:Q7QJV0] </t>
  </si>
  <si>
    <t>eIF3g: Eukaryotic translation initiation factor 3 subunit G</t>
  </si>
  <si>
    <t>Translation initiation factor 3 subunit g (eIF-3g)</t>
  </si>
  <si>
    <t>AGAP007668-PA</t>
  </si>
  <si>
    <t xml:space="preserve"> eukaryotic translation initiation factor 3 subunit g-like protein</t>
  </si>
  <si>
    <t>pfam12353, eIF3g, Eukaryotic translation initiation factor 3 subunit G.  This domain family is found in eukaryotes, and is approximately 130 amino acids in length. The family is found in association with pfam00076. This family is subunit G of the eukaryotic translation initiation factor 3. Subunit G is required for eIF3 integrity.</t>
  </si>
  <si>
    <t>eIF3g 5e-041| eIF3G 3e-036| RRM_eIF3G_like 4e-030| RRM 2e-013| RRM_SF 2e-012| RRM_1 4e-011| RRM1_MSSP 1e-010| RRM_RBMX_like 4e-010| RRM2_RBM23_RBM39 1e-009| RRM1_RBM28_like 2e-009|</t>
  </si>
  <si>
    <t>KOG0122, KOG0122, KOG0122, Translation initiation factor 3, subunit g (eIF-3g) [Translation, ribosomal structure and biogenesis].</t>
  </si>
  <si>
    <t xml:space="preserve">1 | 241    VHFRSRR|DA  0.686 *ProP*  | </t>
  </si>
  <si>
    <t>AGAP010206-RA</t>
  </si>
  <si>
    <t xml:space="preserve">Protein bicaudal D homolog 2 </t>
  </si>
  <si>
    <t>Protein bicaudal D homolog 2</t>
  </si>
  <si>
    <t>Microtubule-associated protein Bicaudal-D</t>
  </si>
  <si>
    <t>AGAP010206-PA</t>
  </si>
  <si>
    <t xml:space="preserve"> microtubule-associated protein bicaudal-d</t>
  </si>
  <si>
    <t>Blastocystis sp. subtype 4</t>
  </si>
  <si>
    <t>pfam09730, BicD, Microtubule-associated protein Bicaudal-D.  BicD proteins consist of three coiled-coiled domains and are involved in dynein-mediated minus end-directed transport from the Golgi apparatus to the endoplasmic reticulum (ER). For full functioning they bind with GSK-3beta pfam05350 to maintain the anchoring of microtubules to the centromere. It appears that amino-acid residues 437-617 of BicD and the kinase activity of GSK-3 are necessary for the formation of a complex between BicD and GSK-3beta in intact cells.</t>
  </si>
  <si>
    <t>BicD | Smc 3e-012| Chromosome_partition_protein_Smc 3e-010| chromosome_segregation_protein_related...    53   4e-007 4e-007| COG4372 5e-006| COG5022 5e-005| PRK02224 2e-004| SbcC 5e-004| EzrA 0.002| PRK03918 0.002|</t>
  </si>
  <si>
    <t>KOG0999, KOG0999, KOG0999, Microtubule-associated protein Bicaudal-D [Intracellular trafficking, secretion, and vesicular transport].</t>
  </si>
  <si>
    <t xml:space="preserve"> AgamP4_3R:50702259-50706703(-) </t>
  </si>
  <si>
    <t>AGAP002339-RA</t>
  </si>
  <si>
    <t xml:space="preserve">AN1-type zinc finger protein 2B </t>
  </si>
  <si>
    <t>AN1-type zinc finger protein 2B</t>
  </si>
  <si>
    <t>AGAP002339-PA</t>
  </si>
  <si>
    <t xml:space="preserve"> an1 zinc finger protein 2b</t>
  </si>
  <si>
    <t>pfam01428, zf-AN1, AN1-like Zinc finger.  Zinc finger at the C-terminus of An1, a ubiquitin-like protein in Xenopus laevis. The following pattern describes the zinc finger. C-X2-C-X(9-12)-C-X(1-2)-C-X4-C-X2-H-X5-H-X-C Where X can be any amino acid, and numbers in brackets indicate the number of residues.</t>
  </si>
  <si>
    <t>zf-AN1 9e-009| ZnF_AN1 0.001| RPN10 0.001| UIM 0.001| COG3582 0.001| UIM 0.001| PRK14971 | PTZ00491 | EutB | COG5222 |</t>
  </si>
  <si>
    <t>KOG3183, KOG3183, KOG3183, Predicted Zn-finger protein [General function prediction only].</t>
  </si>
  <si>
    <t>smart00154, ZnF_AN1, AN1-like Zinc finger.  Zinc finger at the C-terminus of An1, a ubiquitin-like protein in Xenopus laevis.</t>
  </si>
  <si>
    <t xml:space="preserve"> AgamP4_2R:20278838-20279712(-) </t>
  </si>
  <si>
    <t>C(3.39)</t>
  </si>
  <si>
    <t>AGAP001551-RA</t>
  </si>
  <si>
    <t xml:space="preserve">G patch domain and KOW motifs-containing protein </t>
  </si>
  <si>
    <t>G patch domain and KOW motifs-containing protein</t>
  </si>
  <si>
    <t>G-patch domain</t>
  </si>
  <si>
    <t>AGAP001551-PA</t>
  </si>
  <si>
    <t xml:space="preserve"> g-patch domain and kow motifs-containing protein</t>
  </si>
  <si>
    <t>=hyperlink(".\links\CDD\AGAP001551-PA-CDD.txt","KOW_GPKOW_A, KOW motif of the "G-patch domain and KOW motifs-containing protein" (GPKOW) repeat A")</t>
  </si>
  <si>
    <t>cd13152, KOW_GPKOW_A, KOW motif of the "G-patch domain and KOW motifs-containing protein" (GPKOW) repeat A.  GPKOW contains one G-patch domain and two KOW motifs. GPKOW is a nuclear protein that regulated by catalytic (C) subunit of Protein Kinase A (PKA) and bind RNA in vivo. PKA may be involved in regulating multiple steps in post-transcriptional processing of pre-mRNAs. KOW domain is known as an RNA-binding motif that is shared so far among some families of ribosomal proteins, the essential bacterial transcriptional elongation factor NusG, the eukaryotic chromatin elongation factor Spt5, the higher eukaryotic KIN17 proteins and Mtr4. GPKOW is also known as T54 protein or MOS2 homolog.</t>
  </si>
  <si>
    <t>KOW_GPKOW_A 6e-017| G-patch_2 7e-013| Splicing_factor_U2AF_59_kDa_subunit 0.002| transcription_coactivator_CAPER 0.003| DUF1777 0.042| THRAP3_BCLAF1 | SR-25 | rne | PRK12678 | RSRP |</t>
  </si>
  <si>
    <t>KOG4315, KOG4315, KOG4315, G-patch nucleic acid binding protein [General function prediction only].</t>
  </si>
  <si>
    <t>pfam12656, G-patch_2, G-patch domain.  Yeast Spp2, a G-patch protein and spliceosome component, interacts with the ATP-dependent DExH-box splicing factor Prp2. As this interaction involves the G-patch sequence in Spp2 and is required for the recruitment of Prp2 to the spliceosome before the first catalytic step of splicing, it is proposed that Spp2 might be an accessory factor that confers spliceosome specificity on Prp2.</t>
  </si>
  <si>
    <t xml:space="preserve"> AgamP4_2R:6108929-6126216(-) </t>
  </si>
  <si>
    <t xml:space="preserve">1 | 391    RSSRHRR|PS  0.773 *ProP*  | </t>
  </si>
  <si>
    <t>AGAP001525-RA</t>
  </si>
  <si>
    <t>AGAP001525-PA</t>
  </si>
  <si>
    <t>ZF_C2H2 2e-017| ZF_C2H2 1e-009| zf-AD 0.004| COG5048 0.027| ZF_C2H2 0.080| zf-AD 0.081| ZF_C2H2 | PRK06406 | zf-H2C2_2 | zf-C2H2 |</t>
  </si>
  <si>
    <t>KOG3623, KOG3623, KOG3623, Homeobox transcription factor SIP1 [Transcription].</t>
  </si>
  <si>
    <t xml:space="preserve"> AgamP4_2R:5843402-5845126(-) </t>
  </si>
  <si>
    <t>C(3.49)</t>
  </si>
  <si>
    <t>AGAP004322-RA</t>
  </si>
  <si>
    <t xml:space="preserve">pumilio homology domain family member 6 </t>
  </si>
  <si>
    <t>pumilio homology domain family member 6</t>
  </si>
  <si>
    <t>Puf family RNA-binding protein</t>
  </si>
  <si>
    <t>AGAP004322-PA</t>
  </si>
  <si>
    <t xml:space="preserve"> puf family rna-binding protein</t>
  </si>
  <si>
    <t>pfam08144, CPL, CPL (NUC119) domain.  This C terminal domain is fund in Penguin-like proteins associated with Pumilio like repeats.</t>
  </si>
  <si>
    <t>CPL 2e-009| Pumilio 2e-007| COG5099 0.081| RE_HaeIII | 3a0801s03tim44 | PRK06529 | PRK00409 | TH1 | PTZ00121 | PH_BCR-related |</t>
  </si>
  <si>
    <t>KOG2050, KOG2050, KOG2050, Puf family RNA-binding protein [Translation, ribosomal structure and biogenesis].</t>
  </si>
  <si>
    <t>smart01087, COG6, Conserved oligomeric complex COG6.  COG6 is a component of the conserved oligomeric golgi complex, which is composed of eight different subunits and is required for normal golgi morphology and localisation.</t>
  </si>
  <si>
    <t xml:space="preserve"> AgamP4_2R:54458710-54460952(-) </t>
  </si>
  <si>
    <t xml:space="preserve">1 | 7    MIQTKKR|SV  0.715 *ProP*  | </t>
  </si>
  <si>
    <t>AGAP003868-RA</t>
  </si>
  <si>
    <t xml:space="preserve">centrosomal protein CEP110 </t>
  </si>
  <si>
    <t>centrosomal protein CEP110</t>
  </si>
  <si>
    <t>Calcium-dependent calmodulin binding</t>
  </si>
  <si>
    <t>AGAP003868-PA</t>
  </si>
  <si>
    <t xml:space="preserve"> calcium-dependent calmodulin binding protein</t>
  </si>
  <si>
    <t>Trypanosoma brucei gambiense DAL972</t>
  </si>
  <si>
    <t>pfam16025, CALM_bind, Calcium-dependent calmodulin binding.  This domain is found at the N-terminus of centriolar coiled-coil protein of 110 kDa (CCP110), where it binds calmodulin. Binding of calmodulin to this domain is calcium dependent.</t>
  </si>
  <si>
    <t>CALM_bind 4e-014| IQ 0.013| PRK14949 0.072| IQ | Cell_division_protein_FtsN | PRK10360 | GBP_C | PRK11072 | GBP_C | DUF773 |</t>
  </si>
  <si>
    <t>KOG3580, KOG3580, KOG3580, Tight junction proteins [Signal transduction mechanisms].</t>
  </si>
  <si>
    <t>smart00015, IQ, Calmodulin-binding motif.  Short calmodulin-binding motif containing conserved Ile and Gln residues.</t>
  </si>
  <si>
    <t xml:space="preserve"> AgamP4_2R:44700906-44702814(-) </t>
  </si>
  <si>
    <t>AGAP010179-RA</t>
  </si>
  <si>
    <t>AGAP010179-PA</t>
  </si>
  <si>
    <t xml:space="preserve"> smg8 smg9</t>
  </si>
  <si>
    <t>ExpAA=2.15 First60=0.00 PredHel=0 Topology=o</t>
  </si>
  <si>
    <t>pfam10220, Smg8_Smg9, Smg8_Smg9.  Smg8 and Smg9 are two subunits of the Smg-1 complex. They suppress Smg-1 kinase activity in the isolated Smg-1 complex, and are involved in nonsense-mediated mRNA decay (NMD) in both mammals and nematodes.</t>
  </si>
  <si>
    <t>Smg8_Smg9 | DUF2457 0.012| Nop14 0.017| Cwf_Cwc_15 0.021| PTZ00482 0.058| MDN1 0.082| PPP4R2 0.088| PBP1_TM 0.092| TFIIF_alpha | PRK12678 |</t>
  </si>
  <si>
    <t>KOG3692, KOG3692, KOG3692, Uncharacterized conserved protein [Function unknown].</t>
  </si>
  <si>
    <t>smart00017, OSTEO, Osteopontin.  Osteopontin is an acidic phosphorylated glycoprotein of about 40 Kd which is abundant in the mineral matrix of bones and which binds tightly to hydroxyapatite. It is suggested that osteopontin might function as a cell attachment factor and could play a key role in the adhesion of osteoclasts to the mineral matrix of bone.</t>
  </si>
  <si>
    <t xml:space="preserve"> AgamP4_3R:49948461-49951694(-) </t>
  </si>
  <si>
    <t>AGAP004803-RA</t>
  </si>
  <si>
    <t>muscle M-line assembly protein unc-89 - 12 OH-glycosylation sites -  12 NetOglyc sites</t>
  </si>
  <si>
    <t>AGAP004803-PA</t>
  </si>
  <si>
    <t xml:space="preserve"> os-coluzzii ox-834 pe-4 sv - 12 OH-glycosylation sites -  12 NetOglyc sites</t>
  </si>
  <si>
    <t>PLN02518, PLN02518, pheophorbide a oxygenase.</t>
  </si>
  <si>
    <t>PLN02518 | Macoilin | MYSc_Myh1_insects_crustaceans | FatB | SAE2 | potG | MCRS_N | PLN02673 |</t>
  </si>
  <si>
    <t>KOG1091, KOG1091, KOG1091, Ypt/Rab-specific GTPase-activating protein GYP6 [Intracellular trafficking, secretion, and vesicular transport].</t>
  </si>
  <si>
    <t>pfam09726, Macoilin, Transmembrane protein.  This entry is a highly conserved protein present in eukaryotes.</t>
  </si>
  <si>
    <t xml:space="preserve"> AgamP4_2L:3747715-3749485(-) </t>
  </si>
  <si>
    <t xml:space="preserve">1 | 182    RESRFGK|SV  0.511 *ProP*  | </t>
  </si>
  <si>
    <t>AGAP004523-RA</t>
  </si>
  <si>
    <t>AGAP004523-PA</t>
  </si>
  <si>
    <t>HEAT | KAP95 | PLN03103 | RP1-2 | S100PBPR | HEAT_2 | COG5096 | PRK13655 | PDHac_trf_long | PRK13875 |</t>
  </si>
  <si>
    <t>KOG0956, KOG0956, KOG0956, PHD finger protein AF10 [General function prediction only].</t>
  </si>
  <si>
    <t>pfam12042, RP1-2, Tubuliform egg casing silk strands structural domain.  Spiders use fibroins to make silk strands. This family includes tubuliform silk fibroins which are used to protect egg cases. This domain is a structural domain which is found in repeats of up to 20 in many individuals (although this is not necessarily the case). RP1 makes up structural domains in the N terminal while RP2 makes up structural domains in the C terminal.</t>
  </si>
  <si>
    <t>smart00586, ZnF_DBF, Zinc finger in DBF-like proteins.</t>
  </si>
  <si>
    <t xml:space="preserve"> AgamP4_2R:57349681-57353296(-) </t>
  </si>
  <si>
    <t>AGAP004833-RA</t>
  </si>
  <si>
    <t xml:space="preserve">serine/threonine-protein kinase PRP4 </t>
  </si>
  <si>
    <t>serine/threonine-protein kinase PRP4</t>
  </si>
  <si>
    <t>Catalytic domain of the Serine/Threonine Kinase</t>
  </si>
  <si>
    <t>AGAP004833-PA</t>
  </si>
  <si>
    <t xml:space="preserve"> cmgc/dyrk/prp4 protein kinase</t>
  </si>
  <si>
    <t>cd14135, STKc_PRP4, Catalytic domain of the Serine/Threonine Kinase, Pre-mRNA-Processing factor 4.  STKs catalyze the transfer of the gamma-phosphoryl group from ATP to serine/threonine residues on protein substrates. PRP4 phosphorylates a number of factors involved in the formation of active spliceosomes, which catalyze pre-mRNA splicing. It phosphorylates PRP6 and PRP31, components of the U4/U6-U5 tri-small nuclear ribonucleoprotein (snRNP), during spliceosomal complex formation. In fission yeast, PRP4 phosphorylates the splicing factor PRP1 (U5-102 kD in mammals). Thus, PRP4 plays a key role in regulating spliceosome assembly and pre-mRNA splicing. It also plays an important role in mitosis by acting as a spindle assembly checkpoint kinase that is required for chromosome alignment and the recruitment of the checkpoint proteins MPS1, MAD1, and MAD2 at kinetochores. The PRP4 subfamily is part of a larger superfamily that includes the catalytic domains of other STKs, protein tyrosine kinases, RIO kinases, aminoglycoside phosphotransferase, choline kinase, and phosphoinositide 3-kinase.</t>
  </si>
  <si>
    <t>STKc_PRP4 e-177| STKc_CMGC 2e-073| PKc_DYRK 1e-071| PKc_YAK1 1e-067| PKc_DYRK_like 2e-066| PKc_DYRK1 8e-064| PKc_CLK 2e-059| S_TKc 4e-056| STKc_SRPK 5e-056| STKc_GSK3 3e-053|</t>
  </si>
  <si>
    <t>KOG0670, KOG0670, KOG0670, U4/U6-associated splicing factor PRP4 [RNA processing and modification].</t>
  </si>
  <si>
    <t xml:space="preserve"> AgamP4_2L:4233579-4238089(+) </t>
  </si>
  <si>
    <t xml:space="preserve">6 | 45    KHKRHKK|SS  0.615 *ProP*  | 117    SDERHKR|AE  0.651 *ProP*  | 293    ADADTKR|SK  0.550 *ProP*  | 381    ERRRDRR|GY  0.593 *ProP*  | 393    DRSRERR|SI  0.825 *ProP*  | 425    SRDRDMR|GV  0.592 *ProP*  | </t>
  </si>
  <si>
    <t>AGAP004651-RA</t>
  </si>
  <si>
    <t>AGAP004651-PA</t>
  </si>
  <si>
    <t>ZF_C2H2 5e-025| ZF_C2H2 7e-015| COG5048 5e-007| DUF2457 2e-004| Spc7_N 4e-004| CDC45 5e-004| VID27 8e-004| zf-H2C2_2 0.002| RNA_pol_3_Rpc31 0.004| Mpp10 0.004|</t>
  </si>
  <si>
    <t>pfam10446, DUF2457, Protein of unknown function (DUF2457).  This is a family of uncharacterized proteins.</t>
  </si>
  <si>
    <t xml:space="preserve"> AgamP4_2R:59549724-59552422(+) </t>
  </si>
  <si>
    <t>AGAP003890-RA</t>
  </si>
  <si>
    <t xml:space="preserve">U3 small nucleolar ribonucleoprotein protein IMP4 </t>
  </si>
  <si>
    <t>U3 small nucleolar ribonucleoprotein protein IMP4</t>
  </si>
  <si>
    <t>Ribosome biogenesis protein RPF1 contains IMP4 domain - probable fragment</t>
  </si>
  <si>
    <t>AGAP003890-PA</t>
  </si>
  <si>
    <t xml:space="preserve"> u3 small nucleolar ribonucleoprotein component</t>
  </si>
  <si>
    <t>Brix 5e-047| IMP4 3e-036| Brix 4e-027| PRK00933 0.002| PRK03972 0.037| BRX1 | Pox_RNA_pol_35 | AmyAc_Amylosucrase | nadE | COG4192 |</t>
  </si>
  <si>
    <t>KOG2781, KOG2781, KOG2781, U3 small nucleolar ribonucleoprotein (snoRNP) component [RNA processing and modification].</t>
  </si>
  <si>
    <t xml:space="preserve"> AgamP4_2R:45611157-45612098(-) </t>
  </si>
  <si>
    <t xml:space="preserve">1 | 34    KKERIKR|SL  0.829 *ProP*  | </t>
  </si>
  <si>
    <t>AGAP003061-RA</t>
  </si>
  <si>
    <t xml:space="preserve">cysteine and histidine-rich domain-containing protein </t>
  </si>
  <si>
    <t>cysteine and histidine-rich domain-containing protein</t>
  </si>
  <si>
    <t>Zn2+-binding protein Melusin/RAR1 contains CHORD domain</t>
  </si>
  <si>
    <t>AGAP003061-PA</t>
  </si>
  <si>
    <t xml:space="preserve"> cysteine and histidine-rich domain-containing protein 1</t>
  </si>
  <si>
    <t>cd06488, p23_melusin_like, p23_like domain similar to the C-terminal (tail) domain of vertebrate Melusin and related proteins. Melusin's tail domain interacts with the cytoplasmic domain of beta1-A and beta1-D isoforms of beta1 integrin, it does not bind other integrin beta subunits. Melusin is a muscle-specific protein expressed in skeletal and cardiac muscles but not in smooth muscle or other tissues. It is needed for heart hypertrophy following mechanical overload. The integrin-binding portion of this domain appears to be sequestered in the full length melusin protein, Ca2+ may modulate the protein's conformation exposing this binding site. This group includes Chordc1, also known as Chp-1, which is conserved from vertebrates to humans.  Mammalian Chordc1 interacts with the heat shock protein (HSP) Hsp90 and is implicated in circadian and/or homeostatic mechanisms in the brain. The N-terminal portions of proteins belonging to this group contain two cysteine and histidine rich domain (CHORD) domains.</t>
  </si>
  <si>
    <t>p23_melusin_like 7e-035| CHORD 3e-026| p23_CS_SGT1_like 6e-023| p23_like 1e-013| PLN03088 8e-010| CS 3e-009| p23_CS_hSgt1_like 5e-009| p23_DYX1C1_like 0.005| ACD_sHsps_p23-like 0.009| SGT1 0.017|</t>
  </si>
  <si>
    <t>KOG1667, KOG1667, KOG1667, Zn2+-binding protein Melusin/RAR1, contains CHORD domain [General function prediction only].</t>
  </si>
  <si>
    <t>pfam04968, CHORD, CHORD.  CHORD represents a Zn binding domain. Silencing of the C. elegans CHORD-containing gene results in semisterility and embryo lethality, suggesting an essential function of the wild-type gene in nematode development.</t>
  </si>
  <si>
    <t>smart00518, AP2Ec, AP endonuclease family 2.  These endonucleases play a role in DNA repair. Cleave phosphodiester bonds at apurinic or apyrimidinic sites.</t>
  </si>
  <si>
    <t xml:space="preserve"> AgamP4_2R:31931263-31932506(-) </t>
  </si>
  <si>
    <t>AGAP004514-RA</t>
  </si>
  <si>
    <t xml:space="preserve">nuclear GTP-binding protein </t>
  </si>
  <si>
    <t>nuclear GTP-binding protein</t>
  </si>
  <si>
    <t>nucleolar GTP-binding protein 2</t>
  </si>
  <si>
    <t>AGAP004514-PA</t>
  </si>
  <si>
    <t xml:space="preserve"> gtpase</t>
  </si>
  <si>
    <t>cd04178, Nucleostemin_like, A circularly permuted subfamily of the Ras GTPases.  Nucleostemin (NS) is a nucleolar protein that functions as a regulator of cell growth and proliferation in stem cells and in several types of cancer cells, but is not expressed in the differentiated cells of most mammalian adult tissues. NS shuttles between the nucleolus and nucleoplasm bidirectionally at a rate that is fast and independent of cell type. Lowering GTP levels decreases the nucleolar retention of NS, and expression of NS is abruptly down-regulated during differentiation prior to terminal cell division. Found only in eukaryotes, NS consists of an N-terminal basic domain, a coiled-coil domain, a GTP-binding domain, an intermediate domain, and a C-terminal acidic domain. Experimental evidence indicates that NS uses its GTP-binding property as a molecular switch to control the transition between the nucleolus and nucleoplasm, and this process involves interaction between the basic, GTP-binding, and intermediate domains of the protein.</t>
  </si>
  <si>
    <t>Nucleostemin_like 6e-077| COG1161 1e-050| GTPase_YlqF 3e-037| rbgA 5e-033| YlqF_related_GTPase 2e-032| YlqF 3e-032| NGP_1 5e-032| MJ1464 2e-030| HSR1_MMR1 9e-028| GN3L_Grn1 3e-016|</t>
  </si>
  <si>
    <t>KOG2484, KOG2484, KOG2484, GTPase [General function prediction only].</t>
  </si>
  <si>
    <t>pfam08701, GN3L_Grn1, GNL3L/Grn1 putative GTPase.  Grn1 (yeast) and GNL3L (human) are putative GTPases which are required for growth and play a role in processing of nucleolar pre-rRNA. This family contains a potential nuclear localization signal.</t>
  </si>
  <si>
    <t xml:space="preserve"> AgamP4_2R:57249581-57251433(+) </t>
  </si>
  <si>
    <t xml:space="preserve">1 | 528    GRSRKRK|VN  0.619 *ProP*  | </t>
  </si>
  <si>
    <t>AGAP005432-RA</t>
  </si>
  <si>
    <t xml:space="preserve">programmed cell death protein 5 </t>
  </si>
  <si>
    <t>programmed cell death protein 5</t>
  </si>
  <si>
    <t>AGAP005432-PA</t>
  </si>
  <si>
    <t xml:space="preserve"> programmed cell death protein</t>
  </si>
  <si>
    <t>pfam01984, dsDNA_bind, Double-stranded DNA-binding domain.  This domain is believed to bind double-stranded DNA of 20 bases length.</t>
  </si>
  <si>
    <t>dsDNA_bind 9e-022| COG2118 5e-014| PRK04239 3e-012| exodeoxyribonuclease_VII_large_subunit...    30   0.27  | CdaR | DUF4168 | SurA_N_2 | DUF4414 |</t>
  </si>
  <si>
    <t>KOG3431, KOG3431, KOG3431, Apoptosis-related protein/predicted DNA-binding protein [Cell cycle control, cell division, chromosome partitioning].</t>
  </si>
  <si>
    <t>smart00097, WNT1, found in Wnt-1.</t>
  </si>
  <si>
    <t xml:space="preserve"> AgamP4_2L:15428814-15429406(-) </t>
  </si>
  <si>
    <t>M(3.42)</t>
  </si>
  <si>
    <t>AGAP005048-RA</t>
  </si>
  <si>
    <t xml:space="preserve">anaphase-promoting complex subunit 2 </t>
  </si>
  <si>
    <t>anaphase-promoting complex subunit 2</t>
  </si>
  <si>
    <t>Anaphase-promoting complex (APC) subunit 2</t>
  </si>
  <si>
    <t>AGAP005048-PA</t>
  </si>
  <si>
    <t xml:space="preserve"> gnlcdd230104</t>
  </si>
  <si>
    <t>pfam08672, ANAPC2, Anaphase promoting complex (APC) subunit 2.  The anaphase promoting complex or cyclosome (APC2) is an E3 ubiquitin ligase which is part of the SCF family of ubiquitin ligases. Ubiquitin ligases catalyze the transfer of ubiquitin from the ubiquitin conjugating enzyme (E2), to the substrate protein.</t>
  </si>
  <si>
    <t>ANAPC2 1e-019| APC2 2e-018| CULLIN 5e-015| COG5647 1e-009| Cullin 3e-008| Cpn60_TCP1 | FabD | Glycogen_phosphorylase | NADH-quinone_oxidoreductase_subunit_9 | pheS |</t>
  </si>
  <si>
    <t>KOG2165, KOG2165, KOG2165, Anaphase-promoting complex (APC), subunit 2 [Cell cycle control, cell division, chromosome partitioning, Posttranslational modification, protein turnover, chaperones].</t>
  </si>
  <si>
    <t>smart01013, APC2, Anaphase promoting complex (APC) subunit 2.  The anaphase promoting complex or cyclosome (APC2) is an E3 ubiquitin ligase which is part of the SCF family of ubiquitin ligases. Ubiquitin ligases catalyse the transfer of ubiquitin from the ubiquitin conjugating enzyme (E2), to the substrate protein.</t>
  </si>
  <si>
    <t xml:space="preserve"> AgamP4_2L:8818559-8821078(+) </t>
  </si>
  <si>
    <t>AGAP007202-RA</t>
  </si>
  <si>
    <t>AGAP007202-PA</t>
  </si>
  <si>
    <t>pfam10180, DUF2373, Uncharacterized conserved protein (DUF2373). This is the C-terminal conserved region of a family of proteins found from fungi to humans. The function is not known.</t>
  </si>
  <si>
    <t>DUF2373 3e-015| sucB | PLN03237 | valS | CDC27 | PTZ00053 | PRK04950 | DUF4775 | PRK05035 |</t>
  </si>
  <si>
    <t>KOG4829, KOG4829, KOG4829, Uncharacterized conserved protein [Function unknown].</t>
  </si>
  <si>
    <t>smart00703, NRF, N-terminal domain in C. elegans NRF-6 (Nose Resistant to Fluoxetine-4) and NDG-4 (resistant to nordihydroguaiaretic acid-4).  Also present in several other worm and fly proteins.</t>
  </si>
  <si>
    <t xml:space="preserve"> AgamP4_2L:44269904-44270705(-) </t>
  </si>
  <si>
    <t>K(3.45)</t>
  </si>
  <si>
    <t>AGAP010464-RA</t>
  </si>
  <si>
    <t xml:space="preserve">NADH dehydrogenase (ubiquinone) 1 alpha/beta subcomplex 1 </t>
  </si>
  <si>
    <t>NADH dehydrogenase (ubiquinone) 1 alpha/beta subcomplex 1</t>
  </si>
  <si>
    <t>Acyl carrier protein/NADH-ubiquinone oxidoreductase NDUFAB1/SDAP subunit</t>
  </si>
  <si>
    <t>AGAP010464-PA</t>
  </si>
  <si>
    <t xml:space="preserve"> tra0a82lnc7a0a82lnc7 9dipt acyl carrier protein os-coluzzii ox-834 pe-3 sv</t>
  </si>
  <si>
    <t>PRK00982, acpP, acyl carrier protein; Provisional.</t>
  </si>
  <si>
    <t>acpP 2e-016| PTZ00171 1e-015| Acyl_carrier_protein 3e-013| AcpP 4e-013| acpP 5e-013| PRK12449 1e-006| PRK06508 2e-005| PP-binding 5e-005| PRK07081 0.004| PRK05828 0.004|</t>
  </si>
  <si>
    <t>KOG1748, KOG1748, KOG1748, Acyl carrier protein/NADH-ubiquinone oxidoreductase, NDUFAB1/SDAP subunit [Energy production and conversion, Lipid transport and metabolism, Secondary metabolites biosynthesis, transport and catabolism].</t>
  </si>
  <si>
    <t xml:space="preserve">Energy production and conversion, Lipid transport and metabolism, Secondary metabolites biosynthesis, transport and catabolism </t>
  </si>
  <si>
    <t>pfam00550, PP-binding, Phosphopantetheine attachment site.  A 4'-phosphopantetheine prosthetic group is attached through a serine. This prosthetic group acts as a a 'swinging arm' for the attachment of activated fatty acid and amino-acid groups. This domain forms a four helix bundle. This family includes members not included in Prosite. The inclusion of these members is supported by sequence analysis and functional evidence. The related domain of the anguibactin system regulator AngR has the attachment serine replaced by an alanine.</t>
  </si>
  <si>
    <t>smart00823, PKS_PP, Phosphopantetheine attachment site. Phosphopantetheine (or pantetheine 4' phosphate) is the prosthetic group of acyl carrier proteins (ACP) in some multienzyme complexes where it serves as a 'swinging arm' for the attachment of activated fatty acid and amino-acid groups.</t>
  </si>
  <si>
    <t xml:space="preserve"> AgamP4_3L:3944950-3945956(-) </t>
  </si>
  <si>
    <t>AGAP002898-RB</t>
  </si>
  <si>
    <t xml:space="preserve">glutathione S-transferase zeta class 1 </t>
  </si>
  <si>
    <t>GSTZ1: glutathione S-transferase zeta class 1</t>
  </si>
  <si>
    <t>Glutathione S-transferase</t>
  </si>
  <si>
    <t>AGAP002898-PB</t>
  </si>
  <si>
    <t xml:space="preserve"> maleylacetoacetate isomerase 1</t>
  </si>
  <si>
    <t>ExpAA=0.14 First60=0.13 PredHel=0 Topology=o</t>
  </si>
  <si>
    <t>TIGR01262, Maleylacetoacetate_isomerase, maleylacetoacetate isomerase.  Maleylacetoacetate isomerase is an enzyme of tyrosine and phenylalanine catabolism. It requires glutathione and belongs by homology to the zeta family of glutathione S-transferases. The enzyme (EC 5.2.1.2) is described as active also on maleylpyruvate, and the example from a Ralstonia sp. catabolic plasmid is described as a maleylpyruvate isomerase involved in gentisate catabolism. [Energy metabolism, Amino acids and amines].</t>
  </si>
  <si>
    <t>Maleylacetoacetate_isomerase 7e-083| GST_C_Zeta 6e-052| Gst 7e-037| GST_N_Zeta 9e-030| GST_N_family 4e-016| GST_N_3 6e-014| PRK15113 1e-013| GST_N_2 2e-011| GST_N_4 1e-010| GST_N_Ure2p_like 3e-010|</t>
  </si>
  <si>
    <t>KOG0868, KOG0868, KOG0868, Glutathione S-transferase [Posttranslational modification, protein turnover, chaperones].</t>
  </si>
  <si>
    <t>pfam13417, GST_N_3, Glutathione S-transferase, N-terminal domain.</t>
  </si>
  <si>
    <t>smart00022, PLAc, Cytoplasmic phospholipase A2, catalytic subunit. Cytosolic phospholipases A2 hydrolyse arachidonyl phospholipids. Family includes phospholipases B isoforms.</t>
  </si>
  <si>
    <t xml:space="preserve"> AgamP4_2R:29080820-29096123(-) </t>
  </si>
  <si>
    <t>AGAP010382-RA</t>
  </si>
  <si>
    <t xml:space="preserve">Serrate RNA effector molecule homolog </t>
  </si>
  <si>
    <t>Ars2: Serrate RNA effector molecule homolog</t>
  </si>
  <si>
    <t>AGAP010382-PA</t>
  </si>
  <si>
    <t xml:space="preserve"> serrate rna effector molecule</t>
  </si>
  <si>
    <t>pfam04959, ARS2, Arsenite-resistance protein 2.  Arsenite is a carcinogenic compound which can act as a co-mutagen by inhibiting DNA repair. Arsenite-resistance protein 2 is thought to play a role in arsenite resistance.</t>
  </si>
  <si>
    <t>ARS2 4e-045| DUF3546 8e-042| MDN1 4e-007| PTZ00108 2e-006| PRK08581 5e-006| retinal_rod 8e-006| Nop14 9e-006| PTZ00121 1e-005| PRK05901 1e-004| CDC27 3e-004|</t>
  </si>
  <si>
    <t>KOG2295, KOG2295, KOG2295, C2H2 Zn-finger protein [General function prediction only].</t>
  </si>
  <si>
    <t xml:space="preserve"> AgamP4_3L:2396139-2401816(-) </t>
  </si>
  <si>
    <t xml:space="preserve">4 | 13    EYDRKRR|DK  0.667 *ProP*  | 20    DKFRGER|SA  0.634 *ProP*  | 376    SEDRKKR|SR  0.830 *ProP*  | 608    DLSRRVR|PV  0.519 *ProP*  | </t>
  </si>
  <si>
    <t>AGAP012113-RA</t>
  </si>
  <si>
    <t xml:space="preserve">ubiquitin carboxyl-terminal hydrolase L3 </t>
  </si>
  <si>
    <t>ubiquitin carboxyl-terminal hydrolase L3</t>
  </si>
  <si>
    <t>Cysteine peptidase C12 containing ubiquitin carboxyl-terminal hydrolase</t>
  </si>
  <si>
    <t>AGAP012113-PA</t>
  </si>
  <si>
    <t xml:space="preserve"> ubiquitin carboxyl-terminal hydrolase os-coluzzii ox-834 pe-3 sv</t>
  </si>
  <si>
    <t>ExpAA=2.18 First60=2.10 PredHel=0 Topology=o</t>
  </si>
  <si>
    <t>cd09616, Peptidase_C12_UCH_L1_L3, Cysteine peptidase C12 containing ubiquitin carboxyl-terminal hydrolase (UCH) families L1 and L3.  This ubiquitin C-terminal hydrolase (UCH) family includes UCH-L1 and UCH-L3, the two members sharing around 53% sequence identity as well as conserved catalytic residues. Both enzymes hydrolyze carboxyl terminal esters and amides of ubiquitin (Ub). UCH-L1, in dimeric form, has additional enzymatic activity as a ubiquitin ligase. It is highly abundant in the brain, constituting up to 2% of total protein, and is expressed exclusively in neurons and testes. Abnormal expression of UCH-L1 has been shown to correlate with several forms of cancer, including several primary lung tumors, lung tumor cell lines, and colorectal cancers. Mutations in the UCH-L1 gene have been linked to susceptibility to and protection from Parkinson's disease (PD); dysfunction of the hydrolase activity can lead to an accumulation of alpha-synuclein, which is linked to Parkinson's disease (PD), while accumulation of neurofibrillary tangles is linked to Alzheimer's disease (AD).  UCH-L3 hydrolyzes isopeptide bonds at the C-terminal glycine of either Ub or Nedd8, a ubiquitin-like protein. It can also interact with Lys48-linked Ub dimers to protect them from degradation while inhibiting its hydrolase activity at the same time.  Unlike UCH-L1, neither dimerization nor ligase activity have been observed for UCH-L3. It has been shown that levels of Nedd8 and the apoptotic protein p53 and Bax are elevated in UCH-L3 knockout mice upon cryptorchid injury, possibly contributing to profound germ cell loss via apoptosis.</t>
  </si>
  <si>
    <t>Peptidase_C12_UCH_L1_L3 1e-093| Peptidase_C12 6e-079| Peptidase_C12_UCH37_BAP1 2e-028| Peptidase_C12 2e-017| Hexokinase_2 | GH18_plant_chitinase_class_V | ABC_FeS_Assembly | PI-PLCc | sufC | COG1817 |</t>
  </si>
  <si>
    <t>KOG1415, KOG1415, KOG1415, Ubiquitin C-terminal hydrolase UCHL1 [Posttranslational modification, protein turnover, chaperones].</t>
  </si>
  <si>
    <t>pfam01088, Peptidase_C12, Ubiquitin carboxyl-terminal hydrolase, family 1.</t>
  </si>
  <si>
    <t>smart00434, TOP4c, DNA Topoisomerase IV.  Bacterial DNA topoisomerase IV, GyrA, ParC.</t>
  </si>
  <si>
    <t xml:space="preserve"> AgamP4_3L:37765232-37766071(-) </t>
  </si>
  <si>
    <t>AGAP004889-RA</t>
  </si>
  <si>
    <t>ubiquitin-conjugating enzyme (huntingtin interacting protein 2)</t>
  </si>
  <si>
    <t>ubiquitin-conjugating enzyme E2-25kD</t>
  </si>
  <si>
    <t>AGAP004889-PA</t>
  </si>
  <si>
    <t xml:space="preserve"> e2 ubiquitin-conjugating enzyme</t>
  </si>
  <si>
    <t>cd00195, UBCc, Ubiquitin-conjugating enzyme E2, catalytic (UBCc) domain. This is part of the ubiquitin-mediated protein degradation pathway in which a thiol-ester linkage forms between a conserved cysteine and the C-terminus of ubiquitin and complexes with ubiquitin protein ligase enzymes, E3.  This pathway regulates many fundamental cellular processes.  There are also other E2s which form thiol-ester linkages without the use of E3s as well as several UBC homologs (TSG101, Mms2, Croc-1 and similar proteins) which lack the active site cysteine essential for ubiquitination and appear to function in DNA repair pathways which were omitted from the scope of this CD.</t>
  </si>
  <si>
    <t>UBCc 2e-040| UQ_con 6e-040| UBCc 2e-036| COG5078 1e-034| PTZ00390 8e-031| PLN00172 3e-026| UBA_II_E2_UBCD4 2e-009| UBA_II_E2_UBE2K_like 5e-007| UBA_II_E2_pyUCE_like 0.011| UBA2_spUBP14_like 0.013|</t>
  </si>
  <si>
    <t>KOG0418, KOG0418, KOG0418, Ubiquitin-protein ligase [Posttranslational modification, protein turnover, chaperones].</t>
  </si>
  <si>
    <t xml:space="preserve"> AgamP4_2L:4975286-4976994(-) </t>
  </si>
  <si>
    <t xml:space="preserve">1 | 11    AVSRIKR|EF  0.691 *ProP*  | </t>
  </si>
  <si>
    <t>AGAP002705-RA</t>
  </si>
  <si>
    <t>AGAP002705-PA</t>
  </si>
  <si>
    <t xml:space="preserve"> zinc finger and scan domain-containing protein 2</t>
  </si>
  <si>
    <t>ZF_C2H2 1e-026| ZF_C2H2 4e-014| COG5048 8e-005| zf-H2C2_2 8e-004| PHA00733 0.004| ZF_C2H2 0.004| zf-AD 0.004| zf-C2H2 0.004| DnaJ-like_protein_MG200_homolog 0.005| ZF_C2H2 0.009|</t>
  </si>
  <si>
    <t>pfam13465, zf-H2C2_2, Zinc-finger double domain.</t>
  </si>
  <si>
    <t xml:space="preserve"> AgamP4_2R:25828737-25830888(+) </t>
  </si>
  <si>
    <t xml:space="preserve">1 | 414    CDERFKR|VD  0.569 *ProP*  | </t>
  </si>
  <si>
    <t>AGAP010342.R622</t>
  </si>
  <si>
    <t>VectorBase: AGAP010342</t>
  </si>
  <si>
    <t>AGAP002130-RA</t>
  </si>
  <si>
    <t xml:space="preserve">tubulin-specific chaperone A </t>
  </si>
  <si>
    <t>tubulin-specific chaperone A</t>
  </si>
  <si>
    <t>AGAP002130-PA</t>
  </si>
  <si>
    <t xml:space="preserve"> tra0a43yk08a0a43yk08 anoar tubulin-specific chaperone a os-arabiensis ox-773 pe-3 sv</t>
  </si>
  <si>
    <t>pfam02970, TBCA, Tubulin binding cofactor A.</t>
  </si>
  <si>
    <t>TBCA 9e-021| chromosome_segregation_protein_related...    27   2.2   | mukB | DNA_S_dndD |</t>
  </si>
  <si>
    <t>KOG3470, KOG3470, KOG3470, Beta-tubulin folding cofactor A [Posttranslational modification, protein turnover, chaperones].</t>
  </si>
  <si>
    <t>smart00663, RPOLA_N, RNA polymerase I subunit A N-terminus.</t>
  </si>
  <si>
    <t xml:space="preserve"> AgamP4_2R:16096238-16096681(+) </t>
  </si>
  <si>
    <t>AGAP001102-RA</t>
  </si>
  <si>
    <t xml:space="preserve">C-myc promoter-binding protein </t>
  </si>
  <si>
    <t>C-myc promoter-binding protein</t>
  </si>
  <si>
    <t>Calmodulin-binding protein CRAG contains DENN domain</t>
  </si>
  <si>
    <t>AGAP001102-PA</t>
  </si>
  <si>
    <t xml:space="preserve"> calmodulin-binding protein crag</t>
  </si>
  <si>
    <t>pfam02141, DENN, DENN (AEX-3) domain.  DENN (after differentially expressed in neoplastic vs normal cells) is a domain which occurs in several proteins involved in Rab- mediated processes or regulation of MAPK signalling pathways.</t>
  </si>
  <si>
    <t>DENN 2e-068| DENN 3e-053| dDENN 5e-019| uDENN 1e-016| dDENN 3e-015| uDENN 1e-012| PPR 1e-006| PPR_2 | PPR | Hia |</t>
  </si>
  <si>
    <t>KOG2127, KOG2127, KOG2127, Calmodulin-binding protein CRAG, contains DENN domain [Signal transduction mechanisms].</t>
  </si>
  <si>
    <t>smart00799, DENN, Domain found in a variety of signalling proteins, always encircled by uDENN and dDENN.  The DENN domain is found in a variety of signalling proteins involved in Rab-mediated processes or regulation of MAPKs signalling pathways. The DENN domain is always encircled on both sides by more divergent domains, called uDENN (for upstream DENN) and dDENN (for downstream DENN). The function of the DENN domain remains to date unclear, although it appears to represent a good candidate for a GTP/GDP exchange activity.</t>
  </si>
  <si>
    <t xml:space="preserve"> AgamP4_2R:66265-72065(+) </t>
  </si>
  <si>
    <t xml:space="preserve">1 | 1277    NGNRSRR|VS  0.535 *ProP*  | </t>
  </si>
  <si>
    <t>AGAP002776-RA</t>
  </si>
  <si>
    <t xml:space="preserve">cleavage stimulation factor subunit 1 </t>
  </si>
  <si>
    <t>cleavage stimulation factor subunit 1</t>
  </si>
  <si>
    <t>mRNA cleavage stimulating factor complex; subunit 1</t>
  </si>
  <si>
    <t>AGAP002776-PA</t>
  </si>
  <si>
    <t xml:space="preserve"> mrna cleavage stimulating factor complex</t>
  </si>
  <si>
    <t>WD40 1e-042| 7WD40 2e-029| COG2319 1e-028| CSTF1_dimer 5e-025| WD40 2e-005| WD40 7e-005| ANAPC4_WD40 2e-004| PLN00181 0.042| PTZ00421 0.046| Ge1_WD40 0.065|</t>
  </si>
  <si>
    <t>KOG0640, KOG0640, KOG0640, mRNA cleavage stimulating factor complex; subunit 1 [RNA processing and modification].</t>
  </si>
  <si>
    <t>pfam16699, CSTF1_dimer, Cleavage stimulation factor subunit 1, dimerisation domain.  This family is the dimerisation domain, at the N-terminal, of a family of cleavage stimulation factor subunit 1 proteins from eukaryotes. This domain allows for homodimerisation such that the functional state of CSTF1 is a heterohexamer. The cleavage stimulation factor (CstF) complex is composed of three subunits and is essential for pre-mRNA 3'-end processing. CstF recognizes U and G/U-rich cis-acting RNA sequence elements and helps to stabilize the cleavage and polyadenylation specificity factor (CPSF) at the polyadenylation site as required for productive RNA cleavage.</t>
  </si>
  <si>
    <t xml:space="preserve"> AgamP4_2R:27041812-27043164(-) </t>
  </si>
  <si>
    <t>AGAP007705-RA</t>
  </si>
  <si>
    <t xml:space="preserve">tRNA acetyltransferase TAN1 </t>
  </si>
  <si>
    <t>tRNA acetyltransferase TAN1</t>
  </si>
  <si>
    <t>AGAP007705-PA</t>
  </si>
  <si>
    <t xml:space="preserve"> thump domain-containing protein 1</t>
  </si>
  <si>
    <t>ExpAA=0.09 First60=0.00 PredHel=0 Topology=o</t>
  </si>
  <si>
    <t>cd11717, THUMP_THUMPD1_like, THUMP domain-containing protein 1-like.  This family contains THUMP domain-only proteins including THUMP domain-containing protein 1 and Saccharomyces cerevisiae Tan1. Tan1 is non essential and has been shown to be required for the formation of the modified nucleoside N(4)-acetylcytidine (ac(4)C) in tRNA. To date, there is no functional information available about THUMPD1. The THUMP domain is named after thiouridine synthases, methylases and PSUSs. The domain consists of about 110 amino acid residues. It is predicted to be an RNA-binding domain and probably functions by delivering a variety of RNA modification enzymes to their targets.</t>
  </si>
  <si>
    <t>THUMP_THUMPD1_like 1e-037| THUMP 5e-012| THUMP 2e-008| THUMP 1e-007| COG1818 3e-007| THUMP_SPOUT 4e-004| PRK01565 0.023| THUMP_ThiI | DUF2207 | ThiI |</t>
  </si>
  <si>
    <t>KOG3943, KOG3943, KOG3943, THUMP domain-containing proteins [General function prediction only].</t>
  </si>
  <si>
    <t>pfam02926, THUMP, THUMP domain.  The THUMP domain is named after after thiouridine synthases, methylases and PSUSs. The THUMP domain consists of about 110 amino acid residues. The structure of ThiI reveals that the THUMP has a fold unlike that of previously characterized RNA-binding domains. It is predicted that this domain is an RNA-binding domain The THUMP domain probably functions by delivering a variety of RNA modification enzymes to their targets.</t>
  </si>
  <si>
    <t>smart00981, THUMP, The THUMP domain is named after after thiouridine synthases, methylases and PSUSs.  The THUMP domain consists of about 110 amino acid residues. The structure of ThiI reveals that the THUMP has a fold unlike that of previously characterised RNA-binding domains. It is predicted that this domain is an RNA-binding domain The THUMP domain probably functions by delivering a variety of RNA modification enzymes to their targets.</t>
  </si>
  <si>
    <t xml:space="preserve"> AgamP4_2L:49142179-49143048(+) </t>
  </si>
  <si>
    <t>AGAP004782-RA</t>
  </si>
  <si>
    <t xml:space="preserve">tubulin-specific chaperone D </t>
  </si>
  <si>
    <t>tubulin-specific chaperone D</t>
  </si>
  <si>
    <t>AGAP004782-PA</t>
  </si>
  <si>
    <t xml:space="preserve"> tubulin-specific chaperone d</t>
  </si>
  <si>
    <t>ExpAA=0.11 First60=0.00 PredHel=0 Topology=o</t>
  </si>
  <si>
    <t>pfam12612, TFCD_C, Tubulin folding cofactor D C terminal.  This domain family is found in eukaryotes, and is typically between 182 and 199 amino acids in length. The family is found in association with pfam02985. There is a single completely conserved residue R that may be functionally important. Tubulin folding cofactor D does not co-polymerize with microtubules either in vivo or in vitro, but instead modulates microtubule dynamics by sequestering beta-tubulin from GTP-bound alphabeta-heterodimers in microtubules.</t>
  </si>
  <si>
    <t>TFCD_C 7e-047| CIN1 1e-022| HEAT 0.021| DUF530 | rpoB | HEAT_EZ | COG4325 | HEAT_2 | rSAM_XyeB | PRK03846 |</t>
  </si>
  <si>
    <t>KOG1943, KOG1943, KOG1943, Beta-tubulin folding cofactor D [Posttranslational modification, protein turnover, chaperones].</t>
  </si>
  <si>
    <t xml:space="preserve"> AgamP4_2L:3469348-3473011(-) </t>
  </si>
  <si>
    <t>AGAP009980-RA</t>
  </si>
  <si>
    <t xml:space="preserve">SWI/SNF-related matrix-associated actin-dependent regulator of chromatin subfamily A containing DEAD/H box 1 </t>
  </si>
  <si>
    <t>SWI/SNF-related matrix-associated actin-dependent regulator of chromatin subfamily A containing DEAD/H box 1</t>
  </si>
  <si>
    <t>Chromodomain-helicase DNA-binding protein - probable fragment</t>
  </si>
  <si>
    <t>AGAP009980-PA</t>
  </si>
  <si>
    <t>PLN03142, PLN03142, Probable chromatin-remodeling complex ATPase chain; Provisional.</t>
  </si>
  <si>
    <t>PLN03142 e-104| HepA 5e-087| SNF2_N 6e-057| DEXDc 4e-023| Helicase_C 2e-022| HELICc 1e-021| HELICc 5e-016| DEXDc 5e-015| ResIII 1e-008| SSL2 1e-007|</t>
  </si>
  <si>
    <t>pfam00176, SNF2_N, SNF2 family N-terminal domain.  This domain is found in proteins involved in a variety of processes including transcription regulation (e.g., SNF2, STH1, brahma, MOT1), DNA repair (e.g., ERCC6, RAD16, RAD5), DNA recombination (e.g., RAD54), and chromatin unwinding (e.g., ISWI) as well as a variety of other proteins with little functional information (e.g., lodestar, ETL1).</t>
  </si>
  <si>
    <t xml:space="preserve"> AgamP4_3R:47087938-47091343(+) </t>
  </si>
  <si>
    <t xml:space="preserve">1 | 542    VLRRLKK|DV  0.591 *ProP*  | </t>
  </si>
  <si>
    <t>AGAP010514-RA</t>
  </si>
  <si>
    <t xml:space="preserve">activator of 90 kDa heat shock protein ATPase </t>
  </si>
  <si>
    <t>activator of 90 kDa heat shock protein ATPase</t>
  </si>
  <si>
    <t>activator of 90 kDa heat shock protein ATPase homolog 1</t>
  </si>
  <si>
    <t>AGAP010514-PA</t>
  </si>
  <si>
    <t xml:space="preserve"> activator of 90 kda heat shock protein atpase log 1</t>
  </si>
  <si>
    <t>cd08892, SRPBCC_Aha1, Putative hydrophobic ligand-binding SRPBCC domain of the Hsp90 co-chaperone Aha1 and related proteins.  This subfamily includes the C-terminal SRPBCC (START/RHO_alpha_C/PITP/Bet_v1/CoxG/CalC) domain of Aha1, and related domains. Proteins in this group belong to the SRPBCC domain superfamily of proteins which bind hydrophobic ligands. SRPBCC domains have a deep hydrophobic ligand-binding pocket. Aha1 is one of several co-chaperones, which regulate the dimeric chaperone Hsp90. Hsp90, Aha1, and other accessory proteins interact in a chaperone cycle driven by ATP binding and hydrolysis. Aha1 promotes dimerization of the N-terminal domains of Hsp90, and stimulates its low intrinsic ATPase activity. One Aha1 molecule binds per Hsp90 dimer. The N- and C- terminal domains of Aha1 cooperatively bind across the dimer interface of Hsp90. The C-terminal domain of Aha1 binds the N-terminal Hsp90 ATPase domain. Aha1 may regulate the dwell time of Hsp90 with client proteins. Aha1 may act as either a negative or positive regulator of chaperone-dependent activation, depending on the client protein; for example, it acts as a negative regulator in the case of Saccharomyces cerevisiae MAL63 MAL-activator, and acts as a positive regulator in the case of glucocorticoid receptor and v-Src kinase. The mechanisms by which these opposing functions are achieved are unclear. Aha1 is upregulated in a number of tumor lines co-incident with the activation of several signaling kinases.</t>
  </si>
  <si>
    <t>SRPBCC_Aha1 3e-051| Aha1_N 7e-035| Aha1_N 9e-032| COG5580 7e-025| AHSA1 1e-020| PTZ00220 2e-016| SRPBCC_CalC_Aha1-like 2e-011| SRPBCC_CalC_Aha1-like_GntR-HTH 0.061| COG3832 | SRPBCC_CalC_Aha1-like_1 |</t>
  </si>
  <si>
    <t>KOG2936, KOG2936, KOG2936, Uncharacterized conserved protein [Function unknown].</t>
  </si>
  <si>
    <t>pfam09229, Aha1_N, Activator of Hsp90 ATPase, N-terminal.  Members of this family, which are predominantly found in the protein 'Activator of Hsp90 ATPase' adopt a secondary structure consisting of an N-terminal alpha-helix leading into a four-stranded meandering antiparallel beta-sheet, followed by a C-terminal alpha-helix. The two helices are packed together, with the beta-sheet curving around them. They bind to the molecular chaperone HSP82 and stimulate its ATPase activity.</t>
  </si>
  <si>
    <t>smart01000, Aha1_N, Activator of Hsp90 ATPase, N-terminal.  This domain is predominantly found in the protein 'Activator of Hsp90 ATPase', it adopts a secondary structure consisting of an N-terminal alpha-helix leading into a four-stranded meandering antiparallel beta-sheet, followed by a C-terminal alpha-helix. The two helices are packed together, with the beta-sheet curving around them. They bind to the molecular chaperone HSP82 and stimulate its ATPase activity.</t>
  </si>
  <si>
    <t xml:space="preserve"> AgamP4_3L:5547073-5561809(-) </t>
  </si>
  <si>
    <t>W(3.25)</t>
  </si>
  <si>
    <t>AGAP004535-RA</t>
  </si>
  <si>
    <t xml:space="preserve">exportin 7 </t>
  </si>
  <si>
    <t>exportin 7</t>
  </si>
  <si>
    <t>Nuclear transport receptor RanBP16 (importin beta superfamily)</t>
  </si>
  <si>
    <t>AGAP004535-PA</t>
  </si>
  <si>
    <t xml:space="preserve"> nuclear transport receptor ranbp16 importin beta superfamily</t>
  </si>
  <si>
    <t>smart00913, IBN_N, Importin-beta N-terminal domain.  Members of the importin-beta (karyopherin-beta) family can bind and transport cargo by themselves, or can form heterodimers with importin-alpha. As part of a heterodimer, importin-beta mediates interactions with the pore complex, while importin-alpha acts as an adaptor protein to bind the nuclear localisation signal (NLS) on the cargo through the classical NLS import of proteins. Importin-beta is a helicoidal molecule constructed from 19 HEAT repeats. Many nuclear pore proteins contain FG sequence repeats that can bind to HEAT repeats within importins.. which is important for importin-beta mediated transport.</t>
  </si>
  <si>
    <t>IBN_N 7e-008| CRM1 1e-006| IBN_N 5e-004| PLN02285 | DNA_mismatch_repair_protein_MutL | M14_ASTE_ASPA_like_6 | SrfB |</t>
  </si>
  <si>
    <t>KOG1410, KOG1410, KOG1410, Nuclear transport receptor RanBP16 (importin beta superfamily) [Nuclear structure, Intracellular trafficking, secretion, and vesicular transport].</t>
  </si>
  <si>
    <t xml:space="preserve">Nuclear structure, Intracellular trafficking, secretion, and vesicular transport </t>
  </si>
  <si>
    <t>pfam03810, IBN_N, Importin-beta N-terminal domain.</t>
  </si>
  <si>
    <t xml:space="preserve"> AgamP4_2R:57459070-57464205(+) </t>
  </si>
  <si>
    <t>AGAP002533-RA</t>
  </si>
  <si>
    <t xml:space="preserve">polycomb group RING finger protein 3 </t>
  </si>
  <si>
    <t>polycomb group RING finger protein 3</t>
  </si>
  <si>
    <t>AGAP002533-PA</t>
  </si>
  <si>
    <t xml:space="preserve"> polycomb group ring finger protein 3</t>
  </si>
  <si>
    <t>cd16735, RING-HC_PCGF3, RING finger found in polycomb group RING finger protein 3 (PCGF3) and similar proteins.  PCGF3, also known as RING finger protein 3A (RNF3A), is one of six PcG RING finger (PCGF) homologs (PCGF1, PCGF2/Mel-18, PCGF3, PCGF4/BMI1, PCGF5, and PCGF6) and serves as the core component of a Polycomb repressive complex 1 (PRC1). Like other PCGF homologs, PCGF3 associates with ring finger protein 2 (RNF2) to form a RNF2-PCGF heterodimer, which is catalytically competent as an E3 ubiquitin transferase and is the scaffold for the assembly of additional components. PCGF3 contains a C3HC4-type RING-HC finger.</t>
  </si>
  <si>
    <t>RING-HC_PCGF3 1e-021| RING-HC_PCGF 7e-016| RING-HC_PCGF4 4e-014| RING-HC_PCGF6 5e-014| RING-HC_PCGF5 3e-013| RAWUL 4e-013| RING-HC_PCGF1 1e-012| RING-HC_PCGF2 5e-012| zf-C3HC4 2e-007| RING-HC_COP1 2e-006|</t>
  </si>
  <si>
    <t>KOG2660, KOG2660, KOG2660, Locus-specific chromosome binding proteins [Function unknown].</t>
  </si>
  <si>
    <t>pfam16207, RAWUL, RAWUL domain RING finger- and WD40-associated ubiquitin-like.  The RAWUL domain is found at the C-terminus of poly-comb group RING finger proteins. It is a ubiquitin-like domain. RAWUL binds directly to PUFD, a domain on BCOR proteins (BCL6 corepressor). BCOR has emerged as an important player in development and health.</t>
  </si>
  <si>
    <t xml:space="preserve"> AgamP4_2R:22447207-22448249(+) </t>
  </si>
  <si>
    <t xml:space="preserve">1 | 154    LKRRFIR|CS  0.549 *ProP*  | </t>
  </si>
  <si>
    <t>AGAP005535-RA</t>
  </si>
  <si>
    <t xml:space="preserve">26S proteasome 26S non-ATPase subunit N5 </t>
  </si>
  <si>
    <t>Rpn5: 26S proteasome 26S non-ATPase subunit N5</t>
  </si>
  <si>
    <t>26S proteasome regulatory complex subunit RPN5/PSMD12</t>
  </si>
  <si>
    <t>AGAP005535-PA</t>
  </si>
  <si>
    <t>COG5071, RPN5, 26S proteasome regulatory complex component [Posttranslational modification, protein turnover, chaperones].</t>
  </si>
  <si>
    <t>RPN5 4e-090| PCI 7e-013| PAM 5e-008| PINT 5e-008| TPR_hemY_coli | glpX | BaFpgNei_N_3 | PHA-1 | FBPase_glpX | Pro_dh |</t>
  </si>
  <si>
    <t>KOG1498, KOG1498, KOG1498, 26S proteasome regulatory complex, subunit RPN5/PSMD12 [Posttranslational modification, protein turnover, chaperones].</t>
  </si>
  <si>
    <t xml:space="preserve"> AgamP4_2L:16692989-16694450(-) </t>
  </si>
  <si>
    <t>AGAP007765-RA</t>
  </si>
  <si>
    <t>AGAP007765-PA</t>
  </si>
  <si>
    <t xml:space="preserve"> mtor-associated protein meak7</t>
  </si>
  <si>
    <t>TLDc 2e-040| TLD 4e-034| OXR1 2e-010| COG1728 | YcaO | MYSc_Myo28 | PLN02632 | PRK10670 | COG3164 | DUF2089 |</t>
  </si>
  <si>
    <t>KOG2557, KOG2557, KOG2557, Uncharacterized conserved protein, contains TLDc domain [Function unknown].</t>
  </si>
  <si>
    <t xml:space="preserve"> AgamP4_3R:498481-500928(-) </t>
  </si>
  <si>
    <t>AGAP005528-RA</t>
  </si>
  <si>
    <t>N-methyl-D-aspartate receptor glutamate-binding subunit - 8 predicted membrane helices</t>
  </si>
  <si>
    <t>AGAP005528-PA</t>
  </si>
  <si>
    <t xml:space="preserve"> protein - 8 predicted membrane helices</t>
  </si>
  <si>
    <t>st/apoptosis membrane</t>
  </si>
  <si>
    <t>ExpAA=145.71 First60=0.00 PredHel=7 Topology=i80-98o113-135i142-164o169-188i195-217o222-241i261-283o</t>
  </si>
  <si>
    <t>cd10428, LFG_like, Proteins similar to and including lifeguard (LFG), a putative regulator of apoptosis.  Lifeguard (LFG) inhibits Fas-mediated apoptosis and interacts with the death receptor FasR/CD95/Apo1. LFG has been shown to interact with Bax and is supposed to be integral to cellular membranes such as the ER. A close homolog, PP1201 or RECS1, appears located in the Golgi compartment and also interacts with the Fas receptor CD95/Apo1. PP1201 is expressed in response to shear stress.</t>
  </si>
  <si>
    <t>LFG_like 2e-078| GAAP_like 8e-052| Bax1-I 2e-034| BI-1-like 3e-032| BI-1-like_bacterial 4e-031| COG0670 2e-028| YccA_like 5e-016| BI-1 4e-013| GHITM 8e-008| PRK10447 3e-006|</t>
  </si>
  <si>
    <t>KOG2322, KOG2322, KOG2322, N-methyl-D-aspartate receptor glutamate-binding subunit [Signal transduction mechanisms].</t>
  </si>
  <si>
    <t>pfam01027, Bax1-I, Inhibitor of apoptosis-promoting Bax1. Programmed cell-death involves a set of Bcl-2 family proteins, some of which inhibit apoptosis (Bcl-2 and Bcl-XL) and some of which promote it (Bax and Bak). Human Bax inhibitor, BI-1, is an evolutionarily conserved integral membrane protein containing multiple membrane-spanning segments predominantly localized to intracellular membranes. It has 6-7 membrane-spanning domains. The C termini of the mammalian BI-1 proteins are comprised of basic amino acids resembling some nuclear targeting sequences, but otherwise the predicted proteins lack motifs that suggest a function. As plant BI-1 appears to localize predominantly to the ER, we hypothesized that plant BI-1 could also regulate cell death triggered by ER stress. BI-1 appears to exert its effect through an interaction with calmodulin. The budding yeast member of this family has been found unexpectedly to encode a BH3 domain-containing protein (Ybh3p) that regulates the mitochondrial pathway of apoptosis in a phylogenetically conserved manner. Examination of the crystal structure of a bacterial member of this family shows that these proteins mediate a calcium leak across the membrane that is pH-dependent. Calcium homoeostasis balances passive calcium leak with active calcium uptake. The structure exists in a pore-closed and pore-open conformation, at pHs of 8 and 6 respectively, and the pore can be opened by intracrystalline transition; together these findings suggest that pH controls the conformational transition.</t>
  </si>
  <si>
    <t>smart00756, VKc, Family of likely enzymes that includes the catalytic subunit of vitamin K epoxide reductase. Bacterial homologues are fused to members of the thioredoxin family of oxidoreductases.</t>
  </si>
  <si>
    <t xml:space="preserve"> AgamP4_2L:16650094-16651262(+) </t>
  </si>
  <si>
    <t>F(3.36)</t>
  </si>
  <si>
    <t>AGAP004318-RA</t>
  </si>
  <si>
    <t xml:space="preserve">CLIP-domain serine protease </t>
  </si>
  <si>
    <t>CLIPC3: CLIP-domain serine protease</t>
  </si>
  <si>
    <t>Trypsin-like serine protease - signalP detected</t>
  </si>
  <si>
    <t>AGAP004318-PA</t>
  </si>
  <si>
    <t xml:space="preserve"> subfamily protein s1a unassigned peptidase - signalP detected</t>
  </si>
  <si>
    <t>s/protease</t>
  </si>
  <si>
    <t xml:space="preserve"> 32-33</t>
  </si>
  <si>
    <t>ExpAA=20.05 First60=19.65 PredHel=1 Topology=i13-32o</t>
  </si>
  <si>
    <t>cd00190, Tryp_SPc, Trypsin-like serine protease; Many of these are synthesized as inactive precursor zymogens that are cleaved during limited proteolysis to generate their active forms. Alignment contains also inactive enzymes that have substitutions of the catalytic triad residues.</t>
  </si>
  <si>
    <t>Tryp_SPc 2e-061| Tryp_SPc 2e-057| Trypsin 1e-044| COG5640 7e-016| PLN02267 0.060| Carbon_monoxide_dehydrogenase_large_ch...    32   0.43  | COG3591 | CLIP | PHA03193 | PRK12494 |</t>
  </si>
  <si>
    <t>KOG3627, KOG3627, KOG3627, Trypsin [Amino acid transport and metabolism].</t>
  </si>
  <si>
    <t>pfam00089, Trypsin, Trypsin.</t>
  </si>
  <si>
    <t>smart00020, Tryp_SPc, Trypsin-like serine protease.  Many of these are synthesised as inactive precursor zymogens that are cleaved during limited proteolysis to generate their active forms. A few, however, are active as single chain molecules, and others are inactive due to substitutions of the catalytic triad residues.</t>
  </si>
  <si>
    <t xml:space="preserve"> AgamP4_2R:54406026-54412612(-) </t>
  </si>
  <si>
    <t>AGAP003602-RB</t>
  </si>
  <si>
    <t xml:space="preserve">methyltransferase-like protein 9 </t>
  </si>
  <si>
    <t>methyltransferase-like protein 9</t>
  </si>
  <si>
    <t>AGAP003602-PB</t>
  </si>
  <si>
    <t xml:space="preserve"> methyltransferase-like protein 9 isoform x1</t>
  </si>
  <si>
    <t>pfam05219, DREV, DREV methyltransferase.  This family contains DREV protein homologs from several eukaryotes. The function of this protein is unknown. However, these proteins appear to be related to other methyltransferases (Bateman A pers obs).</t>
  </si>
  <si>
    <t>DREV 2e-066| Methyltransf_12 8e-004| Methyltransf_23 0.004| AdoMet_MTases 0.063| hypothetical_protein 0.084| Malonyl-_O-methyltransferase | Methyltransf_25 | HemK | COG5391 | PRK09328 |</t>
  </si>
  <si>
    <t>KOG3987, KOG3987, KOG3987, Uncharacterized conserved protein DREV/CGI-81 [Function unknown].</t>
  </si>
  <si>
    <t>smart00138, MeTrc, Methyltransferase, chemotaxis proteins. Methylates methyl-accepting chemotaxis proteins to form gamma-glutamyl methyl ester residues.</t>
  </si>
  <si>
    <t xml:space="preserve"> AgamP4_2R:40439877-40441529(+) </t>
  </si>
  <si>
    <t>AGAP001545-RA</t>
  </si>
  <si>
    <t xml:space="preserve">ribosomal biogenesis protein RLP24 </t>
  </si>
  <si>
    <t>ribosomal biogenesis protein RLP24</t>
  </si>
  <si>
    <t>60s ribosomal protein L30 isolog</t>
  </si>
  <si>
    <t>AGAP001545-PA</t>
  </si>
  <si>
    <t xml:space="preserve"> ribosome bioproteinis protein rlp24</t>
  </si>
  <si>
    <t>pfam01246, Ribosomal_L24e, Ribosomal protein L24e.</t>
  </si>
  <si>
    <t>Ribosomal_L24e 4e-027| Ribosomal_L24e_L24 3e-022| RPL24A 8e-020| PRK00807 7e-011| PTZ00033 2e-007| PRK14891 4e-006| TRASH 1e-005| zf-FCS | PTZ00335 | Semenogelin |</t>
  </si>
  <si>
    <t>KOG1723, KOG1723, KOG1723, 60s ribosomal protein L30 isolog [Translation, ribosomal structure and biogenesis].</t>
  </si>
  <si>
    <t>smart00746, TRASH, metallochaperone-like domain.</t>
  </si>
  <si>
    <t xml:space="preserve"> AgamP4_2R:6090798-6091470(+) </t>
  </si>
  <si>
    <t>AGAP004715-RA</t>
  </si>
  <si>
    <t xml:space="preserve">Pyruvate dehydrogenase phosphatase regulatory subunit, mitochondrial </t>
  </si>
  <si>
    <t>Pyruvate dehydrogenase phosphatase regulatory subunit, mitochondrial</t>
  </si>
  <si>
    <t>Dimethylglycine dehydrogenase precursor</t>
  </si>
  <si>
    <t>AGAP004715-PA</t>
  </si>
  <si>
    <t>COG0404, GcvT, Glycine cleavage system T protein (aminomethyltransferase) [Amino acid transport and metabolism].</t>
  </si>
  <si>
    <t>GcvT 1e-074| GCV_T 1e-063| DAO 2e-053| DadA 6e-052| gcvT 1e-037| Aminomethyltransferase_mitochondrial 5e-033| sarcosine_oxidase_alpha_subunit 2e-032| COG0579 2e-021| Glycine_oxidase 2e-018| PLN02319 3e-016|</t>
  </si>
  <si>
    <t>KOG2844, KOG2844, KOG2844, Dimethylglycine dehydrogenase precursor [Amino acid transport and metabolism].</t>
  </si>
  <si>
    <t>pfam01571, GCV_T, Aminomethyltransferase folate-binding domain. This is a family of glycine cleavage T-proteins, part of the glycine cleavage multienzyme complex (GCV) found in bacteria and the mitochondria of eukaryotes. GCV catalyzes the catabolism of glycine in eukaryotes. The T-protein is an aminomethyl transferase.</t>
  </si>
  <si>
    <t>smart00044, CYCc, Adenylyl- / guanylyl cyclase, catalytic domain. Present in two copies in mammalian adenylyl cyclases. Eubacterial homologues are known. Two residues (Asn, Arg) are thought to be involved in catalysis. These cyclases have important roles in a diverse range of cellular processes.</t>
  </si>
  <si>
    <t xml:space="preserve"> AgamP4_2L:2615699-2620604(+) </t>
  </si>
  <si>
    <t>AGAP007896-RA</t>
  </si>
  <si>
    <t xml:space="preserve">predicted G-protein coupled receptor GPCR </t>
  </si>
  <si>
    <t>predicted G-protein coupled receptor GPCR</t>
  </si>
  <si>
    <t>Conserved plasma membrane protein - 7 predicted membrane helices</t>
  </si>
  <si>
    <t>AGAP007896-PA</t>
  </si>
  <si>
    <t xml:space="preserve"> protein wntless - 7 predicted membrane helices</t>
  </si>
  <si>
    <t xml:space="preserve"> 36-37</t>
  </si>
  <si>
    <t>ExpAA=171.23 First60=22.56 PredHel=7 Topology=o15-37i236-257o272-294i307-329o384-406i439-461o476-498i</t>
  </si>
  <si>
    <t>Drosophila virilis</t>
  </si>
  <si>
    <t>pfam06664, MIG-14_Wnt-bd, Wnt-binding factor required for Wnt secretion.  MIG-14 is a Wnt-binding factor. Newly synthesized EGL-20/Wnt binds to MIG-14 in the Golgi, targetting the Wnt to the cell membrane for secretion. AP-2-mediated endocytosis and retromer retrieval at the sorting endosome would recycle MIG-14 to the Golgi, where it can bind to EGL-20/Wnt for next cycle of secretion.</t>
  </si>
  <si>
    <t>MIG-14_Wnt-bd 2e-088| NmrA_TMR_like_1_SDR_a | ND4L | PRK11281 | DUF2339 |</t>
  </si>
  <si>
    <t>KOG4451, KOG4451, KOG4451, Uncharacterized conserved protein (tumor-associated antigen HCA127 in humans) [Function unknown].</t>
  </si>
  <si>
    <t xml:space="preserve"> AgamP4_3R:2568193-2570564(-) </t>
  </si>
  <si>
    <t>AGAP009811-RA</t>
  </si>
  <si>
    <t xml:space="preserve">Cdk5rap3 </t>
  </si>
  <si>
    <t>Cdk5rap3</t>
  </si>
  <si>
    <t>CDK5 activator-binding protein</t>
  </si>
  <si>
    <t>AGAP009811-PA</t>
  </si>
  <si>
    <t xml:space="preserve"> cdk5 regulatory subunit-associated protein 3 isoform x1</t>
  </si>
  <si>
    <t>pfam05600, DUF773, Protein of unknown function (DUF773).  This family contains several eukaryotic sequences which are thought to be CDK5 activator-binding proteins, however, the function of this family is unknown.</t>
  </si>
  <si>
    <t>DUF773 | Pox_F11 | cobN | HAP1_N | Cas7_I-C | COPI_C | AmyAc_MTSase | Spore_III_AB | Bcl-2_like | 46 |</t>
  </si>
  <si>
    <t>KOG2607, KOG2607, KOG2607, CDK5 activator-binding protein [Signal transduction mechanisms].</t>
  </si>
  <si>
    <t>smart00275, G_alpha, G protein alpha subunit.  Subunit of G proteins that contains the guanine nucleotide binding site.</t>
  </si>
  <si>
    <t xml:space="preserve"> AgamP4_3R:43752342-43754105(+) </t>
  </si>
  <si>
    <t>AGAP007775-RA</t>
  </si>
  <si>
    <t xml:space="preserve">ATP-dependent DNA helicase PIF1 [Source:UniProtKB/TrEMBL;Acc:Q7Q395] </t>
  </si>
  <si>
    <t>ATP-dependent DNA helicase PIF1</t>
  </si>
  <si>
    <t>DNA helicase PIF1/RRM3</t>
  </si>
  <si>
    <t>AGAP007775-PA</t>
  </si>
  <si>
    <t xml:space="preserve"> atp-dependent dna helicase</t>
  </si>
  <si>
    <t>pfam05970, PIF1, PIF1-like helicase.  This family includes homologs of the PIF1 helicase, which inhibits telomerase activity and is cell cycle regulated. This family includes a large number of largely uncharacterized plant proteins. This family includes a P-loop motif that is involved in nucleotide binding.</t>
  </si>
  <si>
    <t>PIF1 1e-063| RecD 5e-019| recD 1e-015| AAA_30 3e-013| recD_rel 8e-011| AAA_19 3e-008| conjugal_transfer_protein_TraA 6e-004| AAA_22 0.002| AAA 0.003| PRK13889 0.035|</t>
  </si>
  <si>
    <t>KOG0987, KOG0987, KOG0987, DNA helicase PIF1/RRM3 [Cell cycle control, cell division, chromosome partitioning].</t>
  </si>
  <si>
    <t>AGAP004522-RA</t>
  </si>
  <si>
    <t xml:space="preserve">TBC1 domain family member 22B </t>
  </si>
  <si>
    <t>TBC1 domain family member 22B</t>
  </si>
  <si>
    <t>Ypt/Rab-specific GTPase-activating protein GYP1 - 12 OH-glycosylation sites -  12 NetOglyc sites</t>
  </si>
  <si>
    <t>AGAP004522-PA</t>
  </si>
  <si>
    <t xml:space="preserve"> ypt/rab-specific gtpase-activating protein gyp1 - 12 OH-glycosylation sites -  12 NetOglyc sites</t>
  </si>
  <si>
    <t>smart00164, TBC, Domain in Tre-2, BUB2p, and Cdc16p. Probable Rab-GAPs.  Widespread domain present in Gyp6 and Gyp7, thereby giving rise to the notion that it performs a GTP-activator activity on Rab-like GTPases.</t>
  </si>
  <si>
    <t>TBC 8e-041| RabGAP-TBC 5e-039| COG5210 4e-038| Activator_LAG-3 0.015| SSP160 0.015| PTZ00473 0.057| Epiglycanin_TR 0.058| DUF4048 0.095| Med3 | PRK10734 |</t>
  </si>
  <si>
    <t>KOG1092, KOG1092, KOG1092, Ypt/Rab-specific GTPase-activating protein GYP1 [Intracellular trafficking, secretion, and vesicular transport].</t>
  </si>
  <si>
    <t>pfam00566, RabGAP-TBC, Rab-GTPase-TBC domain.  Identification of a TBC domain in GYP6_YEAST and GYP7_YEAST, which are GTPase activator proteins of yeast Ypt6 and Ypt7, implies that these domains are GTPase activator proteins of Rab-like small GTPases.</t>
  </si>
  <si>
    <t xml:space="preserve"> AgamP4_2R:57346700-57348660(+) </t>
  </si>
  <si>
    <t>AGAP004491-RA</t>
  </si>
  <si>
    <t xml:space="preserve">exonuclease 1 </t>
  </si>
  <si>
    <t>exonuclease 1</t>
  </si>
  <si>
    <t>5'-3' exonuclease</t>
  </si>
  <si>
    <t>AGAP004491-PA</t>
  </si>
  <si>
    <t xml:space="preserve"> exonuclease 1 isoform x1</t>
  </si>
  <si>
    <t>cd09857, PIN_EXO1, PIN domain of Exonuclease-1, a structure-specific, divalent-metal-ion dependent, 5' nuclease and homologs.  Exonuclease-1 (EXO1) is involved in multiple, eukaryotic DNA metabolic pathways, including DNA replication processes (5' flap DNA endonuclease activity and double stranded DNA 5'-exonuclease activity), DNA repair processes (DNA mismatch repair (MMR) and post-replication repair (PRR)), recombination, and telomere integrity. EXO1 functions in the MMS2 error-free branch of the PRR pathway in the maintenance and repair of stalled replication forks. Studies also suggest that EXO1 plays both structural and catalytic roles during MMR-mediated mutation avoidance. EXO1 belongs to the FEN1-EXO1-like family of structure-specific, 5' nucleases. These nucleases contain a PIN (PilT N terminus) domain with a helical arch/clamp region (I domain) of variable length (approximately 43 residues in EXO1 PIN domains) and a H3TH (helix-3-turn-helix) domain, an atypical helix-hairpin-helix-2-like region. Both the H3TH domain (not included here) and the helical arch/clamp region are involved in DNA binding. Nucleases within this group also have a carboxylate-rich active site that is involved in binding essential divalent metal ion cofactors (Mg2+/Mn2+). EXO1 nucleases also have C-terminal Mlh1- and Msh2-binding domains which allow interaction with MMR and PRR proteins, respectively.</t>
  </si>
  <si>
    <t>PIN_EXO1 2e-095| PIN_FEN1_EXO1-like 3e-034| XPGN 2e-030| PTZ00217 4e-027| Flap_endonuclease_1 6e-025| XPG_I 1e-024| H3TH_EXO1 1e-024| PIN_FEN1 1e-022| PIN_XPG 6e-022| PRK03980 2e-021|</t>
  </si>
  <si>
    <t>KOG2518, KOG2518, KOG2518, 5'-3' exonuclease [Replication, recombination and repair].</t>
  </si>
  <si>
    <t>pfam00867, XPG_I, XPG I-region.</t>
  </si>
  <si>
    <t xml:space="preserve"> AgamP4_2R:56857033-56859709(+) </t>
  </si>
  <si>
    <t xml:space="preserve">1 | 395    LSSFVKR|AV  0.774 *ProP*  | </t>
  </si>
  <si>
    <t>AGAP004091-RA</t>
  </si>
  <si>
    <t xml:space="preserve">28S ribosomal protein S5, mitochondrial </t>
  </si>
  <si>
    <t>mRpS5: 28S ribosomal protein S5, mitochondrial</t>
  </si>
  <si>
    <t>Ribosomal protein S5</t>
  </si>
  <si>
    <t>AGAP004091-PA</t>
  </si>
  <si>
    <t xml:space="preserve"> trq7qbb8q7qbb8 anoga 28s ribosomal protein s</t>
  </si>
  <si>
    <t>COG0098, RpsE, Ribosomal protein S5 [Translation, ribosomal structure and biogenesis].</t>
  </si>
  <si>
    <t>RpsE 1e-026| rpsE 2e-024| 30S_ribosomal_protein_S5 6e-023| Ribosomal_S5_C 2e-020| Ribosomal_S5 4e-011| rps5 2e-009| rps5p 8e-006| 30S_ribosomal_protein_S5 9e-005| infC | InfC |</t>
  </si>
  <si>
    <t>KOG2646, KOG2646, KOG2646, Ribosomal protein S5 [Translation, ribosomal structure and biogenesis].</t>
  </si>
  <si>
    <t xml:space="preserve">pfam03719, Ribosomal_S5_C, Ribosomal protein S5, C-terminal domain. </t>
  </si>
  <si>
    <t>smart00093, SERPIN, SERine Proteinase INhibitors.</t>
  </si>
  <si>
    <t xml:space="preserve"> AgamP4_2R:49681689-49683152(+) </t>
  </si>
  <si>
    <t xml:space="preserve">2 | 221    NHGRKRR|VS  0.538 *ProP*  | 302    KCHRAIR|TV  0.509 *ProP*  | </t>
  </si>
  <si>
    <t>AGAP010494-RA</t>
  </si>
  <si>
    <t xml:space="preserve">partitioning defective protein 6 </t>
  </si>
  <si>
    <t>partitioning defective protein 6</t>
  </si>
  <si>
    <t>Cell polarity protein PAR6</t>
  </si>
  <si>
    <t>AGAP010494-PA</t>
  </si>
  <si>
    <t xml:space="preserve"> cell polarity protein par6</t>
  </si>
  <si>
    <t>cd06403, PB1_Par6, The PB1 domain is an essential part of Par6 protein which in complex with Par3 and aPKC proteins is crucial for establishment of apical-basal polarity of animal cells. The PB1 domain is a modular domain mediating specific protein-protein interactions which play a role in many critical cell processes. A canonical PB1-PB1 interaction, which involves heterodimerization of two PB1 domains, is required for the formation of macromolecular signaling complexes ensuring specificity and fidelity during cellular signaling. The interaction between two PB1 domain depends on the type of PB1. There are three types of PB1 domains: type I which contains an OPCA motif, acidic aminoacid cluster, type II which contains a basic cluster, and type I/II which contains both an OPCA motif and a basic cluster.  Interactions of PB1 domains with other protein domains have been described as noncanonical PB1-interactions. The PB1 domain module is conserved in amoebas, fungi, animals, and plants. The Par6 protein contains a type II PB1 domain.</t>
  </si>
  <si>
    <t>PB1_Par6 2e-029| PDZ_signaling 1e-013| PB1 5e-010| PB1 2e-009| PDZ 2e-009| PB1 3e-008| PDZ 5e-005| PDZ 3e-004| PDZ_serine_protease 0.008| PDZ_CTP_protease 0.011|</t>
  </si>
  <si>
    <t>KOG3606, KOG3606, KOG3606, Cell polarity protein PAR6 [Signal transduction mechanisms].</t>
  </si>
  <si>
    <t>pfam00564, PB1, PB1 domain.</t>
  </si>
  <si>
    <t>smart00666, PB1, PB1 domain.  Phox and Bem1p domain, present in many eukaryotic cytoplasmic signalling proteins. The domain adopts a beta-grasp fold, similar to that found in ubiquitin and Ras-binding domains. A motif, variously termed OPR, PC and AID, represents the most conserved region of the majority of PB1 domains, and is necessary for PB1 domain function. This function is the formation of PB1 domain heterodimers, although not all PB1 domain pairs associate.</t>
  </si>
  <si>
    <t xml:space="preserve"> AgamP4_3L:5038382-5040456(-) </t>
  </si>
  <si>
    <t>AGAP007522-RA</t>
  </si>
  <si>
    <t xml:space="preserve">Adaptor-related protein complex 3, sigma 1 subunit </t>
  </si>
  <si>
    <t>Adaptor-related protein complex 3, sigma 1 subunit</t>
  </si>
  <si>
    <t>Clathrin adaptor complex small subunit</t>
  </si>
  <si>
    <t>AGAP007522-PA</t>
  </si>
  <si>
    <t xml:space="preserve"> aps2</t>
  </si>
  <si>
    <t>COG5030, APS2, Clathrin adaptor complex, small subunit [Intracellular trafficking and secretion].</t>
  </si>
  <si>
    <t>APS2 1e-042| Clat_adaptor_s 4e-042| gal11_coact | DUF4391 | HflX | Glyco_hydro_63 | PRK09344 | PinR | COG3105 |</t>
  </si>
  <si>
    <t>KOG0936, KOG0936, KOG0936, Clathrin adaptor complex, small subunit [Intracellular trafficking, secretion, and vesicular transport].</t>
  </si>
  <si>
    <t>pfam01217, Clat_adaptor_s, Clathrin adaptor complex small chain.</t>
  </si>
  <si>
    <t>smart00327, VWA, von Willebrand factor (vWF) type A domain.  VWA domains in extracellular eukaryotic proteins mediate adhesion via metal ion-dependent adhesion sites (MIDAS). Intracellular VWA domains and homologues in prokaryotes have recently been identified. The proposed VWA domains in integrin beta subunits have recently been substantiated using sequence-based methods.</t>
  </si>
  <si>
    <t xml:space="preserve"> AgamP4_2L:47143097-47143841(+) </t>
  </si>
  <si>
    <t>AGAP008269-RA</t>
  </si>
  <si>
    <t xml:space="preserve">Protein pelota homolog [Source:UniProtKB/TrEMBL;Acc:A0A1S4GYG2] </t>
  </si>
  <si>
    <t>Protein pelota homolog</t>
  </si>
  <si>
    <t>translation factor pelota</t>
  </si>
  <si>
    <t>AGAP008269-PA</t>
  </si>
  <si>
    <t xml:space="preserve"> translation factor pelota</t>
  </si>
  <si>
    <t>ExpAA=0.18 First60=0.00 PredHel=0 Topology=o</t>
  </si>
  <si>
    <t>COG1537, PelA, Predicted RNA-binding proteins [General function prediction only].</t>
  </si>
  <si>
    <t>PelA 5e-081| Protein_pelota_homolog 7e-065| eRF1_1 1e-048| eRF1_2 4e-033| eRF1_3 3e-028| Peptide_chain_release_factor_subunit_1...    54   1e-007 1e-007| PRK04011 3e-006| eRF1 0.032| COG3864 | PBP2_Bug_TTT |</t>
  </si>
  <si>
    <t>KOG2869, KOG2869, KOG2869, Meiotic cell division protein Pelota/DOM34 [Translation, ribosomal structure and biogenesis].</t>
  </si>
  <si>
    <t>pfam03463, eRF1_1, eRF1 domain 1.  The release factor eRF1 terminates protein biosynthesis by recognising stop codons at the A site of the ribosome and stimulating peptidyl-tRNA bond hydrolysis at the peptidyl transferase centre. The crystal structure of human eRF1 is known. The overall shape and dimensions of eRF1 resemble a tRNA molecule with domains 1, 2, and 3 of eRF1 corresponding to the anticodon loop, aminoacyl acceptor stem, and T stem of a tRNA molecule, respectively. The position of the essential GGQ motif at an exposed tip of domain 2 suggests that the Gln residue coordinates a water molecule to mediate the hydrolytic activity at the peptidyl transferase centre. A conserved groove on domain 1, 80 A from the GGQ motif, is proposed to form the codon recognition site. This family also includes other proteins for which the precise molecular function is unknown. Many of them are from Archaebacteria. These proteins may also be involved in translation termination but this awaits experimental verification.</t>
  </si>
  <si>
    <t>smart00615, EPH_lbd, Ephrin receptor ligand binding domain.</t>
  </si>
  <si>
    <t>AGAP005680-RA</t>
  </si>
  <si>
    <t xml:space="preserve">PAB-dependent poly(A)-specific ribonuclease subunit 3 </t>
  </si>
  <si>
    <t>PAB-dependent poly(A)-specific ribonuclease subunit 3</t>
  </si>
  <si>
    <t>Poly(A) ribonuclease subunit</t>
  </si>
  <si>
    <t>AGAP005680-PA</t>
  </si>
  <si>
    <t xml:space="preserve"> pab-dependent polya-specific ribonuclease subunit 3</t>
  </si>
  <si>
    <t>cd00180, PKc, Catalytic domain of Protein Kinases.  PKs catalyze the transfer of the gamma-phosphoryl group from ATP to serine/threonine or tyrosine residues on protein substrates. PKs make up a large family of serine/threonine kinases (STKs), protein tyrosine kinases (PTKs), and dual-specificity PKs that phosphorylate both serine/threonine and tyrosine residues of target proteins. Majority of protein phosphorylation occurs on serine residues while only 1% occurs on tyrosine residues. Protein phosphorylation is a mechanism by which a wide variety of cellular proteins, such as enzymes and membrane channels, are reversibly regulated in response to certain stimuli. PKs often function as components of signal transduction pathways in which one kinase activates a second kinase, which in turn, may act on other kinases; this sequential action transmits a signal from the cell surface to target proteins, which results in cellular responses. The PK family is one of the largest known protein families with more than 100 homologous yeast enzymes and more than 500 human proteins. A fraction of PK family members are pseudokinases that lack crucial residues for catalytic activity. The mutiplicity of kinases allows for specific regulation according to substrate, tissue distribution, and cellular localization. PKs regulate many cellular processes including proliferation, division, differentiation, motility, survival, metabolism, cell-cycle progression, cytoskeletal rearrangement, immunity, and neuronal functions. Many kinases are implicated in the development of various human diseases including different types of cancer. The PK family is part of a larger superfamily that includes the catalytic domains of RIO kinases, aminoglycoside phosphotransferase, choline kinase, phosphoinositide 3-kinase (PI3K), and actin-fragmin kinase.</t>
  </si>
  <si>
    <t>PKc 7e-009| STKc_Nek6_7 8e-006| STKc_Nek7 2e-005| STKc_CDK8_like 3e-005| STKc_CNK2-like 5e-005| S_TKc 5e-005| STKc_CDK_like 1e-004| STKc_Nek8 1e-004| STKc_MAK_like 3e-004| STKc_CDK9_like 5e-004|</t>
  </si>
  <si>
    <t>KOG3741, KOG3741, KOG3741, Poly(A) ribonuclease subunit [RNA processing and modification].</t>
  </si>
  <si>
    <t xml:space="preserve"> AgamP4_2L:18675462-18680046(-) </t>
  </si>
  <si>
    <t>AGAP011717-RA</t>
  </si>
  <si>
    <t>AGO1: argonaute 1</t>
  </si>
  <si>
    <t>Germ-line stem cell division protein Hiwi/Piwi; negative developmental regulator - 15 OH-glycosylation sites -  15 NetOglyc sites</t>
  </si>
  <si>
    <t>AGAP011717-PA</t>
  </si>
  <si>
    <t xml:space="preserve"> piwi domain protein - 18 OH-glycosylation sites -  18 NetOglyc sites</t>
  </si>
  <si>
    <t>cd04657, Piwi_ago-like, Piwi_ago-like: PIWI domain, Argonaute-like subfamily. Argonaute is the central component of the RNA-induced silencing complex (RISC) and related complexes. The PIWI domain is the C-terminal portion of Argonaute and consists of two subdomains, one of which provides the 5' anchoring of the guide RNA and the other, the catalytic site for slicing.</t>
  </si>
  <si>
    <t>Piwi_ago-like | PLN03202 e-140| Piwi e-107| Piwi e-106| Piwi-like 2e-091| Piwi_piwi-like_Euk 4e-072| ArgoMid 1e-036| PAZ_argonaute_like 2e-035| PAZ 2e-029| PAZ 2e-025|</t>
  </si>
  <si>
    <t>KOG1041, KOG1041, KOG1041, Translation initiation factor 2C (eIF-2C) and related proteins [Translation, ribosomal structure and biogenesis].</t>
  </si>
  <si>
    <t>pfam02171, Piwi, Piwi domain.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</si>
  <si>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smart00950, Piwi, This domain is found in the protein Piwi and its relatives.  The function of this domain is the dsRNA guided hydrolysis of ssRNA. Determination of the crystal structure of Argonaute reveals that PIWI is an RNase H domain, and identifies Argonaute as Slicer, the enzyme that cleaves mRNA in the RNAi RISC complex.. In addition, Mg+2 dependence and production of 3'-OH and 5' phosphate products are shared characteristics of RNaseH and RISC. The PIWI domain core has a tertiary structure belonging to the RNase H family of enzymes. RNase H fold proteins all have a five-stranded mixed beta-sheet surrounded by helices. By analogy to RNase H enzymes which cleave single-stranded RNA guided by the DNA strand in an RNA/DNA hybrid, the PIWI domain can be inferred to cleave single-stranded RNA, for example mRNA, guided by double stranded siRNA.</t>
  </si>
  <si>
    <t xml:space="preserve"> AgamP4_3L:32108213-32125847(+) </t>
  </si>
  <si>
    <t>AGAP011115-RA</t>
  </si>
  <si>
    <t>agap011115-pa - 27 OH-glycosylation sites -  27 NetOglyc sites</t>
  </si>
  <si>
    <t>AGAP011115-PA</t>
  </si>
  <si>
    <t xml:space="preserve"> tra0a82vdy9a0a82vdy9 anome os-merus ox-30066 pe-4 sv - 27 OH-glycosylation sites -  27 NetOglyc sites</t>
  </si>
  <si>
    <t>pfam11593, Med3, Mediator complex subunit 3 fungal.  Mediator is a large complex of up to 33 proteins that is conserved from plants to fungi to humans - the number and representation of individual subunits varying with species. It is arranged into four different sections, a core, a head, a tail and a kinase-activity part, and the number of subunits within each of these is what varies with species. Overall, Mediator regulates the transcriptional activity of RNA polymerase II but it would appear that each of the four different sections has a slightly different function. Mediator subunit Hrs1/Med3 is a physical target for Cyc8-Tup1, a yeast transcriptional co-repressor.</t>
  </si>
  <si>
    <t>Med3 0.007| BSD | Med15 | M_domain | Nucleoporin_FG | Borrelia_P83 | Mtc1 | PRK13808 | conserved_hypothetical_protein | Glutenin_hmw |</t>
  </si>
  <si>
    <t>KOG2690, KOG2690, KOG2690, Uncharacterized conserved protein, contains BSD domain [Function unknown].</t>
  </si>
  <si>
    <t>smart00751, BSD, domain in transcription factors and synapse-associated proteins.</t>
  </si>
  <si>
    <t xml:space="preserve"> AgamP4_3L:17225647-17227494(+) </t>
  </si>
  <si>
    <t>AGAP000868.R690</t>
  </si>
  <si>
    <t>beta-1,4-mannosyltransferase egghead protein</t>
  </si>
  <si>
    <t>VectorBase: AGAP000868</t>
  </si>
  <si>
    <t>AGAP028045-RA</t>
  </si>
  <si>
    <t>Anti-proliferation factor BTG1/TOB - probable fragment</t>
  </si>
  <si>
    <t>AGAP028045-PA</t>
  </si>
  <si>
    <t xml:space="preserve"> protein btg2</t>
  </si>
  <si>
    <t>Culex quinquefasciatus</t>
  </si>
  <si>
    <t>pfam07742, BTG, BTG family.</t>
  </si>
  <si>
    <t>BTG 5e-044| btg1 2e-031| PAT1 0.036| GREB1 0.070| ROM1 0.080| NST1 0.087| EIF4E-T | Activator_LAG-3 | PRK10019 | SelP_N |</t>
  </si>
  <si>
    <t>KOG4006, KOG4006, KOG4006, Anti-proliferation factor BTG1/TOB [Signal transduction mechanisms, General function prediction only].</t>
  </si>
  <si>
    <t>smart00099, btg1, tob/btg1 family.  The tob/btg1 is a family of proteins that inhibit cell proliferation.</t>
  </si>
  <si>
    <t xml:space="preserve"> AgamP4_3R:15422576-15423487(+) </t>
  </si>
  <si>
    <t>AGAP029751-RA</t>
  </si>
  <si>
    <t xml:space="preserve">argonaute 2 </t>
  </si>
  <si>
    <t>AGO2: argonaute 2</t>
  </si>
  <si>
    <t>Germ-line stem cell division protein Hiwi/Piwi; negative developmental regulator</t>
  </si>
  <si>
    <t>AGAP029751-PA</t>
  </si>
  <si>
    <t xml:space="preserve"> this domain is found in the protein piwi and its relatives</t>
  </si>
  <si>
    <t>Piwi_ago-like e-149| Piwi 1e-088| Piwi 8e-076| Piwi_piwi-like_Euk 6e-075| PLN03202 3e-074| Piwi-like 5e-061| PAZ_argonaute_like 3e-023| PAZ 3e-017| Piwi_piwi-like_ProArk 1e-010| ArgoL2 4e-009|</t>
  </si>
  <si>
    <t xml:space="preserve"> AgamP4_3L:26911972-26917560(-) </t>
  </si>
  <si>
    <t xml:space="preserve">1 | 26    IRRKSKR|SS  0.585 *ProP*  | </t>
  </si>
  <si>
    <t>AGAP002094-RA</t>
  </si>
  <si>
    <t xml:space="preserve">ancient conserved domain-containing protein 2 </t>
  </si>
  <si>
    <t>ancient conserved domain-containing protein 2</t>
  </si>
  <si>
    <t>metal transporter CNNM4 - signalP detected - 6 predicted membrane helices</t>
  </si>
  <si>
    <t>AGAP002094-PA</t>
  </si>
  <si>
    <t xml:space="preserve"> metal transporter cnnm4-like isoform x14 - signalP detected - 6 predicted membrane helices</t>
  </si>
  <si>
    <t xml:space="preserve"> 37-38</t>
  </si>
  <si>
    <t>ExpAA=104.32 First60=18.19 PredHel=5 Topology=i13-35o340-362i398-420o424-446i453-475o</t>
  </si>
  <si>
    <t>COG1253, TlyC, Hemolysins and related proteins containing CBS domains [General function prediction only].</t>
  </si>
  <si>
    <t>TlyC 4e-046| GldE 4e-033| DUF21 5e-031| CorB 2e-028| CorC 2e-013| CBS_pair_CorC_HlyC_assoc 4e-013| PRK15094 1e-009| PRK11573 0.001| COG4109 0.024| CAP_ED |</t>
  </si>
  <si>
    <t>KOG2118, KOG2118, KOG2118, Predicted membrane protein, contains two CBS domains [Function unknown].</t>
  </si>
  <si>
    <t>pfam01595, DUF21, Domain of unknown function DUF21.  This transmembrane region has no known function. Many of the sequences in this family are annotated as hemolysins, however this is due to a similarity to Brachyspira hyodysenteriae hemolysin C that does not contain this domain. This domain is found in the N-terminus of the proteins adjacent to two intracellular CBS domains pfam00571.</t>
  </si>
  <si>
    <t>smart00100, cNMP, Cyclic nucleotide-monophosphate binding domain. Catabolite gene activator protein (CAP) is a prokaryotic homologue of eukaryotic cNMP-binding domains, present in ion channels, and cNMP-dependent kinases.</t>
  </si>
  <si>
    <t xml:space="preserve"> AgamP4_2R:15257859-15268170(-) </t>
  </si>
  <si>
    <t xml:space="preserve">2 | 175    NEQRSKR|NI  0.676 *ProP*  | 689    PRKRIKR|QG  0.521 *ProP*  | </t>
  </si>
  <si>
    <t>AGAP010872-RA</t>
  </si>
  <si>
    <t xml:space="preserve">ATP-dependent RNA helicase DDX35 </t>
  </si>
  <si>
    <t>ATP-dependent RNA helicase DDX35</t>
  </si>
  <si>
    <t>AGAP010872-PA</t>
  </si>
  <si>
    <t>HrpA 9e-012| PRK11131 2e-006| ATP-dependent_RNA_helicase_HrpA 8e-006| PRK10261 0.010| ABC_NikE_OppD_transporters 0.017| ABCC_MRP_Like 0.032| DEXDc 0.040| COG4172 0.041| FlhF 0.041| PTZ00265 0.042|</t>
  </si>
  <si>
    <t>KOG0922, KOG0922, KOG0922, DEAH-box RNA helicase [RNA processing and modification].</t>
  </si>
  <si>
    <t>pfam00005, ABC_tran, 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as in CFTR, or belong in different polypeptide chains.</t>
  </si>
  <si>
    <t xml:space="preserve"> AgamP4_3L:12311707-12323001(+) </t>
  </si>
  <si>
    <t>AGAP029466-RA</t>
  </si>
  <si>
    <t xml:space="preserve">Repressor of RNA polymerase III transcription MAF1 [Source:UniProtKB/TrEMBL;Acc:A0A453Z0S0] </t>
  </si>
  <si>
    <t>Repressor of RNA polymerase III transcription MAF1</t>
  </si>
  <si>
    <t>Maf1 regulator</t>
  </si>
  <si>
    <t>AGAP029466-PA</t>
  </si>
  <si>
    <t xml:space="preserve"> repressor of rna polymerase iii transcription maf1 protein isoform x1</t>
  </si>
  <si>
    <t>pfam09174, Maf1, Maf1 regulator.  Maf1 is a negative regulator of RNA polymerase III. It targets the initiation factor TFIIIB.</t>
  </si>
  <si>
    <t>Maf1 3e-070| MAF1 1e-016| Pox_ser-thr_kin | PTZ00014 | PRK12438 | PIG-S | PRK09954 | PRK10034 | mrcB | COG5435 |</t>
  </si>
  <si>
    <t>KOG3104, KOG3104, KOG3104, Mod5 protein sorting/negative effector of RNA Pol III synthesis [Transcription].</t>
  </si>
  <si>
    <t>AGAP009333-RB</t>
  </si>
  <si>
    <t xml:space="preserve">mitochondrial carrier protein (Rim2) </t>
  </si>
  <si>
    <t>mitochondrial carrier protein (Rim2)</t>
  </si>
  <si>
    <t>Mitochondrial solute carrier protein</t>
  </si>
  <si>
    <t>AGAP009333-PB</t>
  </si>
  <si>
    <t xml:space="preserve"> solute carrier family 25 member 36</t>
  </si>
  <si>
    <t>ExpAA=31.53 First60=16.04 PredHel=0 Topology=o</t>
  </si>
  <si>
    <t>pfam00153, Mito_carr, Mitochondrial carrier protein.</t>
  </si>
  <si>
    <t>Mito_carr 3e-017| PTZ00169 6e-007| PTZ00168 5e-006| PLN03228 | Uncharacterized_protein_YqgN | PRK07678 | PLN02555 | Plasmodium_HRP | SPX_PHO81_NUC-2_like | Putative_dihydroorotate_dehydrogenase |</t>
  </si>
  <si>
    <t>KOG0757, KOG0757, KOG0757, Mitochondrial carrier protein - Rim2p/Mrs12p [Energy production and conversion].</t>
  </si>
  <si>
    <t>smart00344, HTH_ASNC, helix_turn_helix ASNC type.  AsnC: an autogenously regulated activator of asparagine synthetase A transcription in Escherichia coli).</t>
  </si>
  <si>
    <t xml:space="preserve"> AgamP4_3R:31516881-31529577(-) </t>
  </si>
  <si>
    <t>AGAP007325-RB</t>
  </si>
  <si>
    <t>RNA-binding protein 1-like isoform X3</t>
  </si>
  <si>
    <t>AGAP007325-PB</t>
  </si>
  <si>
    <t xml:space="preserve"> alternative splicing factor srp20/9g8 rrm superfamily</t>
  </si>
  <si>
    <t>Babesia bovis T2Bo</t>
  </si>
  <si>
    <t>cd12373, RRM_SRSF3_like, RNA recognition motif in serine/arginine-rich splicing factor 3 (SRSF3) and similar proteins.  This subfamily corresponds to the RRM of two serine/arginine (SR) proteins, serine/arginine-rich splicing factor 3 (SRSF3) and serine/arginine-rich splicing factor 7 (SRSF7). SRSF3, also termed pre-mRNA-splicing factor SRp20, modulates alternative splicing by interacting with RNA cis-elements in a concentration- and cell differentiation-dependent manner. It is also involved in termination of transcription, alternative RNA polyadenylation, RNA export, and protein translation. SRSF3 is critical for cell proliferation, and tumor induction and maintenance. It can shuttle between the nucleus and cytoplasm. SRSF7, also termed splicing factor 9G8, plays a crucial role in both constitutive splicing and alternative splicing of many pre-mRNAs. Its localization and functions are tightly regulated by phosphorylation. SRSF7 is predominantly present in the nuclear and can shuttle between nucleus and cytoplasm. It cooperates with the export protein, Tap/NXF1, helps mRNA export to the cytoplasm, and enhances the expression of unspliced mRNA. Moreover, SRSF7 inhibits tau E10 inclusion through directly interacting with the proximal downstream intron of E10, a clustering region for frontotemporal dementia with Parkinsonism (FTDP) mutations. Both SRSF3 and SRSF7 contain a single N-terminal RNA recognition motif (RRM), also termed RBD (RNA binding domain) or RNP (ribonucleoprotein domain), and a C-terminal RS domain rich in serine-arginine dipeptides. The RRM domain is involved in RNA binding, and the RS domain has been implicated in protein shuttling and protein-protein interactions. .</t>
  </si>
  <si>
    <t>RRM_SRSF3_like 2e-030| RRM_SRSF3 5e-026| RRM_SRSF7 9e-026| RRM 5e-016| RRM_1 2e-015| RRM_SF 9e-015| RRM1_SRSF1_like 7e-014| RRM1_SF2_plant_like 4e-013| RRM1_SRSF4_like 8e-012| RRM_NCBP2 1e-010|</t>
  </si>
  <si>
    <t>KOG0107, KOG0107, KOG0107, Alternative splicing factor SRp20/9G8 (RRM superfamily) [RNA processing and modification].</t>
  </si>
  <si>
    <t xml:space="preserve"> AgamP4_2L:45353935-45359753(-) </t>
  </si>
  <si>
    <t xml:space="preserve">5 | 88    SSGRSRR|DE  0.684 *ProP*  | 97    RTRRPRR|SY  0.607 *ProP*  | 100    RPRRSYR|SR  0.640 *ProP*  | 115    ERDRDRR|SR  0.704 *ProP*  | 124    SGSRDRR|--  0.579 *ProP*  | </t>
  </si>
  <si>
    <t>R(4.17)</t>
  </si>
  <si>
    <t>AGAP004090-RA</t>
  </si>
  <si>
    <t xml:space="preserve">5'-3' exoribonuclease 2 </t>
  </si>
  <si>
    <t>5'-3' exoribonuclease 2</t>
  </si>
  <si>
    <t>5'-3' exonuclease XRN1/KEM1/SEP1 involved in DNA strand exchange and mRNA turnover - probable fragment</t>
  </si>
  <si>
    <t>AGAP004090-PA</t>
  </si>
  <si>
    <t xml:space="preserve"> xrn1</t>
  </si>
  <si>
    <t>COG5049, XRN1, 5'-3' exonuclease [DNA replication, recombination, and repair / Cell division and chromosome partitioning / Translation].</t>
  </si>
  <si>
    <t>XRN1 | XRN_N e-135| Loricrin 3e-006| Herpes_PAP 6e-006| SARAF 2e-005| PRK12678 2e-005| Gly_rich 2e-005| PTZ00146 8e-005| PRK07772 1e-004| PRK06958 1e-004|</t>
  </si>
  <si>
    <t>pfam03159, XRN_N, XRN 5'-3' exonuclease N-terminus.  This family aligns residues towards the N-terminus of several proteins with multiple functions. The members of this family all appear to possess 5'-3' exonuclease activity EC:3.1.11.-. Thus, the aligned region may be necessary for 5' to 3' exonuclease function. The family also contains several Xrn1 and Xrn2 proteins. The 5'-3' exoribonucleases Xrn1p and Xrn2p/Rat1p function in the degradation and processing of several classes of RNA in Saccharomyces cerevisiae. Xrn1p is the main enzyme catalyzing cytoplasmic mRNA degradation in multiple decay pathways, whereas Xrn2p/Rat1p functions in the processing of rRNAs and small nucleolar RNAs (snoRNAs) in the nucleus.</t>
  </si>
  <si>
    <t xml:space="preserve"> AgamP4_2R:49542047-49550498(+) </t>
  </si>
  <si>
    <t xml:space="preserve">3 | 118    NQQRSRR|FR  0.535 *ProP*  | 419    FKERNKR|MR  0.646 *ProP*  | 429    QNERQRR|PN  0.530 *ProP*  | </t>
  </si>
  <si>
    <t>AGAP029752-RA</t>
  </si>
  <si>
    <t>Translation initiation factor 2C (eIF-2C) - probable fragment</t>
  </si>
  <si>
    <t>AGAP029752-PA</t>
  </si>
  <si>
    <t>protein argonaute-2</t>
  </si>
  <si>
    <t>Eimeria maxima</t>
  </si>
  <si>
    <t>cd02846, PAZ_argonaute_like, PAZ domain, argonaute_like subfamily. Argonaute is part of the RNA-induced silencing complex (RISC), and is an endonuclease that plays a key role in the RNA interference pathway. The PAZ domain has been named after the proteins Piwi,Argonaut, and Zwille. PAZ is found in two families of proteins that are essential components of RNA-mediated gene-silencing pathways, including RNA interference, the Piwi and Dicer families. PAZ functions as a nucleic acid binding domain, with a strong preference for single-stranded nucleic acids (RNA or DNA) or RNA duplexes with single-stranded 3' overhangs. It has been suggested that the PAZ domain provides a unique mode for the recognition of the two 3'-terminal nucleotides in single-stranded nucleic acids and buries the 3' OH group, and that it might recognize characteristic 3' overhangs in siRNAs within RISC (RNA-induced silencing) and other complexes.</t>
  </si>
  <si>
    <t>PAZ_argonaute_like 4e-025| PAT1 1e-023| PAZ 3e-018| DUF1421 2e-015| DUF4175 3e-015| Med15 1e-013| Activator_LAG-3 9e-013| PRK10263 1e-012| PLN03202 2e-012| PRK03427 2e-011|</t>
  </si>
  <si>
    <t>pfam09770, PAT1, Topoisomerase II-associated protein PAT1.  Members of this family are necessary for accurate chromosome transmission during cell division.</t>
  </si>
  <si>
    <t>smart00949, PAZ, This domain is named PAZ after the proteins Piwi Argonaut and Zwille.  This domain is found in two families of proteins that are involved in post-transcriptional gene silencing. These are the Piwi family and the Dicer family, that includes the Carpel factory protein. The function of the domains is unknown but has been suggested to mediate complex formation between proteins of the Piwi and Dicer families by hetero-dimerisation. The three-dimensional structure of this domain has been solved. The PAZ domain is composed of two subdomains. One subdomain is similar to the OB fold, albeit with a different topology. The OB-fold is well known as a single-stranded nucleic acid binding fold. The second subdomain is composed of a beta-hairpin followed by an alpha-helix. The PAZ domains shows low-affinity nucleic acid binding and appears to interact with the 3' ends of single-stranded regions of RNA in the cleft between the two subdomains. PAZ can bind the characteristic two-base 3' overhangs of siRNAs, indicating that although PAZ may not be a primary nucleic acid binding site in Dicer or RISC, it may contribute to the specific and productive incorporation of siRNAs and miRNAs into the RNAi pathway.</t>
  </si>
  <si>
    <t xml:space="preserve"> AgamP4_3L:26926129-26934649(-) </t>
  </si>
  <si>
    <t xml:space="preserve">1 | 406    NFVRFKR|AV  0.768 *ProP*  | </t>
  </si>
  <si>
    <t>Q(3.44)X(766.29)</t>
  </si>
  <si>
    <t>AGAP000328-RA</t>
  </si>
  <si>
    <t xml:space="preserve">AMME syndrome candidate gene 1 protein </t>
  </si>
  <si>
    <t>AMME syndrome candidate gene 1 protein</t>
  </si>
  <si>
    <t>AGAP000328-PA</t>
  </si>
  <si>
    <t xml:space="preserve"> id-fbpp0083889</t>
  </si>
  <si>
    <t>pfam01871, AMMECR1, AMMECR1.  This family consists of several AMMECR1 as well as several uncharacterized proteins. The contiguous gene deletion syndrome AMME is characterized by Alport syndrome, midface hypoplasia, mental retardation and elliptocytosis and is caused by a deletion in Xq22.3, comprising several genes including COL4A5, FACL4 and AMMECR1. This family contains sequences from several eukaryotic species as well as archaebacteria and it has been suggested that the AMMECR1 protein may have a basic cellular function, potentially in either the transcription, replication, repair or translation machinery.</t>
  </si>
  <si>
    <t>AMMECR1 1e-052| AMMECR1 3e-031| Protein_MJ0810 4e-028| AMMECR1_domain_protein 3e-024| PRK00801 6e-012| PRK03881 3e-009| MM_CoA_mutase_beta 0.031| Dehydrin 0.033| PTZ00110 0.048| PAP1 0.058|</t>
  </si>
  <si>
    <t>KOG3274, KOG3274, KOG3274, Uncharacterized conserved protein, AMMECR1 [Function unknown].</t>
  </si>
  <si>
    <t xml:space="preserve"> AgamP4_X:5759812-5762201(-) </t>
  </si>
  <si>
    <t>AGAP003268.R252</t>
  </si>
  <si>
    <t>VectorBase: AGAP003268</t>
  </si>
  <si>
    <t>AGAP004912.R42</t>
  </si>
  <si>
    <t>ATP-dependent RNA helicase DDX5/DBP2</t>
  </si>
  <si>
    <t>VectorBase: AGAP004912</t>
  </si>
  <si>
    <t>AGAP029508-RC</t>
  </si>
  <si>
    <t>protein lap4 isoform x8 - 25 OH-glycosylation sites -  25 NetOglyc sites</t>
  </si>
  <si>
    <t>AGAP029508-PC</t>
  </si>
  <si>
    <t>protein scribble log isoform x19 - 25 OH-glycosylation sites -  25 NetOglyc sites</t>
  </si>
  <si>
    <t>LRR_RI 2e-040| PLN00113 3e-030| COG4886 1e-027| PDZ 1e-018| PDZ_signaling 2e-018| LRR_1 3e-018| PRK15370 5e-015| PDZ 2e-012| PDZ 9e-011| PRK15387 1e-010|</t>
  </si>
  <si>
    <t>pfam00595, PDZ, PDZ domain (Also known as DHR or GLGF).  PDZ domains are found in diverse signaling proteins.</t>
  </si>
  <si>
    <t>smart00228, PDZ, Domain present in PSD-95, Dlg, and ZO-1/2.  Also called DHR (Dlg homologous region) or GLGF (relatively well conserved tetrapeptide in these domains). Some PDZs have been shown to bind C-terminal polypeptides; others appear to bind internal (non-C-terminal) polypeptides. Different PDZs possess different binding specificities.</t>
  </si>
  <si>
    <t xml:space="preserve"> AgamP4_X:850501-891969(+) </t>
  </si>
  <si>
    <t>AGAP028609-RA</t>
  </si>
  <si>
    <t xml:space="preserve">transcriptional regulator ATRX </t>
  </si>
  <si>
    <t>transcriptional regulator ATRX</t>
  </si>
  <si>
    <t>DNA repair protein SNF2 family - probable fragment</t>
  </si>
  <si>
    <t>AGAP028609-PA</t>
  </si>
  <si>
    <t xml:space="preserve"> transcriptional regulator atrx isoform x3</t>
  </si>
  <si>
    <t>SNF2_N 5e-062| HepA 2e-034| PLN03142 2e-025| DEXDc 3e-016| HELICc 4e-015| Helicase_C 5e-015| HELICc 5e-013| DEXDc 5e-011| repair_helicase_RAD25 2e-005| PTZ00121 3e-005|</t>
  </si>
  <si>
    <t>KOG1015, KOG1015, KOG1015, Transcription regulator XNP/ATRX, DEAD-box superfamily [Transcription].</t>
  </si>
  <si>
    <t xml:space="preserve"> AgamP4_2R:21967224-21972809(+) </t>
  </si>
  <si>
    <t xml:space="preserve">5 | 378    LITRKRR|AV  0.751 *ProP*  | 425    ATSRSQR|AA  0.548 *ProP*  | 432    AAERSKR|GR  0.530 *ProP*  | 491    VSKRKKR|KQ  0.640 *ProP*  | 979    DSSRDAK|SS  0.551 *ProP*  | </t>
  </si>
  <si>
    <t>AGAP001438.R564</t>
  </si>
  <si>
    <t>VectorBase: AGAP001438</t>
  </si>
  <si>
    <t>AGAP012154-RA</t>
  </si>
  <si>
    <t xml:space="preserve">solute carrier family 15 member 1 </t>
  </si>
  <si>
    <t>solute carrier family 15 member 1</t>
  </si>
  <si>
    <t>H+ symporter - 11 predicted membrane helices</t>
  </si>
  <si>
    <t>AGAP012154-PA</t>
  </si>
  <si>
    <t xml:space="preserve"> protein - 11 predicted membrane helices</t>
  </si>
  <si>
    <t>ExpAA=234.27 First60=4.89 PredHel=11 Topology=o56-78i85-107o117-139i156-178o193-215i270-288o318-340i353-372o585-607i619-641o651-668i</t>
  </si>
  <si>
    <t>TIGR00926, Peptide_transporter_family_1, Peptide:H+ symporter (also transports b-lactam antibiotics, the antitumor agent, bestatin, and various protease inhibitors).  [Transport and binding proteins, Amino acids, peptides and amines].</t>
  </si>
  <si>
    <t>Peptide_transporter_family_1 e-163| PTR2 1e-078| PTR2 1e-059| putative_Di/Tri_peptide_transporter 2e-028| tppB 3e-023| PRK15462 9e-019| PRK10207 2e-017| MFS 3e-004| MFS_1 0.003| ABC_transporter |</t>
  </si>
  <si>
    <t>KOG1237, KOG1237, KOG1237, H+/oligopeptide symporter [Amino acid transport and metabolism].</t>
  </si>
  <si>
    <t>pfam00854, PTR2, POT family.  The POT (proton-dependent oligopeptide transport) family all appear to be proton dependent transporters.</t>
  </si>
  <si>
    <t>smart00042, CUB, Domain first found in C1r, C1s, uEGF, and bone morphogenetic protein.  This domain is found mostly among developmentally-regulated proteins. Spermadhesins contain only this domain.</t>
  </si>
  <si>
    <t xml:space="preserve"> AgamP4_3L:38087144-38093909(-) </t>
  </si>
  <si>
    <t xml:space="preserve">1 | 18    PPVRYPR|SI  0.507 *ProP*  | </t>
  </si>
  <si>
    <t>AGAP001225-RA</t>
  </si>
  <si>
    <t>agap001225-pa - 14 OH-glycosylation sites -  14 NetOglyc sites</t>
  </si>
  <si>
    <t>AGAP001225-PA</t>
  </si>
  <si>
    <t xml:space="preserve"> tra0ai8jve4a0ai8jve4 anome os-merus ox-30066 pe-4 sv - 14 OH-glycosylation sites -  14 NetOglyc sites</t>
  </si>
  <si>
    <t>Staphylococcus haemolyticus (strain JCSC1435)</t>
  </si>
  <si>
    <t>PRK07994, PRK07994, DNA polymerase III subunits gamma and tau; Validated.</t>
  </si>
  <si>
    <t>PRK07994 0.047| PLN02847 0.065| PHA03247 0.075| PRK14950 | PRK12323 | PRK10118 | retinal_rod | UV_excision_repair_protein_RAD23_homol...    33   0.71  | PRK14971 | PARM |</t>
  </si>
  <si>
    <t>KOG1989, KOG1989, KOG1989, ARK protein kinase family [Signal transduction mechanisms].</t>
  </si>
  <si>
    <t>pfam17061, PARM, PARM.  Human PARM-1 is a mucin-like, androgen-regulated transmembrane protein that is present in most tissues, with high levels in the heart, kidney and placenta. It has been shown to be induced and expressed in prostate after castration and may have a role in cell proliferation and immortalisation in prostate cancer.</t>
  </si>
  <si>
    <t>smart00019, SF_P, Pulmonary surfactant proteins.  Pulmonary surfactant associated proteins promote alveolar stability by lowering the surface tension at the air-liquid interface in the peripheral air spaces. SP-C, a component of surfactant, is a highly hydrophobic peptide of 35 amino acid residues which is processed from a larger precursor protein. SP-C is post-translationally modified by the covalent attachment of two palmitoyl groups on two adjacent cysteines.</t>
  </si>
  <si>
    <t xml:space="preserve"> AgamP4_2R:1642948-1646465(-) </t>
  </si>
  <si>
    <t>AGAP011517-RA</t>
  </si>
  <si>
    <t>mucin-12-like - 33 OH-glycosylation sites - Conserved membrane protein mucin-12-like -  33 NetOglyc sites - 2 predicted membrane helices</t>
  </si>
  <si>
    <t>uc/memb mucin-12-like</t>
  </si>
  <si>
    <t>AGAP011517-PA</t>
  </si>
  <si>
    <t xml:space="preserve"> mucin-17 isoform x1 - 33 OH-glycosylation sites - Conserved membrane protein  -  33 NetOglyc sites - 2 predicted membrane helices</t>
  </si>
  <si>
    <t xml:space="preserve">uc/memb </t>
  </si>
  <si>
    <t xml:space="preserve"> 97-98</t>
  </si>
  <si>
    <t>ExpAA=19.02 First60=0.00 PredHel=1 Topology=i71-93o</t>
  </si>
  <si>
    <t>pfam15888, FOG_N, Folded gastrulation N-terminus.  This is the N-terminal domain of the folded gastrulation protein. Folded gastrulation is required for morphogenic movements during gastrulation and nervous system development. It may act as a secreted signal and activate the G protein alpha subunit. This domain may be the G protein-coupled receptor ligand.</t>
  </si>
  <si>
    <t>FOG_N 1e-032| PRK12727 0.024| PRK11907 | Mitofilin | PRK13914 | PRK15030 | Ro_ribonucleoprotein-binding_protein_1...    32   1.6   | DUF4775 | PRK14949 | Caprin-1_C |</t>
  </si>
  <si>
    <t>KOG3514, KOG3514, KOG3514, Neurexin III-alpha [Signal transduction mechanisms].</t>
  </si>
  <si>
    <t>smart01099, CPW_WPC, This group of sequences is defined by a domain of about 61 residues in length with six well-conserved cysteine residues and six well-conserved aromatic sites. The domain can be found in tandem repeats, and is known so far only in Plasmodium falciparum. It is named for motifs of CPxxW and (less well conserved) WPC. Its function is unknown.</t>
  </si>
  <si>
    <t xml:space="preserve"> AgamP4_3L:26361789-26406772(+) </t>
  </si>
  <si>
    <t>AGAP004946-RA</t>
  </si>
  <si>
    <t xml:space="preserve">NCK-associated protein 1 </t>
  </si>
  <si>
    <t>NCK-associated protein 1</t>
  </si>
  <si>
    <t>Membrane-associated hematopoietic protein</t>
  </si>
  <si>
    <t>AGAP004946-PA</t>
  </si>
  <si>
    <t xml:space="preserve"> membrane-associated apoptosis protein</t>
  </si>
  <si>
    <t>pfam09735, Nckap1, Membrane-associated apoptosis protein.  Expression of this protein was found to be markedly reduced in patients with Alzheimer's disease. It is involved in the regulation of actin polymerization in the brain as part of a WAVE2 signalling complex.</t>
  </si>
  <si>
    <t>Nckap1 | PRK13709 | 47 | AcylCoA_dehyd_C | PRK01269 |</t>
  </si>
  <si>
    <t>KOG1917, KOG1917, KOG1917, Membrane-associated hematopoietic protein [General function prediction only].</t>
  </si>
  <si>
    <t>smart00729, Elp3, Elongator protein 3, MiaB family, Radical SAM. This superfamily contains MoaA, NifB, PqqE, coproporphyrinogen III oxidase, biotin synthase and MiaB families, and includes a representative in the eukaryotic elongator subunit, Elp-3. Some members of the family are methyltransferases.</t>
  </si>
  <si>
    <t xml:space="preserve"> AgamP4_2L:6555241-6558606(-) </t>
  </si>
  <si>
    <t xml:space="preserve">1 | 645    AANRKKK|DK  0.602 *ProP*  | </t>
  </si>
  <si>
    <t>AGAP002336-RA</t>
  </si>
  <si>
    <t>AGAP002336-PA</t>
  </si>
  <si>
    <t xml:space="preserve"> family i43 unassigned peptidase inhibitor - Conserved membrane protein  - 2 predicted membrane helices</t>
  </si>
  <si>
    <t>ExpAA=33.85 First60=10.47 PredHel=1 Topology=i422-444o</t>
  </si>
  <si>
    <t>LRR_RI 6e-038| LRR_1 2e-026| COG4886 4e-013| LRR_8 6e-012| IG_like 3e-010| IG 3e-010| I-set 5e-010| Ig_NCAM-1_like 1e-009| Ig_3 2e-009| Ig 3e-009|</t>
  </si>
  <si>
    <t xml:space="preserve"> AgamP4_2R:20216948-20220319(+) </t>
  </si>
  <si>
    <t xml:space="preserve">2 | 143    SMKRVDR|DA  0.548 *ProP*  | 452    ICCRKRR|FK  0.553 *ProP*  | </t>
  </si>
  <si>
    <t>AGAP007113-RA</t>
  </si>
  <si>
    <t xml:space="preserve">1-acyl-sn-glycerol-3-phosphate acyltransferase gamma </t>
  </si>
  <si>
    <t>1-acyl-sn-glycerol-3-phosphate acyltransferase gamma</t>
  </si>
  <si>
    <t>Lysophosphatidic acid acyltransferase LPAAT - signalP detected - 4 predicted membrane helices</t>
  </si>
  <si>
    <t>AGAP007113-PA</t>
  </si>
  <si>
    <t xml:space="preserve"> 1-acylglycerol-3-phosphate o-acyltransferase - signalP detected - 4 predicted membrane helices</t>
  </si>
  <si>
    <t xml:space="preserve"> 34-35</t>
  </si>
  <si>
    <t>ExpAA=86.56 First60=32.72 PredHel=4 Topology=i13-35o50-67i319-341o346-368i</t>
  </si>
  <si>
    <t>PLN02380, PLN02380, 1-acyl-sn-glycerol-3-phosphate acyltransferase.</t>
  </si>
  <si>
    <t>PLN02380 1e-069| LPLAT_LCLAT1-like 5e-054| PLN02510 6e-037| Acyltransf_C 9e-021| PlsC 1e-014| PlsC 1e-008| Acyltransferase 7e-008| PRK14014 2e-005| LPLAT_AGPAT-like 0.013| 1-acyl-sn-glycerol-3-phosphate_acyltra...    36   0.031 0.031|</t>
  </si>
  <si>
    <t>KOG1505, KOG1505, KOG1505, Lysophosphatidic acid acyltransferase LPAAT and related acyltransferases [Lipid transport and metabolism].</t>
  </si>
  <si>
    <t xml:space="preserve">Lipid transport and metabolism </t>
  </si>
  <si>
    <t>pfam16076, Acyltransf_C, Acyltransferase C-terminus.  This domain is found at the C-terminus of several different acyltransferases including 1-acyl-sn-glycerol-3-phosphate acyltransferase, acyl-CoA:lysophosphatidylglycerol acyltransferase 1 and lysocardiolipin acyltransferase 1.</t>
  </si>
  <si>
    <t>smart00563, PlsC, Phosphate acyltransferases.  Function in phospholipid biosynthesis and have either glycerolphosphate, 1-acylglycerolphosphate, or 2-acylglycerolphosphoethanolamine acyltransferase activities. Tafazzin, the product of the gene mutated in patients with Barth syndrome, is a member of this family.</t>
  </si>
  <si>
    <t xml:space="preserve"> AgamP4_2L:42963004-42964452(+) </t>
  </si>
  <si>
    <t>AGAP009619-RA</t>
  </si>
  <si>
    <t xml:space="preserve">S-adenosylmethionine decarboxylase </t>
  </si>
  <si>
    <t>S-adenosylmethionine decarboxylase</t>
  </si>
  <si>
    <t>AGAP009619-PA</t>
  </si>
  <si>
    <t xml:space="preserve"> s-adenosylmethionine decarboxylase proenzyme-like isoform x1</t>
  </si>
  <si>
    <t>pfam01536, SAM_decarbox, Adenosylmethionine decarboxylase.  This is a family of S-adenosylmethionine decarboxylase (SAMDC) proenzymes. In the biosynthesis of polyamines SAMDC produces decarboxylated S-adenosylmethionine, which serves as the aminopropyl moiety necessary for spermidine and spermine biosynthesis from putrescine. The Pfam alignment contains both the alpha and beta chains that are cleaved to form the active enzyme.</t>
  </si>
  <si>
    <t>SAM_decarbox e-139| SAM_DCase 9e-080| PLN02524 6e-074| COG1747 | Homocitrate_dehydratase_mitochondrial | PLN02204 | Q | AcnA_Mitochondrial | MscS_porin | LAMTOR |</t>
  </si>
  <si>
    <t>KOG0788, KOG0788, KOG0788, S-adenosylmethionine decarboxylase [Signal transduction mechanisms].</t>
  </si>
  <si>
    <t xml:space="preserve"> AgamP4_3R:37052722-37063499(+) </t>
  </si>
  <si>
    <t>AGAP029976.R813</t>
  </si>
  <si>
    <t>VectorBase: AGAP029976</t>
  </si>
  <si>
    <t>AGAP002924-RA</t>
  </si>
  <si>
    <t xml:space="preserve">protein tweety homolog </t>
  </si>
  <si>
    <t>protein tweety homolog</t>
  </si>
  <si>
    <t>Conserved plasma membrane protein - 5 predicted membrane helices</t>
  </si>
  <si>
    <t>AGAP002924-PA</t>
  </si>
  <si>
    <t xml:space="preserve"> domain of the protein - 5 predicted membrane helices</t>
  </si>
  <si>
    <t>ExpAA=111.14 First60=0.25 PredHel=5 Topology=o67-89i110-127o240-262i269-291o411-433i</t>
  </si>
  <si>
    <t>cd07912, Tweety_N, N-terminal domain of the protein encoded by the Drosophila tweety gene and related proteins, a family of chloride ion channels.  The protein product of the Drosophila tweety (tty) gene is thought to form a trans-membrane protein with five membrane-spanning regions and a cytoplasmic C-terminus. This N-terminal domain contains the putative transmembrane spanning regions. Tweety has been suggested as a candidate for a large conductance chloride channel, both in vertebrate and insect cells. Three human homologs have been identified and designated TTYH1-3. TTYH2 has been associated with the progression of cancer, and Drosophila melanogaster tweety has been assumed to play a role in development. TTYH2, and TTYH3 bind to and are ubiquinated by Nedd4-2, a HECT type E3 ubiquitin ligase, which most likely plays a role in controlling the cellular levels of tweety family proteins.</t>
  </si>
  <si>
    <t>Tweety_N e-112| Tweety e-106| COG5547 | conjugative_transfer_relaxase_protein_...    34   0.25  | Tetraspannin | Prominin | PTZ00303 | TMEM154 | DUF3429 | SLC6sbd_NTT4 |</t>
  </si>
  <si>
    <t>KOG4433, KOG4433, KOG4433, Tweety transmembrane/cell surface protein [General function prediction only].</t>
  </si>
  <si>
    <t>pfam04906, Tweety, Tweety.  The tweety (tty) gene has not been characterized at the protein level. However, it is thought to form a membrane protein with five potential membrane-spanning regions. A number of potential functions have been suggested in.</t>
  </si>
  <si>
    <t xml:space="preserve"> AgamP4_2R:29639588-29675046(-) </t>
  </si>
  <si>
    <t>AGAP012175-RA</t>
  </si>
  <si>
    <t xml:space="preserve">phosphatidylinositol-bisphosphatase </t>
  </si>
  <si>
    <t>phosphatidylinositol-bisphosphatase</t>
  </si>
  <si>
    <t>Phosphoinositide phosphatase SAC1 - probable fragment - 27 OH-glycosylation sites</t>
  </si>
  <si>
    <t>AGAP012175-PA</t>
  </si>
  <si>
    <t xml:space="preserve"> catalytic inositol polyphosphate 5-phosphatase - 27 OH-glycosylation sites -  27 NetOglyc sites</t>
  </si>
  <si>
    <t>ExpAA=4.70 First60=0.02 PredHel=0 Topology=o</t>
  </si>
  <si>
    <t>cd09089, INPP5c_Synj, Catalytic inositol polyphosphate 5-phosphatase (INPP5c) domain of synaptojanins.  This subfamily contains the INPP5c domains of two human synaptojanins, synaptojanin 1 (Synj1) and synaptojanin 2 (Synj2), and related proteins. It belongs to a family of Mg2+-dependent inositol polyphosphate 5-phosphatases, which hydrolyze the 5-phosphate from the inositol ring of various 5-position phosphorylated phosphoinositides (PIs) and inositol phosphates (IPs). They belong to the large EEP (exonuclease/endonuclease/phosphatase) superfamily that contains functionally diverse enzymes that share a common catalytic mechanism of cleaving phosphodiester bonds. Synj1 occurs as two main isoforms: a brain enriched 145 KDa protein (Synj1-145) and a ubiquitously expressed 170KDa protein (Synj1-170). Synj1-145 participates in clathrin-mediated endocytosis. The primary substrate of the Synj1-145 INPP5c domain is PI(4,5)P2, which it converts to PI4P. Synj1-145 may work with membrane curvature sensors/generators (such as endophilin) to remove PI(4,5)P2 from curved membranes. The recruitment of the INPP5c domain of Synj1-145 to endophilin-induced membranes leads to a fragmentation and condensation of these structures. The PI(4,5)P2 to PI4P conversion may cooperate with dynamin to produce membrane fission. In addition to this INPP5c domain, Synjs contain an N-terminal Sac1-like domain; the Sac1 domain can dephosphorylate a variety of phosphoinositides in vitro. Synj2 can hydrolyze phosphatidylinositol diphosphate (PIP2) to phosphatidylinositol phosphate (PIP). Synj2 occurs as multiple alternative splice variants in various tissues. These variants share the INPP5c domain and the Sac1 domain. Synj2A is recruited to the mitochondria via its interaction with OMP25 (a mitochondrial outer membrane protein). Synj2B is found at nerve terminals in the brain and at the spermatid manchette in testis. Synj2B undergoes further alternative splicing to give 2B1 and 2B2. In clathrin-mediated endocytosis, Synj2 participates in the formation of clathrin-coated pits, and perhaps also in vesicle decoating. Rac1 GTPase regulates the intracellular localization of Synj2 forms, but not Synj1. Synj2 may contribute to the role of Rac1 in cell migration and invasion, and is a potential target for therapeutic intervention in malignant tumors.</t>
  </si>
  <si>
    <t>INPP5c_Synj e-170| INPP5c_Synj1 e-134| INPP5c_Synj2 e-118| IPPc 2e-088| INPP5c 3e-087| INPP5c_INPP5B 3e-087| INPP5c_ScInp51p-like 4e-083| COG5329 2e-082| Syja_N 2e-072| DUF1866 4e-063|</t>
  </si>
  <si>
    <t>pfam02383, Syja_N, SacI homology domain.  This Pfam family represents a protein domain which shows homology to the yeast protein SacI. The SacI homology domain is most notably found at the amino terminal of the inositol 5'-phosphatase synaptojanin.</t>
  </si>
  <si>
    <t>smart00128, IPPc, Inositol polyphosphate phosphatase, catalytic domain homologues.  Mg(2+)-dependent/Li(+)-sensitive enzymes.</t>
  </si>
  <si>
    <t xml:space="preserve"> AgamP4_3L:38328174-38334574(-) </t>
  </si>
  <si>
    <t>AGAP013457-RA</t>
  </si>
  <si>
    <t xml:space="preserve">CDC-like kinase 2 </t>
  </si>
  <si>
    <t>CDC-like kinase 2</t>
  </si>
  <si>
    <t>Catalytic domain of the Dual-specificity protein kinases</t>
  </si>
  <si>
    <t>AGAP013457-PA</t>
  </si>
  <si>
    <t xml:space="preserve"> cmgc/clk protein kinase</t>
  </si>
  <si>
    <t>cd14134, PKc_CLK, Catalytic domain of the Dual-specificity protein kinases, CDC-like kinases.  Dual-specificity PKs catalyze the transfer of the gamma-phosphoryl group from ATP to serine/threonine (S/T) as well as tyrosine residues on protein substrates. CLKs are involved in the phosphorylation and regulation of serine/arginine-rich (SR) proteins, which play a crucial role in pre-mRNA splicing by directing splice site selection. SR proteins are phosphorylated first by SR protein kinases (SRPKs) at the N-terminus, which leads to its assembly into nuclear speckles where splicing factors are stored. CLKs phosphorylate the C-terminal part of SR proteins, causing the nuclear speckles to dissolve and splicing factors to be recruited at sites of active transcription. Based on a conserved "EHLAMMERILG" signature motif which may be crucial for substrate specificity, CLKs are also referred to as LAMMER kinases. CLKs autophosphorylate at tyrosine residues and phosphorylate their substrates exclusively on S/T residues. In Drosophila, the CLK homolog DOA (Darkener of apricot) is essential for embryogenesis and its mutation leads to defects in sexual differentiation, eye formation, and neuronal development. In fission yeast, the CLK homolog Lkh1 is a negative regulator of filamentous growth and asexual flocculation, and is also involved in oxidative stress response. Vertebrates contain mutliple CLK proteins and mammals have four (CLK1-4). The CLK subfamily is part of a larger superfamily that includes the catalytic domains of other STKs, protein tyrosine kinases, RIO kinases, aminoglycoside phosphotransferase, choline kinase, and phosphoinositide 3-kinase.</t>
  </si>
  <si>
    <t>PKc_CLK e-157| PKc_CLK2 e-129| PKc_CLK1_4 e-126| PKc_CLK3 e-125| PKc_DYRK 6e-071| STKc_CMGC 2e-065| PKc_DYRK_like 4e-064| PKc_YAK1 6e-061| PKc_DYRK1 2e-059| S_TKc 2e-057|</t>
  </si>
  <si>
    <t>KOG0671, KOG0671, KOG0671, LAMMER dual specificity kinases [Signal transduction mechanisms].</t>
  </si>
  <si>
    <t xml:space="preserve"> AgamP4_2R:41328713-41330290(+) </t>
  </si>
  <si>
    <t xml:space="preserve">2 | 51    SSSRRKR|KR  0.740 *ProP*  | 53    SRRKRKR|SE  0.520 *ProP*  | </t>
  </si>
  <si>
    <t>AGAP006623-RA</t>
  </si>
  <si>
    <t xml:space="preserve">vacuolar protein sorting 53 </t>
  </si>
  <si>
    <t>Vps53: vacuolar protein sorting 53</t>
  </si>
  <si>
    <t>Late Golgi protein sorting complex subunit Vps53</t>
  </si>
  <si>
    <t>AGAP006623-PA</t>
  </si>
  <si>
    <t>pfam04100, Vps53_N, Vps53-like, N-terminal.  Vps53 complexes with Vps52 and Vps54 to form a multi- subunit complex involved in regulating membrane trafficking events.</t>
  </si>
  <si>
    <t>Vps53_N e-130| FAM196 0.023| Vps54_N 0.037| Phage_min_cap2 0.084| DUF3375 0.099| PRK01212 | ThrB | PLN03218 | DUF3584 | VPS53_C |</t>
  </si>
  <si>
    <t>KOG2180, KOG2180, KOG2180, Late Golgi protein sorting complex, subunit Vps53 [Intracellular trafficking, secretion, and vesicular transport].</t>
  </si>
  <si>
    <t xml:space="preserve"> AgamP4_2L:34764280-34767193(-) </t>
  </si>
  <si>
    <t>AGAP005505-RA</t>
  </si>
  <si>
    <t xml:space="preserve">RNA-binding protein 45 </t>
  </si>
  <si>
    <t>RNA-binding protein 45</t>
  </si>
  <si>
    <t>AGAP005505-PA</t>
  </si>
  <si>
    <t xml:space="preserve"> tra0as4gq28a0as4gq28 anoga rna-binding protein 4 os-ox-76 pe-4 sv</t>
  </si>
  <si>
    <t>ExpAA=10.27 First60=0.00 PredHel=0 Topology=o</t>
  </si>
  <si>
    <t>cd12366, RRM1_RBM45, RNA recognition motif 1 in RNA-binding protein 45 (RBM45) and similar proteins.  This subfamily corresponds to the RRM1 of RBM45, also termed developmentally-regulated RNA-binding protein 1 (DRB1), a new member of RNA recognition motif (RRM)-type neural RNA-binding proteins, which expresses under spatiotemporal control. It is encoded by gene drb1 that is expressed in neurons, not in glial cells. RBM45 predominantly localizes in cytoplasm of cultured cells and specifically binds to poly(C) RNA. It could play an important role during neurogenesis. RBM45 carries four RRMs, also known as RBDs (RNA binding domains) or RNPs (ribonucleoprotein domains). .</t>
  </si>
  <si>
    <t>RRM1_RBM45 1e-035| RRM2_RBM45 3e-027| RRM4_RBM45 1e-024| RRM3_RBM45 4e-021| Polyadenylate-binding_protein_3 3e-016| RRM 3e-014| COG0724 1e-013| Protein_sex-lethal 2e-013| transcription_coactivator_CAPER 2e-013| Ro_ribonucleoprotein-binding_protein_1...    72   6e-013 6e-013|</t>
  </si>
  <si>
    <t>KOG0144, KOG0144, KOG0144, RNA-binding protein CUGBP1/BRUNO (RRM superfamily) [RNA processing and modification].</t>
  </si>
  <si>
    <t xml:space="preserve"> AgamP4_2L:16288405-16290707(-) </t>
  </si>
  <si>
    <t xml:space="preserve">1 | 556    SNDRRKR|MR  0.720 *ProP*  | </t>
  </si>
  <si>
    <t>AGAP000235-RA</t>
  </si>
  <si>
    <t xml:space="preserve">Thymosin </t>
  </si>
  <si>
    <t>Thymosin</t>
  </si>
  <si>
    <t>AGAP000235-PC</t>
  </si>
  <si>
    <t>AGAP000235-PA</t>
  </si>
  <si>
    <t xml:space="preserve"> thymosin beta actin-binding motif protein</t>
  </si>
  <si>
    <t>pfam01290, Thymosin, Thymosin beta-4 family.</t>
  </si>
  <si>
    <t>Thymosin 8e-005| THY 0.001| MopB_DmsA-EC | TCP1_delta | Phosphate_butyryltransferase | STKc_CDK4 | DUF4522 |</t>
  </si>
  <si>
    <t>KOG4794, KOG4794, KOG4794, Thymosin beta [Cell motility].</t>
  </si>
  <si>
    <t>smart00152, THY, Thymosin beta actin-binding motif.</t>
  </si>
  <si>
    <t xml:space="preserve"> AgamP4_X:4425246-4428424(+) </t>
  </si>
  <si>
    <t>AGAP004904.R39</t>
  </si>
  <si>
    <t>Catalase [Source:UniProtKB/TrEMBL;Acc:A3E7Z8]</t>
  </si>
  <si>
    <t>VectorBase: AGAP004904</t>
  </si>
  <si>
    <t>AGAP001328.R544</t>
  </si>
  <si>
    <t>tripartite motif-containing protein 33</t>
  </si>
  <si>
    <t>VectorBase: AGAP001328</t>
  </si>
  <si>
    <t>AGAP000273-RA</t>
  </si>
  <si>
    <t>AGAP000273-PA</t>
  </si>
  <si>
    <t>pfam15847, Loricrin, Major keratinocyte cell envelope protein. Loricrin is a family of major keratinocyte cell envelope proteins found in primates. It acts as an important epidermal barrier, and is initially expressed in the granular layer comprising 70% of the total protein mass of the cornified layer. Expression of Loricrin is regulated by TNF-alpha via a c-Jun N-terminal kinase-dependent pathway.</t>
  </si>
  <si>
    <t>Loricrin 3e-004| Keratin_2_tail 0.001| DUF4766 0.002| PRK06958 0.005| PLN03138 0.006| Gly_rich 0.007| Keratin_2_head 0.007| III 0.008| PRK07772 0.013| COG4907 0.014|</t>
  </si>
  <si>
    <t>KOG2032, KOG2032, KOG2032, Uncharacterized conserved protein [Function unknown].</t>
  </si>
  <si>
    <t xml:space="preserve"> AgamP4_X:4997415-5005742(+) </t>
  </si>
  <si>
    <t>AGAP006621-RA</t>
  </si>
  <si>
    <t>agap006621-pa - 49 OH-glycosylation sites -  49 NetOglyc sites</t>
  </si>
  <si>
    <t>AGAP006621-PA</t>
  </si>
  <si>
    <t xml:space="preserve"> sca7 - 49 OH-glycosylation sites -  49 NetOglyc sites</t>
  </si>
  <si>
    <t>pfam08313, SCA7, SCA7, zinc-binding domain.  This domain is found in the protein Sgf73/Sca7 which is a component of the multihistone acetyltransferase complexes SAGA and SILK. This domain is also found in Ataxin-7, a human protein which in its polyglutamine expanded pathological form, is responsible for the neurodegenerative disease spinocerebellar ataxia 7 (SCA7). Ataxin-7 is an integral component of the mammalian SAGA-like complexes, the TATA-binding protein-free TAF-containing complex (TFTC) and the SPT3/TAF9/GCN5 acetyltransferase complex (STAGA). This domain is a minimal domain in ataxin-7-like proteins that is required for interaction with TFTC/STAGA subunits and is conserved highly through evolution. The domain contains a conserved Cys(3)His motif that binds zinc, thus indicating this to be a new zinc-binding domain.</t>
  </si>
  <si>
    <t>SCA7 5e-018| PHA03307 6e-011| SR-25 3e-007| Macoilin 4e-007| PRK08581 2e-006| DUF4614 3e-006| BUD22 1e-005| RSRP 3e-005| SSP160 6e-005| PAP1 8e-005|</t>
  </si>
  <si>
    <t>KOG2140, KOG2140, KOG2140, Uncharacterized conserved protein [General function prediction only].</t>
  </si>
  <si>
    <t>smart00871, AraC_E_bind, Bacterial transcription activator, effector binding domain.  This domain is found in the probable effector binding domain of a number of different bacterial transcription activators.and is also present in some DNA gyrase inhibitors. The absence of a HTH motif in the DNA gyrase inhibitors is thought to indicate the fact that these do not bind DNA.</t>
  </si>
  <si>
    <t xml:space="preserve"> AgamP4_2L:34755963-34759751(-) </t>
  </si>
  <si>
    <t xml:space="preserve">1 | 1187    TMHPLKR|SA  0.527 *ProP*  | </t>
  </si>
  <si>
    <t>AGAP005710-RA</t>
  </si>
  <si>
    <t xml:space="preserve">prominin-like protein </t>
  </si>
  <si>
    <t>prominin-like protein</t>
  </si>
  <si>
    <t>agap005710-pa - signalP detected - 6 predicted membrane helices</t>
  </si>
  <si>
    <t>AGAP005710-PA</t>
  </si>
  <si>
    <t xml:space="preserve"> prominin-1 - signalP detected - 6 predicted membrane helices</t>
  </si>
  <si>
    <t>ExpAA=132.48 First60=19.80 PredHel=6 Topology=i12-29o110-132i160-182o436-458i479-501o807-829i</t>
  </si>
  <si>
    <t>pfam05478, Prominin, Prominin.  The prominins are an emerging family of proteins that among the multispan membrane proteins display a novel topology. Mouse prominin and human prominin (mouse)-like 1 (PROML1) are predicted to contain five membrane spanning domains, with an N-terminal domain exposed to the extracellular space followed by four, alternating small cytoplasmic and large extracellular, loops and a cytoplasmic C-terminal domain. The exact function of prominin is unknown although in humans defects in PROM1, the gene coding for prominin, cause retinal degeneration.</t>
  </si>
  <si>
    <t>Prominin | DUF3824 0.003| VI_IcmF 0.005| GrpE 0.011| Tweety_N 0.014| mycoplas_twoTM 0.015| Tweety 0.021| Cg6151-P 0.044| DUF1218 0.079| MUTSd |</t>
  </si>
  <si>
    <t>KOG4331, KOG4331, KOG4331, Polytopic membrane protein Prominin [General function prediction only].</t>
  </si>
  <si>
    <t>smart00533, MUTSd, DNA-binding domain of DNA mismatch repair MUTS family.</t>
  </si>
  <si>
    <t xml:space="preserve"> AgamP4_2L:19242313-19255034(+) </t>
  </si>
  <si>
    <t xml:space="preserve">2 | 885    RESRDRR|EI  0.674 *ProP*  | 901    SHSRDPR|YN  0.534 *ProP*  | </t>
  </si>
  <si>
    <t>AGAP011763-RA</t>
  </si>
  <si>
    <t>AGAP011763-PA</t>
  </si>
  <si>
    <t>ZF_C2H2 5e-023| ZF_C2H2 4e-014| zf-AD 1e-012| zf-AD 1e-009| ZF_C2H2 0.002| zf-C2H2 0.002| COG5048 0.003| zf-H2C2_2 0.006| PHA03307 0.021| ZF_C2H2 0.022|</t>
  </si>
  <si>
    <t xml:space="preserve"> AgamP4_3L:32983264-32990973(+) </t>
  </si>
  <si>
    <t xml:space="preserve">1 | 482    QESRERR|QP  0.532 *ProP*  | </t>
  </si>
  <si>
    <t>AGAP008903-RA</t>
  </si>
  <si>
    <t>Leucine permease transcriptional regulator</t>
  </si>
  <si>
    <t>AGAP008903-PA</t>
  </si>
  <si>
    <t xml:space="preserve"> leucine permease transcriptional regulator</t>
  </si>
  <si>
    <t>pfam03399, SAC3_GANP, SAC3/GANP family.  This family includes diverse proteins involved in large complexes. The alignment contains one highly conserved negatively charged residue and one highly conserved positively charged residue that are probably important for the function of these proteins. The family includes the yeast nuclear export factor Sac3, and mammalian GANP/MCM3-associated proteins, which facilitate the nuclear localization of MCM3, a protein that associates with chromatin in the G1 phase of the cell-cycle.</t>
  </si>
  <si>
    <t>SAC3_GANP 6e-028| SAC3 8e-011| Med15 1e-009| SR-25 3e-007| DUF1777 6e-007| RSRP 9e-006| PHA03307 1e-005| PRK14959 2e-005| PRP38_assoc 3e-005| Med3 4e-005|</t>
  </si>
  <si>
    <t>KOG1861, KOG1861, KOG1861, Leucine permease transcriptional regulator [Transcription].</t>
  </si>
  <si>
    <t xml:space="preserve"> AgamP4_3R:20591082-20594548(-) </t>
  </si>
  <si>
    <t xml:space="preserve">5 | 507    KSSRPSR|SR  0.596 *ProP*  | 525    SGSRNRR|SR  0.732 *ProP*  | 527    SRNRRSR|SS  0.682 *ProP*  | 629    LRKRAAR|FN  0.714 *ProP*  | 728    LQNVKKR|WV  0.611 *ProP*  | </t>
  </si>
  <si>
    <t>Anopheles albimanus</t>
  </si>
  <si>
    <t>AGAP011705-RA</t>
  </si>
  <si>
    <t xml:space="preserve">UPF0518 protein AGAP011705 </t>
  </si>
  <si>
    <t>UPF0518 protein AGAP011705</t>
  </si>
  <si>
    <t>AGAP011705-PA</t>
  </si>
  <si>
    <t>ExpAA=3.46 First60=0.00 PredHel=0 Topology=o</t>
  </si>
  <si>
    <t>pfam10257, RAI16-like, Retinoic acid induced 16-like protein.  This is the conserved N-terminal 450 residues of a family of proteins described as retinoic acid-induced protein 16-like proteins. The exact function is not known. The proteins are found from worms to humans.</t>
  </si>
  <si>
    <t>RAI16-like e-114| STKc_ROCK | Gly_rich | PAT1 | DUF1635 | PRK14022 | NUC194 | PNMA | ROM1 | MMR1 |</t>
  </si>
  <si>
    <t>KOG3695, KOG3695, KOG3695, Uncharacterized conserved protein [Function unknown].</t>
  </si>
  <si>
    <t>smart00602, VPS10, VPS10 domain.</t>
  </si>
  <si>
    <t xml:space="preserve"> AgamP4_3L:31694672-31715086(+) </t>
  </si>
  <si>
    <t xml:space="preserve">1 | 1015    SSRRESR|EA  0.657 *ProP*  | </t>
  </si>
  <si>
    <t>AGAP029565-RA</t>
  </si>
  <si>
    <t>Cell-cycle nuclear protein contains WD-40 repeats</t>
  </si>
  <si>
    <t>AGAP029565-PA</t>
  </si>
  <si>
    <t xml:space="preserve"> cell-cycle nuclear protein</t>
  </si>
  <si>
    <t>WD40 3e-054| Striatin 2e-037| 7WD40 7e-033| COG2319 4e-027| Keratin_2_head 1e-006| PRK06958 2e-006| PTZ00146 3e-006| WD40 1e-005| WD40 2e-005| Loricrin 4e-005|</t>
  </si>
  <si>
    <t>KOG0642, KOG0642, KOG0642, Cell-cycle nuclear protein, contains WD-40 repeats [Cell cycle control, cell division, chromosome partitioning].</t>
  </si>
  <si>
    <t>pfam08232, Striatin, Striatin family.  Striatin is an intracellular protein which has a caveolin-binding motif, a coiled-coil structure, a calmodulin-binding site, and a WD (pfam00400) repeat domain. It acts as a scaffold protein and is involved in signalling pathways.</t>
  </si>
  <si>
    <t xml:space="preserve"> AgamP4_3R:17098746-17122501(+) </t>
  </si>
  <si>
    <t>AGAP007892-RA</t>
  </si>
  <si>
    <t xml:space="preserve">paired amphipathic helix protein Sin3a </t>
  </si>
  <si>
    <t>paired amphipathic helix protein Sin3a</t>
  </si>
  <si>
    <t>Histone deacetylase complex - probable fragment - 17 OH-glycosylation sites</t>
  </si>
  <si>
    <t>AGAP007892-PA</t>
  </si>
  <si>
    <t xml:space="preserve"> sin3 - 17 OH-glycosylation sites -  17 NetOglyc sites</t>
  </si>
  <si>
    <t>COG5602, SIN3, Histone deacetylase complex, SIN3 component [Chromatin structure and dynamics].</t>
  </si>
  <si>
    <t>SIN3 9e-072| Sin3a_C 7e-059| Sin3_corepress 2e-044| HDAC_interact 4e-044| PAH 1e-018| PRK13875 5e-010| III 3e-008| Loricrin 1e-006| Med15 2e-006| PRK08581 2e-006|</t>
  </si>
  <si>
    <t>KOG4204, KOG4204, KOG4204, Histone deacetylase complex, SIN3 component [Chromatin structure and dynamics].</t>
  </si>
  <si>
    <t>pfam16879, Sin3a_C, C-terminal domain of Sin3a protein.  Sin3a_C is a family of eukaryotic species. It is found at the C-terminus of the co-repressor Sin3a, and downstream of family Sin3_corepress, pfam08295.</t>
  </si>
  <si>
    <t>smart00761, HDAC_interact, Histone deacetylase (HDAC) interacting. This domain is found on transcriptional regulators. It forms interactions with histone deacetylases.</t>
  </si>
  <si>
    <t xml:space="preserve"> AgamP4_3R:2538876-2551401(-) </t>
  </si>
  <si>
    <t xml:space="preserve">2 | 1055    AAARQDR|DR  0.504 *ProP*  | 2151    MNQRFKK|VV  0.726 *ProP*  | </t>
  </si>
  <si>
    <t>AGAP005826-RA</t>
  </si>
  <si>
    <t>Pleckstrin homology domain</t>
  </si>
  <si>
    <t>AGAP005826-PA</t>
  </si>
  <si>
    <t>protein daughter of sevenless</t>
  </si>
  <si>
    <t>Leishmania major strain Friedlin</t>
  </si>
  <si>
    <t>cd13384, PH_Gab2_2, Grb2-associated binding protein family pleckstrin homology (PH) domain.  The Gab subfamily includes several Gab proteins, Drosophila DOS and C. elegans SOC-1. They are scaffolding adaptor proteins, which possess N-terminal PH domains and a C-terminus with proline-rich regions and multiple phosphorylation sites. Following activation of growth factor receptors, Gab proteins are tyrosine phosphorylated and activate PI3K, which generates 3-phosphoinositide lipids. By binding to these lipids via the PH domain, Gab proteins remain in proximity to the receptor, leading to further signaling. While not all Gab proteins depend on the PH domain for recruitment, it is required for Gab activity. Members here include insect, nematodes, and crustacean Gab2s.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t>
  </si>
  <si>
    <t>PH_Gab2_2 8e-062| PH_Gab-like 3e-058| PH_Gab1_Gab2 8e-032| PH_Gab3 2e-020| PH 3e-018| PH 5e-018| PH 7e-017| PH_AtPH1 1e-012| PH1_PLEKHH1_PLEKHH2 2e-012| PH_DAPP1 2e-012|</t>
  </si>
  <si>
    <t>KOG1090, KOG1090, KOG1090, Predicted dual-specificity phosphatase [General function prediction only].</t>
  </si>
  <si>
    <t>pfam00169, PH, PH domain.  PH stands for pleckstrin homology.</t>
  </si>
  <si>
    <t>smart00233, PH, Pleckstrin homology domain.  Domain commonly found in eukaryotic signalling proteins. The domain family possesses multiple functions including the abilities to bind inositol phosphates, and various proteins. PH domains have been found to possess inserted domains (such as in PLC gamma, syntrophins) and to be inserted within other domains. Mutations in Brutons tyrosine kinase (Btk) within its PH domain cause X-linked agammaglobulinaemia (XLA) in patients. Point mutations cluster into the positively charged end of the molecule around the predicted binding site for phosphatidylinositol lipids.</t>
  </si>
  <si>
    <t xml:space="preserve"> AgamP4_2L:22057496-22066474(+) </t>
  </si>
  <si>
    <t xml:space="preserve">2 | 30    WRARWRR|RW  0.569 *ProP*  | 890    TSSRHHR|DG  0.689 *ProP*  | </t>
  </si>
  <si>
    <t>AGAP003560-RA</t>
  </si>
  <si>
    <t xml:space="preserve">UDP-glucose:glycoprotein glucosyltransferase </t>
  </si>
  <si>
    <t>UDP-glucose:glycoprotein glucosyltransferase</t>
  </si>
  <si>
    <t>glycoprotein glucosyltransferase - signalP detected</t>
  </si>
  <si>
    <t>AGAP003560-PA</t>
  </si>
  <si>
    <t xml:space="preserve"> glycosyltransferase - signalP detected</t>
  </si>
  <si>
    <t>ExpAA=3.36 First60=3.36 PredHel=0 Topology=o</t>
  </si>
  <si>
    <t>pfam06427, UDP-g_GGTase, UDP-glucose:Glycoprotein Glucosyltransferase.  UDP-g_GGTase is an important, central component of the QC system in the ER for checking that glycoproteins are folded correctly. This QC prevents incorrectly folded glycoproteins from leaving the ER.</t>
  </si>
  <si>
    <t>UDP-g_GGTase | GT8_HUGT1_C_like e-156| Glyco_transf_8 1e-061| GT8_A4GalT_like 1e-010| RfaJ 0.019| GT8_like_1 0.022| ERM 0.029| PRK14886 0.034| Glyco_transf_8 | PLN02867 |</t>
  </si>
  <si>
    <t>KOG1879, KOG1879, KOG1879, UDP-glucose:glycoprotein glucosyltransferase [Carbohydrate transport and metabolism].</t>
  </si>
  <si>
    <t xml:space="preserve"> AgamP4_2R:39524979-39530060(+) </t>
  </si>
  <si>
    <t xml:space="preserve">1 | 224    VSSRKVR|LS  0.538 *ProP*  | </t>
  </si>
  <si>
    <t>AGAP001418-RA</t>
  </si>
  <si>
    <t>agap001418-pa - signalP detected - GPI anchored</t>
  </si>
  <si>
    <t>AGAP001418-PA</t>
  </si>
  <si>
    <t xml:space="preserve"> g-protein coupled receptor - signalP detected - GPI anchored</t>
  </si>
  <si>
    <t>st/gpi</t>
  </si>
  <si>
    <t>ExpAA=29.35 First60=7.22 PredHel=1 Topology=o778-800i</t>
  </si>
  <si>
    <t>pfam12013, DUF3505, Protein of unknown function (DUF3505).  This family of proteins is functionally uncharacterized. This protein is found in eukaryotes. Proteins in this family are typically between 247 to 1018 amino acids in length. This region contains two segments that are likely to be C2H2 zinc binding domains.</t>
  </si>
  <si>
    <t>DUF3505 | PLN02416 | PRK00466 | EGF_CA | Ec2MCS_like | EGF | COG4868 | EGF | RimL | EGF_CA |</t>
  </si>
  <si>
    <t>KOG1217, KOG1217, KOG1217, Fibrillins and related proteins containing Ca2+-binding EGF-like domains [Signal transduction mechanisms].</t>
  </si>
  <si>
    <t>smart00181, EGF, Epidermal growth factor-like domain.</t>
  </si>
  <si>
    <t xml:space="preserve"> AgamP4_2R:4663904-4667446(-) </t>
  </si>
  <si>
    <t>AGAP010870-RA</t>
  </si>
  <si>
    <t xml:space="preserve">solute carrier family 27 (fatty acid transporter), member 1/4 </t>
  </si>
  <si>
    <t>solute carrier family 27 (fatty acid transporter), member 1/4</t>
  </si>
  <si>
    <t>Fatty acid transport protein - signalP detected</t>
  </si>
  <si>
    <t>AGAP010870-PA</t>
  </si>
  <si>
    <t xml:space="preserve"> solute carrier family 27 - signalP detected</t>
  </si>
  <si>
    <t>ExpAA=45.30 First60=16.98 PredHel=1 Topology=i12-34o</t>
  </si>
  <si>
    <t>cd05939, hsFATP4_like, Fatty acid transport proteins (FATP), including FATP4 and FATP1, and similar proteins.  Fatty acid transport protein (FATP) transports long-chain or very-long-chain fatty acids across the plasma membrane. At least five copies of FATPs are identified in mammalian cells. This family includes FATP4, FATP1, and homologous proteins. Each FATP has unique patterns of tissue distribution. FATP4 is mainly expressed in the brain, testis, colon and kidney. FATPs also have fatty acid CoA synthetase activity, thus playing dual roles as fatty acid transporters and its activation enzymes. FATPs are the key players in the trafficking of exogenous fatty acids into the cell and in intracellular fatty acid homeostasis.</t>
  </si>
  <si>
    <t>hsFATP4_like | PRK08279 | hsFATP2a_ACSVL_like e-148| FATP_FACS e-144| FATP_chFAT1_like 2e-096| CaiC 5e-077| FACL_DitJ_like 2e-065| PRK06155 1e-061| PRK07867 3e-051| AMP-binding 2e-048|</t>
  </si>
  <si>
    <t>KOG1179, KOG1179, KOG1179, Very long-chain acyl-CoA synthetase/fatty acid transporter [Lipid transport and metabolism].</t>
  </si>
  <si>
    <t>smart00244, PHB, prohibitin homologues.  prohibitin homologues.</t>
  </si>
  <si>
    <t xml:space="preserve"> AgamP4_3L:12291549-12301942(-) </t>
  </si>
  <si>
    <t>AGAP002024-RA</t>
  </si>
  <si>
    <t>proline-serine-threonine phosphatase-interacting protein (PSTPIP) - probable fragment - 15 OH-glycosylation sites</t>
  </si>
  <si>
    <t>AGAP002024-PA</t>
  </si>
  <si>
    <t xml:space="preserve"> mu-similarity domain protein - 15 OH-glycosylation sites -  15 NetOglyc sites</t>
  </si>
  <si>
    <t>cd07648, F-BAR_FCHO, The F-BAR (FES-CIP4 Homology and Bin/Amphiphysin/Rvs) domain of FCH domain Only proteins. F-BAR domains are dimerization modules that bind and bend membranes and are found in proteins involved in membrane dynamics and actin reorganization. Proteins in this group have been named FCH domain Only (FCHO) proteins. Vertebrates have two members, FCHO1 and FCHO2. These proteins contain an F-BAR domain and a C-terminal domain of unknown function named SAFF which is also present in endophilin interacting protein 1. F-BAR domains form banana-shaped dimers with a positively-charged concave surface that binds to negatively-charged lipid membranes. They can induce membrane deformation in the form of long tubules.</t>
  </si>
  <si>
    <t>F-BAR_FCHO e-118| AP_Syp1_like_MHD e-112| FCHo2_MHD 1e-080| muHD 1e-077| SGIP1_MHD 8e-073| FCHo1_MHD 4e-065| F-BAR_FCHO2 1e-059| F-BAR_FCHO1 3e-053| AP_muniscins_like_MHD 7e-028| F-BAR_PSTPIP 3e-017|</t>
  </si>
  <si>
    <t>KOG2398, KOG2398, KOG2398, Predicted proline-serine-threonine phosphatase-interacting protein (PSTPIP) [Cell cycle control, cell division, chromosome partitioning].</t>
  </si>
  <si>
    <t>pfam10291, muHD, Muniscin C-terminal mu homology domain.  The muniscins are a family of endocytic adaptors that is conserved from yeast to humans.This C-terminal domain is structurally similar to mu homology domains, and is the region of the muniscin proteins involved in the interactions with the endocytic adaptor-scaffold proteins Ede1-eps15. This interaction influences muniscin localization. The muniscins provide a combined adaptor-membrane-tubulation activity that is important for regulating endocytosis.</t>
  </si>
  <si>
    <t>smart00055, FCH, Fes/CIP4 homology domain.  Alignment extended from original report. Highly alpha-helical. Also known as the RAEYL motif or the S. pombe Cdc15 N-terminal domain.</t>
  </si>
  <si>
    <t xml:space="preserve"> AgamP4_2R:14051508-14067777(-) </t>
  </si>
  <si>
    <t>AGAP005414-RA</t>
  </si>
  <si>
    <t xml:space="preserve">misexpression suppressor of ras 6 </t>
  </si>
  <si>
    <t>misexpression suppressor of ras 6</t>
  </si>
  <si>
    <t>agap005414-pa - 26 OH-glycosylation sites -  26 NetOglyc sites</t>
  </si>
  <si>
    <t>AGAP005414-PA</t>
  </si>
  <si>
    <t xml:space="preserve"> tra0a82xcw7a0a82xcw7 anoqn os-quadriannulatus ox-3469 pe-3 sv - 26 OH-glycosylation sites -  26 NetOglyc sites</t>
  </si>
  <si>
    <t>pfam12640, UPF0489, UPF0489 domain.  This family is probably an enzyme which is related to the Arginase family.</t>
  </si>
  <si>
    <t>UPF0489 3e-044| SR-25 1e-004| PRK13108 0.002| PRK08581 0.036| PHA03307 0.041| CobN 0.044| IMUP 0.063| PLN03014 | Peptidase_S64 | DUF3446 |</t>
  </si>
  <si>
    <t>KOG1474, KOG1474, KOG1474, Transcription initiation factor TFIID, subunit BDF1 and related bromodomain proteins [Transcription].</t>
  </si>
  <si>
    <t xml:space="preserve"> AgamP4_2L:15338749-15340149(-) </t>
  </si>
  <si>
    <t xml:space="preserve">1 | 309    KLQRVAR|DR  0.511 *ProP*  | </t>
  </si>
  <si>
    <t>AGAP003657-RA</t>
  </si>
  <si>
    <t>Tousled-like protein kinase - 14 OH-glycosylation sites</t>
  </si>
  <si>
    <t>AGAP003657-PA</t>
  </si>
  <si>
    <t xml:space="preserve"> os-arabiensis ox-773 pe-4 sv - 14 OH-glycosylation sites -  14 NetOglyc sites</t>
  </si>
  <si>
    <t>PAT1 3e-013| PRK10263 4e-009| PHA03247 8e-008| PRK03427 1e-007| DUF4175 2e-007| Androgen_recep 1e-006| FAM222A 1e-006| PRK12757 9e-006| DUF1421 4e-004| PRK10927 0.001|</t>
  </si>
  <si>
    <t>KOG3598, KOG3598, KOG3598, Thyroid hormone receptor-associated protein complex, subunit TRAP230 [Transcription].</t>
  </si>
  <si>
    <t xml:space="preserve"> AgamP4_2R:41217323-41218342(+) </t>
  </si>
  <si>
    <t xml:space="preserve">4 | 223    LQQRIKR|QN  0.714 *ProP*  | 246    ELNRKRR|QN  0.503 *ProP*  | 269    LRQRIKR|EI  0.769 *ProP*  | 281    LRTRQKR|DD  0.662 *ProP*  | </t>
  </si>
  <si>
    <t>Q(3.38)</t>
  </si>
  <si>
    <t>AGAP000558-RB</t>
  </si>
  <si>
    <t xml:space="preserve">mannosyl-oligosaccharide alpha-1,2-mannosidase </t>
  </si>
  <si>
    <t>mannosyl-oligosaccharide alpha-1,2-mannosidase</t>
  </si>
  <si>
    <t>glycoside hydrolase family 47 protein - 2 predicted membrane helices</t>
  </si>
  <si>
    <t>AGAP000558-PB</t>
  </si>
  <si>
    <t xml:space="preserve"> mannosyl-oligosaccharide 12-alpha-mannosidase - 2 predicted membrane helices</t>
  </si>
  <si>
    <t>ExpAA=21.18 First60=21.05 PredHel=1 Topology=i39-58o</t>
  </si>
  <si>
    <t>pfam01532, Glyco_hydro_47, Glycosyl hydrolase family 47.  Members of this family are alpha-mannosidases that catalyze the hydrolysis of the terminal 1,2-linked alpha-D-mannose residues in the oligo-mannose oligosaccharide Man(9)(GlcNAc)(2).</t>
  </si>
  <si>
    <t>Glyco_hydro_47 | PTZ00470 e-177| LanC_SerThrkinase 0.007| PHA03169 | COG1331 | COG1831 | LanM-like | Folate_transporter_1 | PRK07764 | MARCKS |</t>
  </si>
  <si>
    <t>KOG2204, KOG2204, KOG2204, Mannosyl-oligosaccharide alpha-1,2-mannosidase and related glycosyl hydrolases [Carbohydrate transport and metabolism].</t>
  </si>
  <si>
    <t>smart00933, NurA, NurA nuclease.  This family includes NurA a nuclease exhibiting both single-stranded endonuclease activity and 5'-3' exonuclease activity on single-stranded and double-stranded DNA from the hyperthermophilic archaeon Sulfolobus acidocaldarius.</t>
  </si>
  <si>
    <t xml:space="preserve"> AgamP4_X:9898645-9925996(+) </t>
  </si>
  <si>
    <t xml:space="preserve">2 | 33    LGRRSFR|SR  0.576 *ProP*  | 234    RAVREKR|NK  0.600 *ProP*  | </t>
  </si>
  <si>
    <t>AGAP009389-RA</t>
  </si>
  <si>
    <t>uncharacterized protein loc5569804 isoform x2 - 13 OH-glycosylation sites -  13 NetOglyc sites</t>
  </si>
  <si>
    <t>AGAP009389-PA</t>
  </si>
  <si>
    <t xml:space="preserve"> protein - 13 OH-glycosylation sites -  13 NetOglyc sites</t>
  </si>
  <si>
    <t>Streptococcus gordonii</t>
  </si>
  <si>
    <t>PRK13875, PRK13875, conjugal transfer protein TrbL; Provisional.</t>
  </si>
  <si>
    <t>PRK13875 4e-005| PTZ00146 3e-004| PRK06958 6e-004| PRK10019 8e-004| HRCT1 0.001| SelP_N 0.001| Smc 0.004| PRK10590 0.004| III 0.010| Putative_type_II_secretion_system_prot...    40   0.012 0.012|</t>
  </si>
  <si>
    <t>pfam13779, DUF4175, Domain of unknown function (DUF4175).</t>
  </si>
  <si>
    <t xml:space="preserve"> AgamP4_3R:31942393-32078060(-) </t>
  </si>
  <si>
    <t xml:space="preserve">4 | 1117    VKRRPHR|SA  0.583 *ProP*  | 1374    ARSSSKR|SQ  0.612 *ProP*  | 1526    SLNRRKR|LD  0.594 *ProP*  | 1610    VRRRSLR|SV  0.789 *ProP*  | </t>
  </si>
  <si>
    <t>AGAP004144-RA</t>
  </si>
  <si>
    <t>lysosomal trafficking regulator</t>
  </si>
  <si>
    <t>AGAP004144-PA</t>
  </si>
  <si>
    <t xml:space="preserve"> lysosomal-trafficking regulator isoform x1</t>
  </si>
  <si>
    <t>pfam02138, Beach, Beige/BEACH domain.</t>
  </si>
  <si>
    <t>Beach e-130| Beach e-126| Beach e-101| PH_BEACH 0.006| WD40 0.019| PH_BEACH 0.079| SR-25 0.084| SOG2 | PRK07003 | KAR9 |</t>
  </si>
  <si>
    <t>KOG1786, KOG1786, KOG1786, Lysosomal trafficking regulator LYST and related BEACH and WD40 repeat proteins [Signal transduction mechanisms, Intracellular trafficking, secretion, and vesicular transport].</t>
  </si>
  <si>
    <t>smart01026, Beach, Beige/BEACH domain.  The BEACH domain was described in the BEIGE protein (D1035670) and in the highly homologous CHS protein. The BEACH domain is usually followed by a series of WD repeats. The function of the BEACH domain is unknown.</t>
  </si>
  <si>
    <t xml:space="preserve"> AgamP4_2R:50718580-50730810(-) </t>
  </si>
  <si>
    <t xml:space="preserve">3 | 236    YRDNFKR|SL  0.520 *ProP*  | 3380    FGHRSGR|IV  0.535 *ProP*  | 3392    QRSRRRR|GS  0.772 *ProP*  | </t>
  </si>
  <si>
    <t>AGAP001464.R94</t>
  </si>
  <si>
    <t>cyclic AMP-responsive element-binding protein 3</t>
  </si>
  <si>
    <t>VectorBase: AGAP001464</t>
  </si>
  <si>
    <t>AGAP009664-RB</t>
  </si>
  <si>
    <t xml:space="preserve">nuclear receptor coactivator 2 </t>
  </si>
  <si>
    <t>nuclear receptor coactivator 2</t>
  </si>
  <si>
    <t>nuclear receptor coactivator 2-like isoform X2</t>
  </si>
  <si>
    <t>AGAP009664-PB</t>
  </si>
  <si>
    <t xml:space="preserve"> tra0a43yuz8a0a43yuz8 anoga nuclear receptor coactivator 2 os-ox-76 pe-4 sv</t>
  </si>
  <si>
    <t>ExpAA=0.09 First60=0.01 PredHel=0 Topology=o</t>
  </si>
  <si>
    <t>pfam14598, PAS_11, PAS domain.  This family includes the PAS-B domain of NCOA1 (Nuclear receptor coactivator 1), which binds to an LXXLL motif in the C-terminal region of STAT6 (Signal transducer and activator of transcription 6).</t>
  </si>
  <si>
    <t>PAS_11 5e-033| PAT1 4e-008| Med15 5e-008| PRK13875 2e-007| DUF4175 2e-006| COG5651 4e-006| Activator_LAG-3 6e-006| III 2e-005| GP38 8e-005| PRK06958 2e-004|</t>
  </si>
  <si>
    <t>smart00353, HLH, helix loop helix domain.</t>
  </si>
  <si>
    <t xml:space="preserve"> AgamP4_3R:37779744-37792968(-) </t>
  </si>
  <si>
    <t>AGAP006428-RA</t>
  </si>
  <si>
    <t>agap006428-pa - 12 OH-glycosylation sites -  12 NetOglyc sites</t>
  </si>
  <si>
    <t>AGAP006428-PA</t>
  </si>
  <si>
    <t xml:space="preserve"> phd finger found in phd finger protein 20 - 12 OH-glycosylation sites -  12 NetOglyc sites</t>
  </si>
  <si>
    <t>cd01396, MeCP2_MBD, MeCP2, MBD1, MBD2, MBD3, and MBD4 are members of a protein family that share the methyl-CpG-binding domain (MBD). The MBD, consists of about 70 residues and is defined as the minimal region required for binding to methylated DNA by a methyl-CpG-binding protein which binds specifically to methylated DNA. The MBD can recognize a single symmetrically methylated CpG either as naked DNA or within chromatin.  MeCP2, MBD1 and MBD2 (and likely MBD3) form complexes with histone deacetylase and are involved in histone deacetylase-dependent repression of transcription. MBD4 is an endonuclease that forms a complex with the DNA mismatch-repair protein MLH1.</t>
  </si>
  <si>
    <t>MeCP2_MBD 1e-016| PHD_PHF20_like 1e-014| THAP 6e-013| THAP 1e-012| PHD_PHF20L1 8e-012| PHD_PHF20 2e-010| PHD_MLL5 3e-009| MBD 4e-009| MBD 9e-008| PHD_MMD1_like 3e-007|</t>
  </si>
  <si>
    <t>KOG1844, KOG1844, KOG1844, PHD Zn-finger proteins [General function prediction only].</t>
  </si>
  <si>
    <t>pfam05485, THAP, THAP domain.  The THAP domain is a putative DNA-binding domain (DBD) and probably also binds a zinc ion. It features the conserved C2CH architecture (consensus sequence: Cys - 2-4 residues - Cys - 35-50 residues - Cys - 2 residues - His). Other universal features include the location of the domain at the N-termini of proteins, its size of about 90 residues, a C-terminal AVPTIF box and several other conserved residues. Orthologues of the human THAP domain have been identified in other vertebrates and probably worms and flies, but not in other eukaryotes or any prokaryotes.</t>
  </si>
  <si>
    <t>smart00980, THAP, The THAP domain is a putative DNA-binding domain (DBD) and probably also binds a zinc ion.  It features the conserved C2CH architecture (consensus sequence: Cys - 2-4 residues - Cys - 35-50 residues - Cys - 2 residues - His). Other universal features include the location of the domain at the N-termini of proteins, its size of about 90 residues, a C-terminal AVPTIF box and several other conserved residues. Orthologues of the human THAP domain have been identified in other vertebrates and probably worms and flies, but not in other eukaryotes or any prokaryotes.</t>
  </si>
  <si>
    <t xml:space="preserve"> AgamP4_2L:31758315-31761734(-) </t>
  </si>
  <si>
    <t xml:space="preserve">2 | 62    VCSRHFR|RA  0.580 *ProP*  | 361    HISRIKR|SE  0.856 *ProP*  | </t>
  </si>
  <si>
    <t>AGAP000466-RA</t>
  </si>
  <si>
    <t xml:space="preserve">acetylcholinesterase </t>
  </si>
  <si>
    <t>ACE2: acetylcholinesterase</t>
  </si>
  <si>
    <t>Acetylcholinesterase/Butyrylcholinesterase - signalP detected - GPI anchored</t>
  </si>
  <si>
    <t>st/secreted Acetylcholinesterase/Butyrylcholinesterase/gpi</t>
  </si>
  <si>
    <t>AGAP000466-PA</t>
  </si>
  <si>
    <t xml:space="preserve"> gnlcdd232318 acetylcholinesterase/butyrylcholinesterase signal transduction mechanism - signalP detected - GPI anchored</t>
  </si>
  <si>
    <t>pe/gpi</t>
  </si>
  <si>
    <t>ExpAA=40.80 First60=22.23 PredHel=1 Topology=i11-33o</t>
  </si>
  <si>
    <t>COesterase e-153| Esterase_lipase e-119| PnbA 2e-074| Aes 7e-009| Abhydrolase_3 4e-008| PBP1_SBP_like_2 0.031| SBP_bac_8 | UvrD_C | PRK10162 | DUF4932 |</t>
  </si>
  <si>
    <t>KOG4389, KOG4389, KOG4389, Acetylcholinesterase/Butyrylcholinesterase [Signal transduction mechanisms].</t>
  </si>
  <si>
    <t>smart00742, Hr1, Rho effector or protein kinase C-related kinase homology region 1 homologues.  Alpha-helical domain found in vertebrate PRK1 and yeast PKC1 protein kinases C. The HR1 in rhophilin bind RhoGTP; those in PRK1 bind RhoA and RhoB. Also called RBD - Rho-binding domain.</t>
  </si>
  <si>
    <t xml:space="preserve"> AgamP4_X:8049063-8054137(+) </t>
  </si>
  <si>
    <t>AGAP003021-RB</t>
  </si>
  <si>
    <t xml:space="preserve">Clathrin heavy chain [Source:UniProtKB/TrEMBL;Acc:Q7PQY9] </t>
  </si>
  <si>
    <t>Clathrin heavy chain</t>
  </si>
  <si>
    <t>Vesicle coat protein clathrin heavy chain</t>
  </si>
  <si>
    <t>AGAP003021-PB</t>
  </si>
  <si>
    <t xml:space="preserve"> clathrin</t>
  </si>
  <si>
    <t>ExpAA=0.25 First60=0.00 PredHel=0 Topology=o</t>
  </si>
  <si>
    <t>smart00299, CLH, Clathrin heavy chain repeat homology.</t>
  </si>
  <si>
    <t>CLH 1e-028| Clathrin_H_link 4e-028| Clathrin 2e-027| Clathrin-link 1e-005| Coatomer_WDAD 0.001| Clathrin_propel 0.002| TPR | COG4783 | mraY | PRK05650 |</t>
  </si>
  <si>
    <t>KOG0985, KOG0985, KOG0985, Vesicle coat protein clathrin, heavy chain [Intracellular trafficking, secretion, and vesicular transport].</t>
  </si>
  <si>
    <t>pfam13838, Clathrin_H_link, Clathrin-H-link.  This short domain is found on clathrins, and often appears on proteins directly downstream from the Clathrin-link domain pfam09268.</t>
  </si>
  <si>
    <t>AGAP003290-RA</t>
  </si>
  <si>
    <t>AGAP003290-PA</t>
  </si>
  <si>
    <t>ExpAA=6.30 First60=6.21 PredHel=0 Topology=o</t>
  </si>
  <si>
    <t>Rhizobium meliloti (strain 1021)</t>
  </si>
  <si>
    <t>TIGR03926, T7_EssB, type VII secretion protein EssB.  Members of this family are associated with type VII secretion of WXG100 family targets in the Firmicutes, but not in the Actinobacteria. This protein is designated YukC in Bacillus subtilis and EssB is Staphylococcus aureus. [Protein fate, Protein and peptide secretion and trafficking].</t>
  </si>
  <si>
    <t>T7_EssB | Ino80_Iec3 | STKc_DCKL3 | STKc_DCKL | PRK14368 | MDH_cytoplasmic_cytosolic | A_NRPS_Srf_like |</t>
  </si>
  <si>
    <t>KOG3728, KOG3728, KOG3728, Uridine phosphorylase [Nucleotide transport and metabolism].</t>
  </si>
  <si>
    <t>pfam14612, Ino80_Iec3, IEC3 subunit of the Ino80 complex, chromatin re-modelling.  This is a family of fungal chromatin re-modelling proteins found in one of the chromatin-central complexes, Ino80. The function was identified in Schizosaccharomyces pombe but there is no orthologue in S. cerevisiae.</t>
  </si>
  <si>
    <t xml:space="preserve"> AgamP4_2R:35094008-35100699(+) </t>
  </si>
  <si>
    <t xml:space="preserve">3 | 619    SVRRDAR|SH  0.580 *ProP*  | 664    HLVRFGR|DV  0.687 *ProP*  | 1934    KPSRSKR|SH  0.877 *ProP*  | </t>
  </si>
  <si>
    <t>AGAP001752-RB</t>
  </si>
  <si>
    <t xml:space="preserve">SNF related kinase </t>
  </si>
  <si>
    <t>SNF related kinase</t>
  </si>
  <si>
    <t>AGAP001752-PB</t>
  </si>
  <si>
    <t xml:space="preserve"> snf-related serine/threonine-protein kinase</t>
  </si>
  <si>
    <t>cd14074, STKc_SNRK, Catalytic domain of the Serine/Threonine Kinase, SNF1-related kinase.  STKs catalyze the transfer of the gamma-phosphoryl group from ATP to serine/threonine residues on protein substrates. SNRK is a kinase highly expressed in testis and brain that is found inactive in cells that lack the LKB1 tumour suppressor protein kinase. The regulatory subunits STRAD and MO25 are required for LKB1 to activate SNRK. The SNRK mRNA is increased 3-fold when granule neurons are cultured in low potassium, and may thus play a role in the survival responses in these cells. In some vertebrates, a second SNRK gene (snrkb or snrk-1) has been sequenced and/or identified. Snrk-1 is expressed specifically in embryonic zebrafish vasculature; it plays an essential role in angioblast differentiation, maintenance, and migration. The SNRK subfamily is part of a larger superfamily that includes the catalytic domains of other STKs, protein tyrosine kinases, RIO kinases, aminoglycoside phosphotransferase, choline kinase, and phosphoinositide 3-kinase.</t>
  </si>
  <si>
    <t>STKc_SNRK e-171| STKc_AMPK-like e-110| STKc_CAMK 5e-091| S_TKc 9e-089| STKc_MARK 4e-083| STKc_SIK 3e-082| Pkinase 2e-078| STKc_AMPK_alpha 6e-077| STKc_BRSK1_2 4e-075| STKc_Aurora 1e-073|</t>
  </si>
  <si>
    <t>KOG4717, KOG4717, KOG4717, Serine/threonine protein kinase [Signal transduction mechanisms].</t>
  </si>
  <si>
    <t xml:space="preserve"> AgamP4_2R:9412295-9417892(-) </t>
  </si>
  <si>
    <t xml:space="preserve">2 | 448    LNRRGSR|SE  0.500 *ProP*  | 744    SENRKKR|AH  0.732 *ProP*  | </t>
  </si>
  <si>
    <t>AGAP010969-RA</t>
  </si>
  <si>
    <t xml:space="preserve">Roundabout 1 </t>
  </si>
  <si>
    <t>Roundabout 1</t>
  </si>
  <si>
    <t>Receptor mediating netrin-dependent axon guidance - probable fragment - signalP detected - 2 predicted membrane helices</t>
  </si>
  <si>
    <t>AGAP010969-PA</t>
  </si>
  <si>
    <t xml:space="preserve"> family i43 unassigned peptidase inhibitor - signalP detected - Conserved membrane protein  - 2 predicted membrane helices</t>
  </si>
  <si>
    <t xml:space="preserve"> 33-34</t>
  </si>
  <si>
    <t>ExpAA=42.49 First60=18.96 PredHel=2 Topology=i12-31o902-924i</t>
  </si>
  <si>
    <t>cd07693, Ig1_Robo, First immunoglobulin (Ig)-like domain in Robo (roundabout) receptors and similar proteins.  Ig1_Robo: domain similar to the first immunoglobulin (Ig)-like domain in Robo (roundabout) receptors. Robo receptors play a role in the development of the central nervous system (CNS), and are receptors of Slit protein. Slit is a repellant secreted by the neural cells in the midline. Slit acts through Robo to prevent most neurons from crossing the midline from either side. Three mammalian Robo homologs (robo1, -2, and -3), and three mammalian Slit homologs (Slit-1,-2, -3), have been identified. Commissural axons, which cross the midline, express low levels of Robo; longitudinal axons, which avoid the midline, express high levels of Robo. robo1, -2, and -3 are expressed by commissural neurons in the vertebrate spinal cord and Slits 1, -2, -3 are expressed at the ventral midline. Robo-3 is a divergent member of the Robo family which instead of being a positive regulator of slit responsiveness, antagonizes slit responsiveness in precrossing axons.  The Slit-Robo interaction is mediated by the second leucine-rich repeat (LRR) domain of Slit and the two N-terminal Ig domains of Robo, Ig1 and Ig2. The primary Robo binding site for Slit2 has been shown by surface plasmon resonance experiments and mutational analysis to be is the Ig1 domain, while the Ig2 domain has been proposed to harbor a weak secondary binding site.</t>
  </si>
  <si>
    <t>Ig1_Robo 2e-032| Ig2_Robo 2e-030| Ig3_Robo 3e-022| Ig4_Robo 2e-018| I-set 9e-017| Ig1_Neogenin 6e-015| Ig_3 3e-014| IG_like 8e-014| IG 8e-014| Ig 2e-011|</t>
  </si>
  <si>
    <t>KOG4222, KOG4222, KOG4222, Axon guidance receptor Dscam [Signal transduction mechanisms].</t>
  </si>
  <si>
    <t>pfam07679, I-set, Immunoglobulin I-set domain.</t>
  </si>
  <si>
    <t xml:space="preserve"> AgamP4_3L:14048038-14078002(-) </t>
  </si>
  <si>
    <t>AGAP003537-RB</t>
  </si>
  <si>
    <t xml:space="preserve">Cys2His2 zinc finger developmental/cell cycle regulator, other </t>
  </si>
  <si>
    <t>Cys2His2 zinc finger developmental/cell cycle regulator, other</t>
  </si>
  <si>
    <t>agap003537-pb - 20 OH-glycosylation sites -  20 NetOglyc sites</t>
  </si>
  <si>
    <t>AGAP003537-PB</t>
  </si>
  <si>
    <t>protein tramtrack - 20 OH-glycosylation sites -  20 NetOglyc sites</t>
  </si>
  <si>
    <t>BTB 2e-026| BTB 1e-022| ZF_C2H2 4e-008| ZF_C2H2 5e-007| PRK13875 6e-004| MDN1 0.002| PHA02713 0.002| PHA03098 0.005| Mpp10 0.029| SDA1 0.034|</t>
  </si>
  <si>
    <t xml:space="preserve"> AgamP4_2R:39229524-39234646(-) </t>
  </si>
  <si>
    <t>AGAP004507-RA</t>
  </si>
  <si>
    <t>D</t>
  </si>
  <si>
    <t>Dedicator of cytokinesis</t>
  </si>
  <si>
    <t>Signaling protein DOCK180 - 11 OH-glycosylation sites -  11 NetOglyc sites</t>
  </si>
  <si>
    <t>AGAP004507-PA</t>
  </si>
  <si>
    <t xml:space="preserve"> dock similarity region 2 - 11 OH-glycosylation sites -  11 NetOglyc sites</t>
  </si>
  <si>
    <t>cd11696, DHR2_DOCK_B, Dock Homology Region 2, a GEF domain, of Class B Dedicator of Cytokinesis proteins.  DOCK proteins are atypical guanine nucleotide exchange factors (GEFs) that lack the conventional Dbl homology (DH) domain. As GEFs, they activate small GTPases by exchanging bound GDP for free GTP. They are divided into four classes (A-D) based on sequence similarity and domain architecture; class B includes Dock3 and 4. Dock3 is a specific GEF for Rac and it regulates N-cadherin dependent cell-cell adhesion, cell polarity, and neuronal morphology. It promotes axonal growth by stimulating actin polymerization and microtubule assembly. Dock4 activates the Ras family GTPase Rap1, probably indirectly through interaction with Rap regulatory proteins. It plays a role in regulating dendritic growth and branching in hippocampal neurons, where it is highly expressed. All DOCKs contain two homology domains: the DHR-1 (Dock homology region-1), also called CZH1 (CED-5, Dock180, and MBC-zizimin homology 1), and DHR-2 (also called CZH2 or Docker). The DHR-1 domain binds phosphatidylinositol-3,4,5-triphosphate. This alignment model represents the DHR-2 domain of class B DOCKs, which contains the catalytic GEF activity for Rac and/or Cdc42. Class B DOCKs also contain an SH3 domain at the N-terminal region and a PxxP motif at the C-terminus.</t>
  </si>
  <si>
    <t>DHR2_DOCK_B e-166| DHR2_DOCK_A e-133| DHR2_DOCK e-115| DHR2_DOCK2 e-110| DHR2_DOCK5 e-100| DHR2_DOCK4 1e-095| DHR2_DOCK1 3e-095| C2_Dock-B 2e-094| DHR2_DOCK3 1e-093| DHR-2 2e-073|</t>
  </si>
  <si>
    <t>KOG1998, KOG1998, KOG1998, Signaling protein DOCK180 [Signal transduction mechanisms].</t>
  </si>
  <si>
    <t>pfam06920, DHR-2, Dock homology region 2.  This family represents a conserved region within a number of eukaryotic dedicator of cytokinesis proteins. These are potential guanine nucleotide exchange factors, which activate some small GTPases by exchanging bound GDP for free GTP. This region interacts with RAC1 and ELMO1.</t>
  </si>
  <si>
    <t xml:space="preserve"> AgamP4_2R:57163343-57241261(-) </t>
  </si>
  <si>
    <t xml:space="preserve">2 | 1204    DENRDKR|MT  0.666 *ProP*  | 1574    HVQRLKR|LI  0.603 *ProP*  | </t>
  </si>
  <si>
    <t>AGAP011351-RA</t>
  </si>
  <si>
    <t xml:space="preserve">Rab6-interacting </t>
  </si>
  <si>
    <t>Rab6-interacting</t>
  </si>
  <si>
    <t>Uncharacterized conserved protein contains DENN and RUN - 12 OH-glycosylation sites -  12 NetOglyc sites</t>
  </si>
  <si>
    <t>AGAP011351-PA</t>
  </si>
  <si>
    <t xml:space="preserve"> lateral signaling target - 12 OH-glycosylation sites -  12 NetOglyc sites</t>
  </si>
  <si>
    <t>ExpAA=0.62 First60=0.00 PredHel=0 Topology=o</t>
  </si>
  <si>
    <t>DENN 5e-049| DENN 3e-042| PLAT_RAB6IP1 1e-041| RUN 4e-022| PLAT_repeat 6e-020| uDENN 7e-019| RUN 1e-016| dDENN 5e-016| PLAT_polycystin 6e-015| PLAT 1e-012|</t>
  </si>
  <si>
    <t>KOG2080, KOG2080, KOG2080, Uncharacterized conserved protein, contains DENN and RUN domains [Signal transduction mechanisms].</t>
  </si>
  <si>
    <t xml:space="preserve"> AgamP4_3L:21618592-21647771(+) </t>
  </si>
  <si>
    <t xml:space="preserve">1 | 954    SKSRERK|SL  0.717 *ProP*  | </t>
  </si>
  <si>
    <t>AGAP002942-RA</t>
  </si>
  <si>
    <t>Aryl-hydrocarbon receptor - probable fragment - 28 OH-glycosylation sites -  28 NetOglyc sites</t>
  </si>
  <si>
    <t>AGAP002942-PA</t>
  </si>
  <si>
    <t xml:space="preserve"> transcriptional regulator sim1 - 28 OH-glycosylation sites -  28 NetOglyc sites</t>
  </si>
  <si>
    <t>pfam08447, PAS_3, PAS fold.  The PAS fold corresponds to the structural domain that has previously been defined as PAS and PAC motifs. The PAS fold appears in archaea, eubacteria and eukarya.</t>
  </si>
  <si>
    <t>PAS_3 8e-014| PAS 5e-012| PAS_11 4e-011| PAS 7e-009| HLH 4e-006| PAS 4e-006| HLH 3e-004| SOG2 0.008| PAP1 0.021| PLN03188 0.023|</t>
  </si>
  <si>
    <t>KOG3558, KOG3558, KOG3558, Hypoxia-inducible factor 1/Neuronal PAS domain protein NPAS1 [Signal transduction mechanisms, Transcription].</t>
  </si>
  <si>
    <t xml:space="preserve">Signal transduction mechanisms, Transcription </t>
  </si>
  <si>
    <t>smart00091, PAS, PAS domain.  PAS motifs appear in archaea, eubacteria and eukarya. Probably the most surprising identification of a PAS domain was that in EAG-like K+-channels.</t>
  </si>
  <si>
    <t xml:space="preserve"> AgamP4_2R:29871635-29985540(+) </t>
  </si>
  <si>
    <t xml:space="preserve">1 | 41    DAARCRR|SR  0.667 *ProP*  | </t>
  </si>
  <si>
    <t>AGAP004052-RA</t>
  </si>
  <si>
    <t>Homeo-prospero domain - 19 OH-glycosylation sites -  19 NetOglyc sites</t>
  </si>
  <si>
    <t>AGAP004052-PA</t>
  </si>
  <si>
    <t xml:space="preserve"> homeo-prospero domain protein - 19 OH-glycosylation sites -  19 NetOglyc sites</t>
  </si>
  <si>
    <t>pfam05044, HPD, Homeo-prospero domain.  Prospero is a large drosophila transcription factor protein that is expressed in all neural lineages of drosophila embryos. It is needed for correct expression of several neural proteins and in determining the cell fates of neural stem cells. homologs of prospero are found in a wide range of animals including humans with the highest level of similarity being found in the C-terminal 160 amino acids. This region was identified as containing an atypical homeobox domain followed by a prospero domain. However, the structure shows that these two regions form a single stable structural domain as defined here. This homeo-prospero domain binds to DNA.</t>
  </si>
  <si>
    <t>HPD 6e-094| PAT1 2e-016| Activator_LAG-3 2e-010| DUF1421 3e-008| PRK10263 4e-008| DUF4175 1e-007| Med15 2e-006| PRK03427 2e-006| PRK12757 4e-006| Amelogenin 6e-006|</t>
  </si>
  <si>
    <t>KOG3779, KOG3779, KOG3779, Homeobox transcription factor prospero [Transcription].</t>
  </si>
  <si>
    <t xml:space="preserve"> AgamP4_2R:48854655-48869391(-) </t>
  </si>
  <si>
    <t>AGAP008017-RB</t>
  </si>
  <si>
    <t>Bromodomain - 10 OH-glycosylation sites</t>
  </si>
  <si>
    <t>AGAP008017-PB</t>
  </si>
  <si>
    <t xml:space="preserve"> bromodomain adjacent to zinc finger domain protein 2b-like isoform x12 - 10 OH-glycosylation sites</t>
  </si>
  <si>
    <t>ExpAA=7.82 First60=0.11 PredHel=0 Topology=o</t>
  </si>
  <si>
    <t>cd05503, Bromo_BAZ2A_B_like, Bromodomain, BAZ2A/BAZ2B_like subfamily. Bromo adjacent to zinc finger 2A (BAZ2A) and 2B (BAZ2B) were identified as a novel human bromodomain gene by cDNA library screening. BAZ2A is also known as Tip5 (Transcription termination factor I-interacting protein 5) and hWALp3. The proteins may play roles in transcriptional regulation. Human Tip5 is part of a complex termed NoRC (nucleolar remodeling complex), which induces nucleosome sliding and may play a role in the regulation of the rDNA locus. Bromodomains are 110 amino acid long domains, that are found in many chromatin associated proteins. Bromodomains can interact specifically with acetylated lysine.</t>
  </si>
  <si>
    <t>Bromo_BAZ2A_B_like 4e-049| BROMO 1e-030| Bromodomain 1e-028| Bromo_gcn5_like 2e-027| PHD_BAZ2A_like 4e-026| HAT_MBD 2e-025| Bromo_tif1_like 2e-023| Bromo_Brdt_II_like 2e-022| Bromo_TFIID 9e-022| Bromo_Acf1_like 1e-021|</t>
  </si>
  <si>
    <t>KOG1245, KOG1245, KOG1245, Chromatin remodeling complex WSTF-ISWI, large subunit (contains heterochromatin localization, PHD and BROMO domains) [Chromatin structure and dynamics].</t>
  </si>
  <si>
    <t>pfam00439, Bromodomain, Bromodomain.  Bromodomains are 110 amino acid long domains, that are found in many chromatin associated proteins. Bromodomains can interact specifically with acetylated lysine.</t>
  </si>
  <si>
    <t xml:space="preserve"> AgamP4_3R:4248607-4273785(+) </t>
  </si>
  <si>
    <t xml:space="preserve">3 | 802    DSSRSRR|KS  0.676 *ProP*  | 1330    LIQREKK|LV  0.524 *ProP*  | 3440    DHQRKER|SK  0.506 *ProP*  | </t>
  </si>
  <si>
    <t>AGAP002781-RA</t>
  </si>
  <si>
    <t>AGAP002781-PA</t>
  </si>
  <si>
    <t xml:space="preserve"> protein clec16a</t>
  </si>
  <si>
    <t>ExpAA=19.23 First60=0.00 PredHel=0 Topology=o</t>
  </si>
  <si>
    <t>pfam09758, FPL, Uncharacterized conserved protein.  This entry represents an N-terminal region of approximately 150 residues of a family of proteins of unknown function. It contains a highly conserved FPL motif.</t>
  </si>
  <si>
    <t>FPL 8e-070| PHA03307 0.016| transcription_coactivator_CAPER 0.031| RSRP 0.034| DUF3984 0.059| DUF3498 0.088| NUFIP2 | SOBP | DUF566 | MAP65_ASE1 |</t>
  </si>
  <si>
    <t>KOG2219, KOG2219, KOG2219, Uncharacterized conserved protein [Function unknown].</t>
  </si>
  <si>
    <t>smart00769, WHy, Water Stress and Hypersensitive response.</t>
  </si>
  <si>
    <t xml:space="preserve"> AgamP4_2R:27054802-27059405(+) </t>
  </si>
  <si>
    <t>AGAP000826-RA</t>
  </si>
  <si>
    <t xml:space="preserve">cap-specific mRNA (nucleoside-2'-O-)-methyltransferase 1 </t>
  </si>
  <si>
    <t>cap-specific mRNA (nucleoside-2'-O-)-methyltransferase 1</t>
  </si>
  <si>
    <t>FtsJ-like RNA methyltransferase</t>
  </si>
  <si>
    <t>AGAP000826-PA</t>
  </si>
  <si>
    <t xml:space="preserve"> methyltransferase 1</t>
  </si>
  <si>
    <t>pfam01728, FtsJ, FtsJ-like methyltransferase.  This family consists of FtsJ from various bacterial and archaeal sources FtsJ is a methyltransferase, but actually has no effect on cell division. FtsJ's substrate is the 23S rRNA. The 1.5 A crystal structure of FtsJ in complex with its cofactor S-adenosylmethionine revealed that FtsJ has a methyltransferase fold. This family also includes the N terminus of flaviviral NS5 protein. It has been hypothesized that the N-terminal domain of NS5 is a methyltransferase involved in viral RNA capping.</t>
  </si>
  <si>
    <t>FtsJ 9e-033| G-patch 3e-009| G_patch 2e-008| FtsJ 9e-006| G-patch_2 0.007| Adenylation_mRNA_capping 0.062| PRK09247 | FlhA | Adenylation_DNA_ligase_Bac1 | ligD |</t>
  </si>
  <si>
    <t>KOG3673, KOG3673, KOG3673, FtsJ-like RNA methyltransferase [RNA processing and modification].</t>
  </si>
  <si>
    <t xml:space="preserve"> AgamP4_X:15348743-15352888(+) </t>
  </si>
  <si>
    <t xml:space="preserve">2 | 210    DDMRKAR|SK  0.528 *ProP*  | 711    VQIRAKR|LY  0.506 *ProP*  | </t>
  </si>
  <si>
    <t>AGAP029510-RB</t>
  </si>
  <si>
    <t>AGAP029510-PB</t>
  </si>
  <si>
    <t xml:space="preserve"> sox-tcf hmg-box - 47 OH-glycosylation sites -  47 NetOglyc sites</t>
  </si>
  <si>
    <t xml:space="preserve"> AgamP4_2R:32854685-32871691(+) </t>
  </si>
  <si>
    <t xml:space="preserve">2 | 1073    YSGSSKR|SS  0.623 *ProP*  | 1111    TPHRFKK|GD  0.605 *ProP*  | </t>
  </si>
  <si>
    <t>AGAP006042-RB</t>
  </si>
  <si>
    <t>wd40 repeat-containing protein - 17 OH-glycosylation sites -  17 NetOglyc sites</t>
  </si>
  <si>
    <t>AGAP006042-PB</t>
  </si>
  <si>
    <t xml:space="preserve"> wd repeat-containing protein 26 - 17 OH-glycosylation sites -  17 NetOglyc sites</t>
  </si>
  <si>
    <t>7WD40 8e-032| WD40 9e-032| COG2319 1e-025| PLN00181 3e-007| PTZ00420 7e-007| WD40 6e-006| DUF1517 2e-005| WD40 3e-005| CTLH 1e-004| COG4907 7e-004|</t>
  </si>
  <si>
    <t>KOG0293, KOG0293, KOG0293, WD40 repeat-containing protein [Function unknown].</t>
  </si>
  <si>
    <t>pfam07466, DUF1517, Protein of unknown function (DUF1517).  This family consists of several hypothetical glycine rich plant and bacterial proteins of around 300 residues in length. The function of this family is unknown.</t>
  </si>
  <si>
    <t xml:space="preserve"> AgamP4_2L:25560367-25562529(-) </t>
  </si>
  <si>
    <t xml:space="preserve">1 | 374    LLLRNKR|SF  0.754 *ProP*  | </t>
  </si>
  <si>
    <t>AGAP029649-RA</t>
  </si>
  <si>
    <t>AGAP000020-PA</t>
  </si>
  <si>
    <t>AGAP029649-PA</t>
  </si>
  <si>
    <t xml:space="preserve"> ectopic p granules protein 5</t>
  </si>
  <si>
    <t>ExpAA=2.06 First60=0.00 PredHel=0 Topology=o</t>
  </si>
  <si>
    <t>PRK10811, rne, ribonuclease E; Reviewed.</t>
  </si>
  <si>
    <t>rne 0.046| BASP1 | MARCKS | 4-hydroxy-2-oxovalerate_aldolase | rplD | DUF612 | Mtc1 | thyA | Spore_coat_CotO | PRK01741 |</t>
  </si>
  <si>
    <t>KOG3622, KOG3622, KOG3622, Uncharacterized conserved protein [Function unknown].</t>
  </si>
  <si>
    <t>pfam05466, BASP1, Brain acid soluble protein 1 (BASP1 protein). This family consists of several brain acid soluble protein 1 (BASP1) or neuronal axonal membrane protein NAP-22. The BASP1 is a neuron enriched Ca(2+)-dependent calmodulin-binding protein of unknown function.</t>
  </si>
  <si>
    <t>smart00319, TarH, Homologues of the ligand binding domain of Tar. Homologues of the ligand binding domain of the wild-type bacterial aspartate receptor, Tar.</t>
  </si>
  <si>
    <t xml:space="preserve"> AgamP4_X:290602-306473(+) </t>
  </si>
  <si>
    <t>AGAP001916-RA</t>
  </si>
  <si>
    <t>Rac1 GTPase effector FRL - probable fragment</t>
  </si>
  <si>
    <t>AGAP001916-PA</t>
  </si>
  <si>
    <t xml:space="preserve"> formin similarity 2 domain protein</t>
  </si>
  <si>
    <t>ExpAA=1.60 First60=0.00 PredHel=0 Topology=o</t>
  </si>
  <si>
    <t>pfam02181, FH2, Formin Homology 2 Domain.</t>
  </si>
  <si>
    <t>FH2 4e-072| FH2 3e-048| Drf_FH3 3e-022| PHA03247 6e-014| FAP 3e-013| PRK14951 1e-011| PRK07764 2e-011| Drf_FH1 4e-011| PRK12323 1e-010| PRK07003 2e-010|</t>
  </si>
  <si>
    <t>KOG1924, KOG1924, KOG1924, RhoA GTPase effector DIA/Diaphanous [Signal transduction mechanisms, Cytoskeleton].</t>
  </si>
  <si>
    <t xml:space="preserve"> AgamP4_2R:12076166-12087440(+) </t>
  </si>
  <si>
    <t xml:space="preserve">7 | 859    GSLRRRR|SR  0.627 *ProP*  | 888    SSNRERK|SA  0.613 *ProP*  | 904    SWARRAR|SG  0.611 *ProP*  | 1120    ANQRYRR|QR  0.502 *ProP*  | 1122    QRYRRQR|SR  0.505 *ProP*  | 1236    SPARSWR|SL  0.802 *ProP*  | 1279    TRSRLIR|TT  0.598 *ProP*  | </t>
  </si>
  <si>
    <t>AGAP009261-RA</t>
  </si>
  <si>
    <t xml:space="preserve">Rap guanine nucleotide exchange factor (GEF) 2 </t>
  </si>
  <si>
    <t>Rap guanine nucleotide exchange factor (GEF) 2</t>
  </si>
  <si>
    <t>Guanine nucleotide exchange factor for Ras-like small GTPases - 19 OH-glycosylation sites -  19 NetOglyc sites</t>
  </si>
  <si>
    <t>AGAP009261-PA</t>
  </si>
  <si>
    <t xml:space="preserve"> guanine nucleotide exchange factor for ras-like small gtpase - 19 OH-glycosylation sites -  19 NetOglyc sites</t>
  </si>
  <si>
    <t>Canis lupus familiaris</t>
  </si>
  <si>
    <t>cd00155, RasGEF, Guanine nucleotide exchange factor for Ras-like small GTPases. Small GTP-binding proteins of the Ras superfamily function as molecular switches in fundamental events such as signal transduction, cytoskeleton dynamics and intracellular trafficking. Guanine-nucleotide-exchange factors (GEFs) positively regulate these GTP-binding proteins in response to a variety of signals. GEFs catalyze the dissociation of GDP from the inactive GTP-binding proteins. GTP can then bind and induce structural changes that allow interaction with effectors.</t>
  </si>
  <si>
    <t>RasGEF 6e-064| RasGEF 1e-063| RasGEF 2e-063| PDZ_GEF_RA 7e-045| RasGEFN 9e-016| RA 3e-014| PDZ_signaling 1e-013| RA 7e-013| RasGEF_N 1e-012| REM 1e-011|</t>
  </si>
  <si>
    <t>KOG3542, KOG3542, KOG3542, cAMP-regulated guanine nucleotide exchange factor [Signal transduction mechanisms].</t>
  </si>
  <si>
    <t xml:space="preserve"> AgamP4_3R:30038079-30068292(+) </t>
  </si>
  <si>
    <t>AGAP007640-RA</t>
  </si>
  <si>
    <t>Transcription factor HIVEP3 - probable fragment - 55 OH-glycosylation sites -  55 NetOglyc sites</t>
  </si>
  <si>
    <t>AGAP007640-PA</t>
  </si>
  <si>
    <t xml:space="preserve"> mucin-17-like isoform x1 - 55 OH-glycosylation sites -  55 NetOglyc sites</t>
  </si>
  <si>
    <t>ZF_C2H2 2e-012| ZF_C2H2 1e-011| PAT1 9e-007| ZF_C2H2 2e-006| PRK10246 1e-004| PHA03247 2e-004| PHA03307 7e-004| AvrE 0.001| PRK07003 0.004| Herpes_BLLF1 0.005|</t>
  </si>
  <si>
    <t xml:space="preserve"> AgamP4_2L:48549015-48589292(+) </t>
  </si>
  <si>
    <t xml:space="preserve">1 | 1834    NQHRDRR|YA  0.742 *ProP*  | </t>
  </si>
  <si>
    <t>AGAP003366-RA</t>
  </si>
  <si>
    <t xml:space="preserve">myotubularin-related protein 13 </t>
  </si>
  <si>
    <t>myotubularin-related protein 13</t>
  </si>
  <si>
    <t>dual-specificity phosphatase</t>
  </si>
  <si>
    <t>AGAP003366-PA</t>
  </si>
  <si>
    <t xml:space="preserve"> myotubularin protein</t>
  </si>
  <si>
    <t>ExpAA=10.76 First60=0.00 PredHel=0 Topology=o</t>
  </si>
  <si>
    <t>pfam12335, SBF2, Myotubularin protein.  This domain family is found in eukaryotes, and is approximately 220 amino acids in length. The family is found in association with pfam02141, pfam03456, pfam03455. This family is the middle region of SBF2, a member of the myotubularin family. Myotubularin-related proteins have been suggested to work in phosphoinositide-mediated signalling events that may also convey control of myelination. Mutations of SBF2 are implicated in Charcot-Marie-Tooth disease.</t>
  </si>
  <si>
    <t>SBF2 e-114| Myotub-related 6e-072| DENN 6e-061| DENN 5e-059| PH-GRAM_MTMR5_MTMR13 1e-050| PH_Sbf1_hMTMR5 3e-046| PH-GRAM_MTMR5 2e-037| PH-GRAM_MTMR13 7e-031| uDENN 6e-024| uDENN 2e-020|</t>
  </si>
  <si>
    <t xml:space="preserve"> AgamP4_2R:36878393-36890065(-) </t>
  </si>
  <si>
    <t>AGAP002215-RA</t>
  </si>
  <si>
    <t>AGAP002215-PA</t>
  </si>
  <si>
    <t xml:space="preserve"> sorting of apical protein</t>
  </si>
  <si>
    <t>ExpAA=18.25 First60=0.00 PredHel=0 Topology=o</t>
  </si>
  <si>
    <t>HEAT 1e-005| PRK06958 1e-005| PTZ00146 3e-005| PLN03138 4e-005| Loricrin 5e-005| PRK06341 5e-005| Keratin_2_tail 6e-005| GRP 1e-004| PRK07211 1e-004| PRK07772 2e-004|</t>
  </si>
  <si>
    <t>KOG1822, KOG1822, KOG1822, Uncharacterized conserved protein [Function unknown].</t>
  </si>
  <si>
    <t xml:space="preserve"> AgamP4_2R:17675147-17682988(-) </t>
  </si>
  <si>
    <t>AGAP011203-RA</t>
  </si>
  <si>
    <t xml:space="preserve">eukaryotic translation initiation factor </t>
  </si>
  <si>
    <t>eukaryotic translation initiation factor</t>
  </si>
  <si>
    <t>eukaryotic translation initiation factor 5</t>
  </si>
  <si>
    <t>AGAP011203-PA</t>
  </si>
  <si>
    <t xml:space="preserve"> eukaryotic translation initiation factor 5</t>
  </si>
  <si>
    <t>cd11561, W2_eIF5, C-terminal W2 domain of eukaryotic translation initiation factor 5.  eIF5 functions as a GTPase acceleration protein (GAP), as well as a GDP dissociation inhibitor (GDI) during translational initiation in eukaryotes. The structure of this C-terminal domain resembles that of a set of concatenated HEAT repeats.</t>
  </si>
  <si>
    <t>W2_eIF5 4e-047| eIF-5_eIF-2B 7e-044| eIF2B_5 3e-040| W2 2e-016| eIF5C 3e-015| PRK03988 2e-013| Translation_initiation_factor_2_subuni...    66   5e-011 5e-011| PRK12336 5e-011| W2_eIF2B_epsilon 2e-010| GCD7 2e-007|</t>
  </si>
  <si>
    <t>KOG2767, KOG2767, KOG2767, Translation initiation factor 5 (eIF-5) [Translation, ribosomal structure and biogenesis].</t>
  </si>
  <si>
    <t>pfam01873, eIF-5_eIF-2B, Domain found in IF2B/IF5.  This family includes the N terminus of eIF-5, and the C terminus of eIF-2 beta. This region corresponds to the whole of the archaebacterial eIF-2 beta homolog. The region contains a putative zinc binding C4 finger.</t>
  </si>
  <si>
    <t>smart00653, eIF2B_5, domain present in translation initiation factor eIF2B and eIF5.</t>
  </si>
  <si>
    <t xml:space="preserve"> AgamP4_3L:19302860-19304309(-) </t>
  </si>
  <si>
    <t>AGAP009276-RB</t>
  </si>
  <si>
    <t xml:space="preserve">Piezo-type mechanosensitive ion channel component [Source:UniProtKB/TrEMBL;Acc:A0A1S4H0N7] </t>
  </si>
  <si>
    <t>Piezo-type mechanosensitive ion channel component</t>
  </si>
  <si>
    <t>piezo-type mechanosensitive ion channel component isoform X13 - signalP detected - 30 predicted membrane helices</t>
  </si>
  <si>
    <t>AGAP009276-PB</t>
  </si>
  <si>
    <t xml:space="preserve"> piezo mechanosensitive ion channel component 1-like isoform x1 - signalP detected - 30 predicted membrane helices</t>
  </si>
  <si>
    <t>ExpAA=732.65 First60=32.53 PredHel=30 Topology=i13-47o62-84i97-119o123-145i193-215o219-236i243-265o315-337i499-521o531-553i662-681o686-703i715-737o925-947i968-990o1034-1053i1091-1113o1142-1164i1271-1288o1293-1315i1327-1349o1725-1747i1841-1863o1878-1895i2077-2099o2119-2141i2148-2170o2180-2202i2290-2312o2559-2581i</t>
  </si>
  <si>
    <t>Drosophila elegans</t>
  </si>
  <si>
    <t>pfam12166, Piezo_RRas_bdg, Piezo non-specific cation channel, R-Ras-binding domain.  This is an extracellular domain at the C-terminus of Piezo, or FAM38 mechanosensitive non-specific cation channel proteins. It seems likely that this region of the Piezo proteins may be responsible for R-Ras recruitment because this region is capable of relocalising R-Ras to the ER in eukaryotes.</t>
  </si>
  <si>
    <t>Piezo_RRas_bdg e-134| PIEZO 4e-059| PHA03247 8e-005| TIMELESS_C 0.001| TPH 0.002| MAGI_u5 0.003| ERM 0.005| FLO_LFY 0.021| dnaA 0.025| COG1151 0.046|</t>
  </si>
  <si>
    <t>KOG1893, KOG1893, KOG1893, Uncharacterized conserved protein [Function unknown].</t>
  </si>
  <si>
    <t xml:space="preserve">4 | 150    VPRRRRR|RR  0.568 *ProP*  | 151    PRRRRRR|RG  0.573 *ProP*  | 152    RRRRRRR|GA  0.810 *ProP*  | 1754    RASRNYR|YV  0.688 *ProP*  | </t>
  </si>
  <si>
    <t>AGAP003635-RA</t>
  </si>
  <si>
    <t>mRNA splicing factor</t>
  </si>
  <si>
    <t>AGAP003635-PA</t>
  </si>
  <si>
    <t>protein suppressor of white apricot</t>
  </si>
  <si>
    <t>pfam09750, DRY_EERY, Alternative splicing regulator.  This entry represents the conserved N-terminal region of SWAP (suppressor-of-white-apricot protein) proteins. This region contains two highly conserved motifs, viz: DRY and EERY, which appear to be the sites for alternative splicing of exons 2 and 3 of the SWAP mRNA. These proteins are thus thought to be involved in auto-regulation of pre-mRNA splicing. Most family members are associated with two Surp domains pfam01805 and an Arginine- serine-rich binding region towards the C-terminus.</t>
  </si>
  <si>
    <t>DRY_EERY 8e-034| SWAP 6e-011| Surp 3e-010| Splicing_factor_U2AF_59_kDa_subunit 8e-010| RSRP 6e-008| transcription_coactivator_CAPER 1e-007| DUF1777 2e-006| PRK12678 3e-006| SR-25 6e-006| PHA03307 8e-006|</t>
  </si>
  <si>
    <t>smart00648, SWAP, Suppressor-of-White-APricot splicing regulator. domain present in regulators which are responsible for pre-mRNA splicing processes.</t>
  </si>
  <si>
    <t xml:space="preserve"> AgamP4_2R:40796263-40800697(+) </t>
  </si>
  <si>
    <t xml:space="preserve">8 | 744    QAERKKR|AN  0.574 *ProP*  | 883    SRHRSSR|SK  0.700 *ProP*  | 886    RSSRSKK|KS  0.582 *ProP*  | 952    RAKRTKK|SK  0.546 *ProP*  | 987    SRSKSKR|SR  0.546 *ProP*  | 1004    KQQRRRR|SR  0.749 *ProP*  | 1006    QRRRRSR|SR  0.509 *ProP*  | 1011    SRSRSGR|NS  0.545 *ProP*  | </t>
  </si>
  <si>
    <t>AGAP008185-RA</t>
  </si>
  <si>
    <t xml:space="preserve">Multiple epidermal growth factor-like domains 8 </t>
  </si>
  <si>
    <t>Multiple epidermal growth factor-like domains 8</t>
  </si>
  <si>
    <t>multiple epidermal growth factor-like protein 8</t>
  </si>
  <si>
    <t>AGAP008185-PA</t>
  </si>
  <si>
    <t xml:space="preserve"> multiple epidermal growth factor-like protein 8 isoform x1</t>
  </si>
  <si>
    <t>ExpAA=39.05 First60=0.00 PredHel=1 Topology=o2840-2862i</t>
  </si>
  <si>
    <t>cd00041, CUB, CUB domain; extracellular domain; present in proteins mostly known to be involved in development; not found in prokaryotes, plants and yeast.</t>
  </si>
  <si>
    <t>CUB 3e-017| Kelch 6e-016| CUB 2e-015| CUB 2e-014| PHA03098 6e-009| EGF_Lam 4e-008| PLN02153 1e-007| PHA03420 1e-006| Laminin_EGF 2e-006| Kelch_4 4e-006|</t>
  </si>
  <si>
    <t>KOG0379, KOG0379, KOG0379, Kelch repeat-containing proteins [General function prediction only].</t>
  </si>
  <si>
    <t>pfam00431, CUB, CUB domain.</t>
  </si>
  <si>
    <t xml:space="preserve"> AgamP4_3R:6453270-6462954(+) </t>
  </si>
  <si>
    <t xml:space="preserve">4 | 40    SPPRPRR|SK  0.704 *ProP*  | 1131    TCARKGR|SE  0.577 *ProP*  | 2915    PQRRRGR|SS  0.609 *ProP*  | 3026    GRHHRRR|SS  0.586 *ProP*  | </t>
  </si>
  <si>
    <t>C(3.45)</t>
  </si>
  <si>
    <t>AGAP005244.R464</t>
  </si>
  <si>
    <t>VectorBase: AGAP005244</t>
  </si>
  <si>
    <t>AGAP001497-RC</t>
  </si>
  <si>
    <t xml:space="preserve">Alpha-actinin, sarcomeric [Source:UniProtKB/Swiss-Prot;Acc:Q7PKQ5] </t>
  </si>
  <si>
    <t>ACTN: Alpha-actinin, sarcomeric</t>
  </si>
  <si>
    <t>Ca2+-binding actin-bundling protein (actinin) alpha chain (EF-Hand protein superfamily)</t>
  </si>
  <si>
    <t>AGAP001497-PC</t>
  </si>
  <si>
    <t xml:space="preserve"> sac6</t>
  </si>
  <si>
    <t>COG5069, SAC6, Ca2+-binding actin-bundling protein fimbrin/plastin (EF-Hand superfamily) [Cytoskeleton].</t>
  </si>
  <si>
    <t>SAC6 3e-059| SPEC 3e-027| EFhand_Ca_insen 2e-026| CH 3e-024| CH 5e-021| CH 2e-019| Spectrin 2e-017| SPEC 6e-015| PTZ00184 8e-010| PTZ00183 3e-009|</t>
  </si>
  <si>
    <t>KOG0035, KOG0035, KOG0035, Ca2+-binding actin-bundling protein (actinin), alpha chain (EF-Hand protein superfamily) [Cytoskeleton].</t>
  </si>
  <si>
    <t>pfam08726, EFhand_Ca_insen, Ca2+ insensitive EF hand.  EF hands are helix-loop-helix binding motifs involved in the regulation of many cellular processes. EF hands usually bind to Ca2+ ions which causes a major conformational change that allows the protein to interact with its designated targets. This domain corresponds to an EF hand which has partially or entirely lost its calcium-binding properties. The calcium insensitive EF hand is still able to mediate protein-protein recognition.</t>
  </si>
  <si>
    <t>AGAP000932-RB</t>
  </si>
  <si>
    <t>AGAP000932-PB</t>
  </si>
  <si>
    <t xml:space="preserve"> guanine nucleotide exchange factor for ras-like small gtpase - 25 OH-glycosylation sites -  25 NetOglyc sites</t>
  </si>
  <si>
    <t xml:space="preserve"> AgamP4_X:17602020-17614552(-) </t>
  </si>
  <si>
    <t>AGAP007022-RA</t>
  </si>
  <si>
    <t>mucin-5AC isoform X1 - 13 OH-glycosylation sites -  13 NetOglyc sites</t>
  </si>
  <si>
    <t>AGAP007022-PA</t>
  </si>
  <si>
    <t xml:space="preserve"> nucleolar protein dao-5 - 13 OH-glycosylation sites -  13 NetOglyc sites</t>
  </si>
  <si>
    <t>ExpAA=0.30 First60=0.00 PredHel=0 Topology=o</t>
  </si>
  <si>
    <t>cd06558, crotonase-like, Crotonase/Enoyl-Coenzyme A (CoA) hydratase superfamily. This superfamily contains a diverse set of enzymes including enoyl-CoA hydratase, napthoate synthase, methylmalonyl-CoA decarboxylase, 3-hydoxybutyryl-CoA dehydratase, and dienoyl-CoA isomerase. Many of these play important roles in fatty acid metabolism. In addition to a conserved structural core and the formation of trimers (or dimers of trimers), a common feature in this superfamily is the stabilization of an enolate anion intermediate derived from an acyl-CoA substrate. This is accomplished by two conserved backbone NH groups in active sites that form an oxyanion hole.</t>
  </si>
  <si>
    <t>crotonase-like 5e-032| CaiD 5e-031| PRK06688 4e-025| ECH_1 2e-016| PRK05995 4e-016| 12-epoxyphenylacetyl-CoA_isomerase 2e-015| PRK09674 2e-014| PRK08138 4e-014| PRK05980 6e-014| PRK03580 7e-014|</t>
  </si>
  <si>
    <t>KOG0016, KOG0016, KOG0016, Enoyl-CoA hydratase/isomerase [Lipid transport and metabolism].</t>
  </si>
  <si>
    <t>pfam00378, ECH_1, Enoyl-CoA hydratase/isomerase.  This family contains a diverse set of enzymes including: enoyl-CoA hydratase, napthoate synthase, carnitate racemase, 3-hydroxybutyryl-CoA dehydratase and dodecanoyl-CoA delta-isomerase.</t>
  </si>
  <si>
    <t>smart00936, PBP5_C, Penicillin-binding protein 5, C-terminal domain.  Penicillin-binding protein 5 expressed by E. coli functions as a D-alanyl-D-alanine carboxypeptidase. It is composed of two domains that are oriented at approximately right angles to each other. The N-terminal domain (pfam00768) is the catalytic domain. The C-terminal domain featured in this family is organized into a sandwich of two anti-parallel beta-sheets, and has a relatively hydrophobic surface as compared to the N-terminal domain. Its precise function is unknown; it may mediate interactions with other cell wall-synthesising enzymes, thus allowing the protein to be recruited to areas of active cell wall synthesis. It may also function as a linker domain that positions the active site in the catalytic domain closer to the peptidoglycan layer, to allow it to interact with cell wall peptides.</t>
  </si>
  <si>
    <t xml:space="preserve"> AgamP4_2L:41002250-41009476(-) </t>
  </si>
  <si>
    <t xml:space="preserve">2 | 483    SPLRRKR|AD  0.688 *ProP*  | 616    LRVRAKR|GT  0.754 *ProP*  | </t>
  </si>
  <si>
    <t>AGAP000064-RA</t>
  </si>
  <si>
    <t xml:space="preserve">plexin A </t>
  </si>
  <si>
    <t>plexA: plexin A</t>
  </si>
  <si>
    <t>Plexins (functional semaphorin receptors) - signalP detected - 3 predicted membrane helices</t>
  </si>
  <si>
    <t>AGAP000064-PA</t>
  </si>
  <si>
    <t xml:space="preserve"> the sema domain protein - signalP detected - 3 predicted membrane helices</t>
  </si>
  <si>
    <t>ExpAA=42.76 First60=0.35 PredHel=2 Topology=o1253-1275i1366-1383o</t>
  </si>
  <si>
    <t>pfam08337, Plexin_cytopl, Plexin cytoplasmic RasGAP domain.  This family features the C-terminal regions of various plexins. Plexins are receptors for semaphorins, and plexin signalling is important in path finding and patterning of both neurons and developing blood vessels. The cytoplasmic region, which has been called a SEX domain in some members of this family, is involved in downstream signalling pathways, by interaction with proteins such as Rac1, RhoD, Rnd1 and other plexins. This domain acts as a RasGAP domain.</t>
  </si>
  <si>
    <t>Plexin_cytopl | Sema_plexin_like e-142| RasGAP_plexin_A e-138| RasGAP_plexin e-106| Sema_plexin_A2 6e-089| RasGAP_plexin_B 2e-084| Sema_plexin_A 7e-082| RasGAP_plexin_B1 9e-080| RasGAP_plexin_D1 1e-079| RasGAP_plexin_B2 4e-079|</t>
  </si>
  <si>
    <t>KOG3610, KOG3610, KOG3610, Plexins (functional semaphorin receptors) [Signal transduction mechanisms].</t>
  </si>
  <si>
    <t xml:space="preserve"> AgamP4_X:993391-1000544(+) </t>
  </si>
  <si>
    <t>AGAP009237-RA</t>
  </si>
  <si>
    <t xml:space="preserve">Apoptotic chromatin condensation inducer in the nucleus [Source:UniProtKB/TrEMBL;Acc:A0A1S4H0J7] </t>
  </si>
  <si>
    <t>Apoptotic chromatin condensation inducer in the nucleus</t>
  </si>
  <si>
    <t>Acinus (induces apoptotic chromatin condensation)</t>
  </si>
  <si>
    <t>AGAP009237-PA</t>
  </si>
  <si>
    <t>cd12432, RRM_ACINU, RNA recognition motif in apoptotic chromatin condensation inducer in the nucleus (acinus) and similar proteins.  This subfamily corresponds to the RRM of Acinus, a caspase-3-activated nuclear factor that induces apoptotic chromatin condensation after cleavage by caspase-3 without inducing DNA fragmentation. It is essential for apoptotic chromatin condensation and may also participate in nuclear structural changes occurring in normal cells. Acinus contains a P-loop motif and an RNA recognition motif (RRM), also termed RBD (RNA binding domain) or RNP (ribonucleoprotein domain), which indicates Acinus might have ATPase and DNA/RNA-binding activity. .</t>
  </si>
  <si>
    <t>RRM_ACINU 2e-034| RSB_motif 4e-014| PRK12678 3e-010| transcription_coactivator_CAPER 4e-009| Splicing_factor_U2AF_59_kDa_subunit 9e-009| MDN1 6e-007| retinal_rod 2e-006| Atrophin-1 9e-006| PTZ00121 7e-005| DUF1777 3e-004|</t>
  </si>
  <si>
    <t>KOG2416, KOG2416, KOG2416, Acinus (induces apoptotic chromatin condensation) [Chromatin structure and dynamics].</t>
  </si>
  <si>
    <t>pfam16294, RSB_motif, RNSP1-SAP18 binding (RSB) motif.  The RSB motif on the Acinus protein is the core around which the ASAP complex is built. The apoptosis and splicing-associated protein complex, ASAP, is made up of three proteins, SAP18 (Sin3-associated protein of 18 kDa), RNA-binding protein S1 (RNPS1) and apoptotic chromatin inducer in the nucleus (Acinus). The ASAP complex appears to be an assembly of proteins at the interface between transcription, splicing and NMD, acting as a hub in the network of protein-interactions that regulate gene-expression.</t>
  </si>
  <si>
    <t xml:space="preserve">8 | 27    TRGRVRR|SP  0.810 *ProP*  | 94    PPARTRR|NS  0.567 *ProP*  | 375    ETARDRR|SP  0.608 *ProP*  | 440    PLQRKRR|WL  0.574 *ProP*  | 503    EKDRVKR|KV  0.689 *ProP*  | 795    SLDRGKR|SA  0.799 *ProP*  | 891    KRERERR|DR  0.694 *ProP*  | 921    RDRRRSR|SR  0.576 *ProP*  | </t>
  </si>
  <si>
    <t>AGAP002597-RA</t>
  </si>
  <si>
    <t xml:space="preserve">proteasome activator subunit 4 </t>
  </si>
  <si>
    <t>proteasome activator subunit 4</t>
  </si>
  <si>
    <t>proteasome activator complex subunit 4B isoform X1</t>
  </si>
  <si>
    <t>AGAP002597-PA</t>
  </si>
  <si>
    <t xml:space="preserve"> proteasome activator complex subunit 4-like isoform x6</t>
  </si>
  <si>
    <t>pfam16507, BLM10_mid, Proteasome-substrate-size regulator, mid region.  The ordered regions of the yeast BLM10 or PA200 (human homolog), full-length protein encode 32 HEAT repeat (HR)-like modules, each comprising two helices joined by a turn, with adjacent repeats connected by a linker. Whereas a standard HEAT repeat is composed of ~50 residues, the BLM10 HEAT repeats are highly variable. The length of helices ranges from 8 to 35 residues, turns range from 2 to 87 residues, and linkers range from 1 to 88 residues, with the longest linker, between HR21 and HR22, containing additional secondary structures (two strands and three helices). BLM10_mid is the middle ordered region of the three in BLM10. BLM10 is found to surround the proteasome entry pore in the 1.2 MDa complex of proteasome and BLM10 to form a largely closed dome that is expected to restrict access of potential substrates. Thus Blm10 and PA200 are predominantly nuclear and stimulate the degradation of model peptides, although they do not appear to stimulate the degradation of proteins, recognize ubiquitin, or utilize ATP.</t>
  </si>
  <si>
    <t>BLM10_mid 1e-058| DUF3437 4e-037| HEAT | PKc_TNNI3K | A2M_like | UvrABC_system_protein_A | HEAT_EZ | PRK12406 | COG1107 | StbA |</t>
  </si>
  <si>
    <t>KOG1851, KOG1851, KOG1851, Uncharacterized conserved protein [Function unknown].</t>
  </si>
  <si>
    <t xml:space="preserve"> AgamP4_2R:23769193-23776505(-) </t>
  </si>
  <si>
    <t xml:space="preserve">1 | 1000    QLTRCKR|DV  0.802 *ProP*  | </t>
  </si>
  <si>
    <t>AGAP001710-RA</t>
  </si>
  <si>
    <t xml:space="preserve">PAX-interacting protein 1 </t>
  </si>
  <si>
    <t>PAX-interacting protein 1</t>
  </si>
  <si>
    <t>DNA polymerase - probable fragment</t>
  </si>
  <si>
    <t>AGAP001710-PA</t>
  </si>
  <si>
    <t xml:space="preserve"> pax-interacting protein 1</t>
  </si>
  <si>
    <t>DUF4175 4e-018| PAT1 1e-015| PRK10263 5e-013| tolA 8e-013| PRK11281 1e-012| Med15 9e-011| TolA 5e-010| Nuclease_SbcCD_subunit_C 7e-008| Activator_LAG-3 7e-008| TPH 1e-007|</t>
  </si>
  <si>
    <t>smart00292, BRCT, breast cancer carboxy-terminal domain.</t>
  </si>
  <si>
    <t xml:space="preserve"> AgamP4_2R:8851105-8857482(-) </t>
  </si>
  <si>
    <t xml:space="preserve">1 | 1796    SHERVKR|TL  0.602 *ProP*  | </t>
  </si>
  <si>
    <t>Q(5.26)</t>
  </si>
  <si>
    <t>AGAP009566-RA</t>
  </si>
  <si>
    <t xml:space="preserve">zinc finger protein 271 </t>
  </si>
  <si>
    <t>zinc finger protein 271</t>
  </si>
  <si>
    <t>C2H2-type Zn-finger protein - 14 OH-glycosylation sites -  14 NetOglyc sites</t>
  </si>
  <si>
    <t>AGAP009566-PA</t>
  </si>
  <si>
    <t xml:space="preserve"> zinc finger protein xfin - 14 OH-glycosylation sites -  14 NetOglyc sites</t>
  </si>
  <si>
    <t>ZF_C2H2 2e-024| PAT1 4e-014| ZF_C2H2 2e-012| PRK03427 2e-010| COG5048 1e-009| PHA03247 2e-009| PRK10263 4e-008| DUF1421 9e-008| Amelogenin 2e-007| PRK07764 2e-007|</t>
  </si>
  <si>
    <t xml:space="preserve"> AgamP4_3R:36295851-36333574(+) </t>
  </si>
  <si>
    <t>H(3.98)</t>
  </si>
  <si>
    <t>AGAP009566-RB</t>
  </si>
  <si>
    <t>AGAP009566-PB</t>
  </si>
  <si>
    <t xml:space="preserve"> AgamP4_3R:36293262-36333574(+) </t>
  </si>
  <si>
    <t>AGAP011932-RA</t>
  </si>
  <si>
    <t xml:space="preserve">E3 ubiquitin-protein ligase mind-bomb </t>
  </si>
  <si>
    <t>E3 ubiquitin-protein ligase mind-bomb</t>
  </si>
  <si>
    <t>E3 ubiquitin-protein ligase mind-bomb-like</t>
  </si>
  <si>
    <t>AGAP011932-PA</t>
  </si>
  <si>
    <t xml:space="preserve"> e3 ubiquitin-protein ligase mib1-like isoform x1</t>
  </si>
  <si>
    <t>ANK 5e-030| MIB_HERC2 4e-027| PHA03095 3e-023| PHA02874 2e-021| Arp 2e-021| RING3-HC_MIB1 6e-021| ANK 1e-020| PHA03100 1e-020| ZZ_Mind_bomb 8e-019| Ank_2 2e-016|</t>
  </si>
  <si>
    <t>KOG4582, KOG4582, KOG4582, Uncharacterized conserved protein, contains ZZ-type Zn-finger [General function prediction only].</t>
  </si>
  <si>
    <t>pfam06701, MIB_HERC2, Mib_herc2.  Named "mib/herc2 domain" in. Usually the protein also contains an E3 ligase domain (either Ring or Hect).</t>
  </si>
  <si>
    <t xml:space="preserve"> AgamP4_3L:35237843-35245670(-) </t>
  </si>
  <si>
    <t xml:space="preserve">3 | 149    LRHRFHR|IT  0.626 *ProP*  | 182    PGARVVR|GV  0.619 *ProP*  | 577    LNARNKR|RQ  0.505 *ProP*  | </t>
  </si>
  <si>
    <t>AGAP010623-RA</t>
  </si>
  <si>
    <t xml:space="preserve">X box-binding protein 1 </t>
  </si>
  <si>
    <t>X box-binding protein 1</t>
  </si>
  <si>
    <t>Transcription factor XBP-1 - probable fragment</t>
  </si>
  <si>
    <t>AGAP010623-PA</t>
  </si>
  <si>
    <t xml:space="preserve"> transcription factor xbp-1</t>
  </si>
  <si>
    <t>ExpAA=0.07 First60=0.06 PredHel=0 Topology=o</t>
  </si>
  <si>
    <t>cd14691, bZIP_XBP1, Basic leucine zipper (bZIP) domain of X-box binding protein 1 (XBP1) and similar proteins: a DNA-binding and dimerization domain.  XBP1, a member of the Basic leucine zipper (bZIP) family, is the key transcription factor that orchestrates the unfolded protein response (UPR). It is the most conserved component of the UPR and is critical for cell fate determination in response to ER stress. The inositol-requiring enzyme 1 (IRE1)-XBP1 pathway is one of the three major sensors at the ER membrane that initiates the UPR upon activation. IRE1, a type I transmembrane protein kinase and endoribonuclease, oligomerizes upon ER stress leading to its increased activity. It splices the XBP1 mRNA, producing a variant that translocates to the nucleus and activates its target genes, which are involved in protein folding, degradation, and trafficking. bZIP factors act in networks of homo and heterodimers in the regulation of a diverse set of cellular processes. The bZIP structural motif contains a basic region and a leucine zipper, composed of alpha helices with leucine residues 7 amino acids apart, which stabilize dimerization with a parallel leucine zipper domain. Dimerization of leucine zippers creates a pair of the adjacent basic regions that bind DNA and undergo conformational change. Dimerization occurs in a specific and predictable manner resulting in hundreds of dimers having unique effects on transcription.</t>
  </si>
  <si>
    <t>bZIP_XBP1 1e-014| BRLZ 3e-008| bZIP_2 6e-008| bZIP 8e-008| bZIP_Maf 6e-007| bZIP_HY5-like 4e-006| bZIP_GCN4 3e-005| Chromosome_partition_protein_Smc 4e-005| bZIP_Zip1 7e-005| bZIP_HAC1-like 8e-005|</t>
  </si>
  <si>
    <t>KOG4005, KOG4005, KOG4005, Transcription factor XBP-1 [Transcription].</t>
  </si>
  <si>
    <t>pfam07716, bZIP_2, Basic region leucine zipper.</t>
  </si>
  <si>
    <t>smart00338, BRLZ, basic region leucin zipper.</t>
  </si>
  <si>
    <t xml:space="preserve"> AgamP4_3L:7358827-7359861(+) </t>
  </si>
  <si>
    <t>AGAP007478-RA</t>
  </si>
  <si>
    <t>Staufen - 10 OH-glycosylation sites</t>
  </si>
  <si>
    <t>AGAP007478-PA</t>
  </si>
  <si>
    <t xml:space="preserve"> double-stranded rna-binding protein staufen log 2 isoform x1 - 10 OH-glycosylation sites</t>
  </si>
  <si>
    <t>pfam16482, Staufen_C, Staufen C-terminal domain.  This is the C-terminal domain of Staufen proteins. It consists of an N-terminal Staufen-swapping motif (SSM) comprising two alpha helices, connected by a linker region to a dsRNA-binding-like domain ('RBD'). The 'RBD' has the fold of a functional dsRNA-binding domain, but lacks the residues required to bind RNA. This domain is responsible for dimerisation, the SSM from one molecule interacts with the 'RBD' of another.</t>
  </si>
  <si>
    <t>Staufen_C 6e-032| DSRM 8e-014| DSRM 1e-011| dsrm 3e-011| rnc 2e-010| Rnc 2e-008| PAT1 3e-007| Ribonuclease_3 5e-007| seadorna_dsRNA 9e-007| SelP_N 5e-006|</t>
  </si>
  <si>
    <t>KOG3732, KOG3732, KOG3732, Staufen and related double-stranded-RNA-binding proteins [Intracellular trafficking, secretion, and vesicular transport, Transcription].</t>
  </si>
  <si>
    <t xml:space="preserve">Intracellular trafficking, secretion, and vesicular transport, Transcription </t>
  </si>
  <si>
    <t>smart00358, DSRM, Double-stranded RNA binding motif.</t>
  </si>
  <si>
    <t xml:space="preserve"> AgamP4_2L:46831087-46839909(+) </t>
  </si>
  <si>
    <t xml:space="preserve">2 | 52    ARHHHPR|GV  0.501 *ProP*  | 958    KRSRKVR|FQ  0.657 *ProP*  | </t>
  </si>
  <si>
    <t>AGAP007592-RA</t>
  </si>
  <si>
    <t xml:space="preserve">kinesin family member </t>
  </si>
  <si>
    <t>kinesin family member</t>
  </si>
  <si>
    <t>Kinesin-like protein</t>
  </si>
  <si>
    <t>AGAP007592-PA</t>
  </si>
  <si>
    <t xml:space="preserve"> kip1</t>
  </si>
  <si>
    <t>cd01365, KISc_KIF1A_KIF1B, Kinesin motor domain, KIF1_like proteins.  Kinesin motor domain, KIF1_like proteins. KIF1A (Unc104) transports synaptic vesicles to the nerve terminal, KIF1B has been implicated in transport of mitochondria. Both proteins are expressed in neurons. This catalytic (head) domain has ATPase activity and belongs to the larger group of P-loop NTPases. Kinesins are microtubule-dependent molecular motors that play important roles in intracellular transport and in cell division. In most kinesins, the motor domain is found at the N-terminus (N-type). N-type kinesins are (+) end-directed motors, i.e. they transport cargo towards the (+) end of the microtubule. In contrast to the majority of dimeric kinesins, most KIF1A/Unc104 kinesins are monomeric motors. A lysine-rich loop in KIF1A binds to the negatively charged C-terminus of tubulin and compensates for the lack of a second motor domain, allowing KIF1A to move processively.</t>
  </si>
  <si>
    <t>KISc_KIF1A_KIF1B e-171| KISc e-127| Kinesin e-126| KISc e-119| KISc_KIF3 2e-094| KISc_CENP_E 3e-093| KISc_KIF4 9e-091| KISc_C_terminal 3e-090| KISc_KHC_KIF5 3e-088| KISc_KLP2_like 1e-086|</t>
  </si>
  <si>
    <t>KOG0241, KOG0241, KOG0241, Kinesin-like protein [Cytoskeleton].</t>
  </si>
  <si>
    <t>pfam00225, Kinesin, Kinesin motor domain.</t>
  </si>
  <si>
    <t xml:space="preserve"> AgamP4_2L:48060745-48082917(-) </t>
  </si>
  <si>
    <t xml:space="preserve">2 | 348    YADRAKR|IV  0.630 *ProP*  | 1840    KRGRAMR|EL  0.545 *ProP*  | </t>
  </si>
  <si>
    <t>AGAP006038-RA</t>
  </si>
  <si>
    <t xml:space="preserve">serine/arginine repetitive matrix protein 2 </t>
  </si>
  <si>
    <t>serine/arginine repetitive matrix protein 2</t>
  </si>
  <si>
    <t>U4/U6-associated splicing factor PRP4 - probable fragment - 12 OH-glycosylation sites</t>
  </si>
  <si>
    <t>AGAP006038-PA</t>
  </si>
  <si>
    <t xml:space="preserve"> pre-mrna-splicing factor cwc-21 - 12 OH-glycosylation sites -  12 NetOglyc sites</t>
  </si>
  <si>
    <t>Eimeria tenella</t>
  </si>
  <si>
    <t>PRK12678, PRK12678, transcription termination factor Rho; Provisional.</t>
  </si>
  <si>
    <t>PRK12678 2e-016| PHA03307 3e-010| PTZ00121 2e-009| cwf21 6e-009| Splicing_factor_U2AF_59_kDa_subunit 1e-007| rne 6e-006| transcription_coactivator_CAPER 1e-005| MIP-T3 2e-004| BUD22 3e-004| AF-4 3e-004|</t>
  </si>
  <si>
    <t>pfam08312, cwf21, cwf21 domain.  The cwf21 family is involved in mRNA splicing. It has been isolated as a subcomplex of the splicosome in Schizosaccharomyces pombe. The function of the cwf21 domain is to bind directly to the spliceosomal protein Prp8. Mutations in the cwf21 domain prevent Prp8 from binding. The structure of this domain has recently been solved which shows this domain to be composed of two alpha helices.</t>
  </si>
  <si>
    <t>smart01042, Brr6_like_C_C, Di-sulfide bridge nucleocytoplasmic transport domain.  Brr6_like_C_C is the highly conserved C-terminal region of a group of proteins found in fungi. It carries four highly conserved cysteine residues. It is suggested that members of the family interact with each other via di-sulfide bridges to form a complex which is involved in nucleocytoplasmic transport.</t>
  </si>
  <si>
    <t xml:space="preserve"> AgamP4_2L:25524992-25544252(+) </t>
  </si>
  <si>
    <t xml:space="preserve">11 | 342    SSKRKKK|SS  0.704 *ProP*  | 402    DTDRNRR|SH  0.567 *ProP*  | 414    AGGRRDR|SS  0.522 *ProP*  | 496    RNRRRER|SP  0.592 *ProP*  | 821    PPARRDR|SA  0.617 *ProP*  | 837    SPSPKKR|DT  0.680 *ProP*  | 931    SESRKSR|SK  0.719 *ProP*  | 934    RKSRSKK|AS  0.712 *ProP*  | 1301    SPPRSFR|SR  0.522 *ProP*  | 1348    AKRRQRR|GS  0.717 *ProP*  | 1375    APARRDR|SS  0.668 *ProP*  | </t>
  </si>
  <si>
    <t>AGAP001979-RA</t>
  </si>
  <si>
    <t xml:space="preserve">Class A Scavenger Receptor (SRCR domain) with Serine Protease domain. </t>
  </si>
  <si>
    <t>SCRASP3: Class A Scavenger Receptor (SRCR domain) with Serine Protease domain.</t>
  </si>
  <si>
    <t>Trypsin - 145 OH-glycosylation sites -  145 NetOglyc sites - 2 predicted membrane helices</t>
  </si>
  <si>
    <t>AGAP001979-PA</t>
  </si>
  <si>
    <t xml:space="preserve"> tra0a82xbea0a82xbe anoqn scavenger receptor class a os-quadriannulatus ox-3469 pe-4 sv - 145 OH-glycosylation sites -  145 NetOglyc sites - 2 predicted membrane helices</t>
  </si>
  <si>
    <t>ExpAA=22.55 First60=0.00 PredHel=1 Topology=i218-240o</t>
  </si>
  <si>
    <t>Clostridium thermocellum (strain ATCC 27405 / DSM 1237 / NBRC 103400 / NCIMB 10682 / NRRL B-4536 / VPI 7372)</t>
  </si>
  <si>
    <t>Tryp_SPc 4e-036| Tryp_SPc 2e-034| PHA03247 6e-027| Trypsin 4e-024| PHA03307 4e-022| PRK07764 4e-022| PTZ00449 5e-019| PRK07003 9e-019| rne 2e-017| PRK12323 9e-017|</t>
  </si>
  <si>
    <t xml:space="preserve"> AgamP4_2R:13048002-13056621(-) </t>
  </si>
  <si>
    <t xml:space="preserve">2 | 1365    HLIRSER|SN  0.634 *ProP*  | 1634    GVLRVKR|NS  0.575 *ProP*  | </t>
  </si>
  <si>
    <t>AGAP007342-RA</t>
  </si>
  <si>
    <t xml:space="preserve">homeodomain interacting protein kinase </t>
  </si>
  <si>
    <t>homeodomain interacting protein kinase</t>
  </si>
  <si>
    <t>AGAP007342-PA</t>
  </si>
  <si>
    <t xml:space="preserve"> homeodomain-interacting protein kinase 2 isoform x2</t>
  </si>
  <si>
    <t>Mesocricetus auratus</t>
  </si>
  <si>
    <t>cd14211, STKc_HIPK, Catalytic domain of the Serine/Threonine Kinase, Homeodomain-Interacting Protein Kinase.  STKs catalyze the transfer of the gamma-phosphoryl group from ATP to serine/threonine residues on protein substrates. HIPKs, originally identified by their ability to bind homeobox factors, are nuclear proteins containing catalytic kinase and homeobox-interacting domains as well as a PEST region overlapping with the speckle-retention signal (SRS). They show speckled localization in the nucleus, apart from the nucleoles. They play roles in the regulation of many nuclear pathways including gene transcription, cell survival, proliferation, differentiation, development, and DNA damage response. Vertebrates contain three HIPKs (HIPK1-3) and mammals harbor an additional family member HIPK4, which does not contain a homeobox-interacting domain and is localized in the cytoplasm. HIPK2, the most studied HIPK, is a coregulator of many transcription factors and cofactors and it regulates gene transcription during development and in DNA damage response. The HIPK subfamily is part of a larger superfamily that includes the catalytic domains of other STKs, protein tyrosine kinases, RIO kinases, aminoglycoside phosphotransferase, choline kinase, and phosphoinositide 3-kinase.</t>
  </si>
  <si>
    <t>STKc_HIPK | STKc_HIPK2 | STKc_HIPK1 | STKc_HIPK3 e-180| PKc_YAK1 e-111| PKc_DYRK_like e-106| PKc_DYRK 4e-093| PKc_DYRK1 7e-088| PKc_CLK 6e-075| STKc_PRP4 5e-071|</t>
  </si>
  <si>
    <t>KOG0667, KOG0667, KOG0667, Dual-specificity tyrosine-phosphorylation regulated kinase [General function prediction only].</t>
  </si>
  <si>
    <t xml:space="preserve"> AgamP4_2L:45911420-45932891(-) </t>
  </si>
  <si>
    <t xml:space="preserve">1 | 1016    SSGRQRK|ST  0.506 *ProP*  | </t>
  </si>
  <si>
    <t>AGAP006454-RA</t>
  </si>
  <si>
    <t>agap006454-pa - 10 OH-glycosylation sites</t>
  </si>
  <si>
    <t>AGAP006454-PA</t>
  </si>
  <si>
    <t xml:space="preserve"> mediator of rna polymerase ii transcription subunit 26 isoform x1 - 10 OH-glycosylation sites</t>
  </si>
  <si>
    <t>ExpAA=1.01 First60=0.01 PredHel=0 Topology=o</t>
  </si>
  <si>
    <t>BTB 5e-026| BTB 1e-025| DUF4175 8e-014| PAT1 3e-011| tolA 8e-011| TolA 1e-009| rne 2e-008| DUF4670 2e-008| Protein_TolA 1e-007| DUF4207 2e-007|</t>
  </si>
  <si>
    <t xml:space="preserve"> AgamP4_2L:32305863-32335018(-) </t>
  </si>
  <si>
    <t xml:space="preserve">2 | 233    PAARRKR|LR  0.560 *ProP*  | 662    QPVKRKR|SV  0.680 *ProP*  | </t>
  </si>
  <si>
    <t>Q(3.99)</t>
  </si>
  <si>
    <t>AGAP000961-RA</t>
  </si>
  <si>
    <t>agap000961-pa - 15 OH-glycosylation sites -  15 NetOglyc sites</t>
  </si>
  <si>
    <t>AGAP000961-PA</t>
  </si>
  <si>
    <t xml:space="preserve"> 2 repeat1 - 15 OH-glycosylation sites -  15 NetOglyc sites</t>
  </si>
  <si>
    <t>ExpAA=1.74 First60=0.00 PredHel=0 Topology=o</t>
  </si>
  <si>
    <t>cd09498, SAM_caskin1,2_repeat2, SAM domain of caskin protein repeat 2.  SAM (sterile alpha motif) domain repeat 2 of caskin1,2 proteins is a protein-protein interaction domain. Caskin has two tandem SAM domains. Caskin protein is known to interact with membrane-associated guanylate kinase CASK, and may play a role in neural development, synaptic protein targeting, and regulation of gene expression.</t>
  </si>
  <si>
    <t>SAM_caskin1 3e-029| SAM_caskin1 7e-029| SAM_1 2e-014| SAM 2e-013| SAM_2 6e-011| SAM_superfamily 3e-009| SAM_EPH-R 7e-009| SAM_EPH-B4 3e-008| SAM_EPH-A2 1e-007| SAM_EPH-A5 2e-007|</t>
  </si>
  <si>
    <t>KOG4384, KOG4384, KOG4384, Uncharacterized SAM domain protein [General function prediction only].</t>
  </si>
  <si>
    <t>pfam00536, SAM_1, SAM domain (Sterile alpha motif).  It has been suggested that SAM is an evolutionarily conserved protein binding domain that is involved in the regulation of numerous developmental processes in diverse eukaryotes. The SAM domain can potentially function as a protein interaction module through its ability to homo- and heterooligomerise with other SAM domains.</t>
  </si>
  <si>
    <t>smart00454, SAM, Sterile alpha motif.  Widespread domain in signalling and nuclear proteins. In EPH-related tyrosine kinases, appears to mediate cell-cell initiated signal transduction via the binding of SH2-containing proteins to a conserved tyrosine that is phosphorylated. In many cases mediates homodimerisation.</t>
  </si>
  <si>
    <t xml:space="preserve"> AgamP4_X:18406758-18409690(+) </t>
  </si>
  <si>
    <t xml:space="preserve">2 | 17    GMSRQSK|SV  0.514 *ProP*  | 302    HRERLKR|HI  0.707 *ProP*  | </t>
  </si>
  <si>
    <t>AGAP013324-RA</t>
  </si>
  <si>
    <t>putative G-protein coupled receptor GPCR</t>
  </si>
  <si>
    <t>octopamine receptor - 5 predicted membrane helices</t>
  </si>
  <si>
    <t>AGAP013324-PA</t>
  </si>
  <si>
    <t xml:space="preserve"> tyramine receptor 2 - 3 predicted membrane helices</t>
  </si>
  <si>
    <t>ExpAA=124.58 First60=4.45 PredHel=5 Topology=o217-239i252-274o389-411i734-756o771-790i</t>
  </si>
  <si>
    <t>Locusta migratoria</t>
  </si>
  <si>
    <t>cd15061, 7tmA_tyramine_R-like, tyramine receptors and similar proteins, member of the class A family of seven-transmembrane G protein-coupled receptors.  This group includes tyramine-specific receptors and similar proteins found in insects and other invertebrates. These tyramine receptors form a distinct receptor family that is phylogenetically different from the other tyramine/octopamine receptors which also found in invertebrates.  Both octopamine and tyramine mediate their actions via G protein-coupled receptors (GPCRs) and are the invertebrate equivalent of vertebrate adrenergic neurotransmitters. In Drosophila, octopamine is involved in ovulation by mediating an egg release from the ovary, while a physiological role for tyramine in this process is not fully understood. All GPCRs have a common structural architecture comprising of seven-transmembrane (TM) alpha-helices interconnected by three extracellular and three intracellular loops. A general feature of GPCR signaling is agonist-induced conformational changes in the receptors, leading to activation of the heterotrimeric G proteins, which consist of the guanine nucleotide-binding G-alpha subunit and the dimeric G-beta-gamma subunits. The activated G proteins then bind to and activate numerous downstream effector proteins, which generate second messengers that mediate a broad range of cellular and physiological processes.</t>
  </si>
  <si>
    <t>7tmA_tyramine_R-like 7e-063| 7tmA_5-HT7 5e-044| 7tmA_alpha2_AR 1e-043| 7tmA_amine_R-like 2e-043| 7tmA_5-HT1_5_7 2e-041| 7tmA_Histamine_H2R 7e-041| 7tmA_tyramine_octopamine_R-like 2e-039| 7tmA_Octopamine_R 6e-039| 7tmA_D2-like_dopamine_R 1e-038| 7tmA_Dop1R2-like 2e-038|</t>
  </si>
  <si>
    <t>KOG4220, KOG4220, KOG4220, Muscarinic acetylcholine receptor [Signal transduction mechanisms].</t>
  </si>
  <si>
    <t xml:space="preserve"> AgamP4_2R:48230305-48233118(+) </t>
  </si>
  <si>
    <t>ExpAA=66.79 First60=16.80 PredHel=3 Topology=o43-65i388-410o425-444i</t>
  </si>
  <si>
    <t>AGAP008802-RA</t>
  </si>
  <si>
    <t xml:space="preserve">Phosphoglycerate kinase [Source:UniProtKB/TrEMBL;Acc:Q7Q850] </t>
  </si>
  <si>
    <t>Pgk: Phosphoglycerate kinase</t>
  </si>
  <si>
    <t>3-phosphoglycerate kinase</t>
  </si>
  <si>
    <t>AGAP008802-PA</t>
  </si>
  <si>
    <t xml:space="preserve"> phosphoglycerate kinase 1</t>
  </si>
  <si>
    <t>PTZ00005, PTZ00005, phosphoglycerate kinase; Provisional.</t>
  </si>
  <si>
    <t>PTZ00005 | Phosphoglycerate_kinase | PGK e-163| pgk e-145| Pgk e-142| PRK13962 e-126| PLN02282 8e-097| PLN03034 9e-097| COG0731 | glycerol3P_GlpC |</t>
  </si>
  <si>
    <t>KOG1367, KOG1367, KOG1367, 3-phosphoglycerate kinase [Carbohydrate transport and metabolism].</t>
  </si>
  <si>
    <t>pfam00162, PGK, Phosphoglycerate kinase.</t>
  </si>
  <si>
    <t>smart00978, Tim44, Tim44 is an essential component of the machinery that mediates the translocation of nuclear-encoded proteins across the mitochondrial inner membrane.  Tim44 is thought to bind phospholipids of the mitochondrial inner membrane both by electrostatic interactions and by penetrating the polar head group region.</t>
  </si>
  <si>
    <t>AGAP008379-RA</t>
  </si>
  <si>
    <t>uhrf1-binding protein 1-like - 11 OH-glycosylation sites -  11 NetOglyc sites</t>
  </si>
  <si>
    <t>AGAP008379-PA</t>
  </si>
  <si>
    <t xml:space="preserve"> uhrf1-binding protein 1-like isoform x4 - 11 OH-glycosylation sites -  11 NetOglyc sites</t>
  </si>
  <si>
    <t>pfam12624, Chorein_N, N-terminal region of Chorein or VPS13. Although mutations in the full-length vacuolar protein sorting 13A (VPS13A) protein in vertebrates lead to the disease of chorea-acanthocytosis, the exact function of any of the regions within the protein is not yet known. This region is the proposed leucine zipper at the N-terminus. The full-length protein is a transmembrane protein with a presumed role in vesicle-mediated sorting and intracellular protein transport.</t>
  </si>
  <si>
    <t>Chorein_N 1e-013| MRS6 0.003| Golgin_A5 0.029| conserved_hypothetical_protein 0.042| conj_TIGR03752 0.057| TPH | Herpes_BLLF1 | DUF2353 | KASH_CCD | DUF812 |</t>
  </si>
  <si>
    <t>KOG2955, KOG2955, KOG2955, Uncharacterized conserved protein [Function unknown].</t>
  </si>
  <si>
    <t xml:space="preserve"> AgamP4_3R:10123702-10150087(-) </t>
  </si>
  <si>
    <t>AGAP002915-RA</t>
  </si>
  <si>
    <t>furin-like protease 2</t>
  </si>
  <si>
    <t>AGAP002915-PA</t>
  </si>
  <si>
    <t xml:space="preserve"> protease pc6 isoform a</t>
  </si>
  <si>
    <t>ExpAA=25.00 First60=2.13 PredHel=1 Topology=o1314-1336i</t>
  </si>
  <si>
    <t>cd04059, Peptidases_S8_Protein_convertases_Kexins_Furin-like, Peptidase S8 family domain in Protein convertases. Protein convertases, whose members include furins and kexins, are members of the peptidase S8 or Subtilase clan of proteases. They have an Asp/His/Ser catalytic triad that is not homologous to trypsin. Kexins are involved in the activation of peptide hormones, growth factors, and viral proteins.  Furin cleaves cell surface vasoactive peptides and proteins involved in cardiovascular tissue remodeling in the TGN, at cell surface, or in endosomes but rarely in the ER.  Furin also plays a key role in blood pressure regulation though the activation of transforming growth factor (TGF)-beta. High specificity is seen for cleavage after dibasic (Lys-Arg or Arg-Arg) or multiple basic residues in protein convertases.  There is also strong sequence conservation.</t>
  </si>
  <si>
    <t>Peptidases_S8_Protein_convertases_Kexins...   495   e-140 e-140| Peptidase_S8 5e-057| P_proprotein 5e-029| S8_pro-domain 3e-027| Peptidases_S8_15 5e-027| Peptidases_S8_S53 5e-026| Peptidases_S8_Autotransporter_serine_pro...   106   9e-023 9e-023| Peptidases_S8_Subtilisin_like 2e-022| Peptidases_S8_Thermitase_like 1e-020| AprE 2e-020|</t>
  </si>
  <si>
    <t>KOG3526, KOG3526, KOG3526, Subtilisin-like proprotein convertase [Posttranslational modification, protein turnover, chaperones].</t>
  </si>
  <si>
    <t>pfam00082, Peptidase_S8, Subtilase family.  Subtilases are a family of serine proteases. They appear to have independently and convergently evolved an Asp/Ser/His catalytic triad, like that found in the trypsin serine proteases (see pfam00089). Structure is an alpha/beta fold containing a 7-stranded parallel beta sheet, order 2314567.</t>
  </si>
  <si>
    <t>smart00261, FU, Furin-like repeats.</t>
  </si>
  <si>
    <t xml:space="preserve"> AgamP4_2R:29304390-29399573(-) </t>
  </si>
  <si>
    <t xml:space="preserve">3 | 176    HNHVRKR|SV  0.747 *ProP*  | 208    EKPRFKR|DY  0.764 *ProP*  | 1444    TAARGKR|TF  0.549 *ProP*  | </t>
  </si>
  <si>
    <t>C(3.12)</t>
  </si>
  <si>
    <t>AGAP007530-RB</t>
  </si>
  <si>
    <t>Peptidase M14-like domain of ATP/GTP binding protein - probable fragment - 14 OH-glycosylation sites -  14 NetOglyc sites</t>
  </si>
  <si>
    <t>AGAP007530-PB</t>
  </si>
  <si>
    <t xml:space="preserve"> tra0a2m4cgn0a0a2m4cgn0 anoda peptid - 14 OH-glycosylation sites -  14 NetOglyc sites</t>
  </si>
  <si>
    <t>ExpAA=0.12 First60=0.04 PredHel=0 Topology=o</t>
  </si>
  <si>
    <t>cd06236, M14_AGBL5_like, Peptidase M14-like domain of ATP/GTP binding protein (AGBL)-5 and related proteins. Peptidase M14-like domain of ATP/GTP binding protein_like (AGBL)-5, and related proteins. The Peptidase M14 family of metallocarboxypeptidases are zinc-binding carboxypeptidases (CPs) which hydrolyze single, C-terminal amino acids from polypeptide chains, and have a recognition site for the free C-terminal carboxyl group, which is a key determinant of specificity. This eukaryotic subgroup includes the human AGBL5 and the mouse cytosolic carboxypeptidase (CCP)-5. ATP/GTP binding protein (AGTPBP-1/Nna1)-like proteins are active metallopeptidases that are thought to act on cytosolic proteins such as alpha-tubulin, to remove a C-terminal tyrosine. Mutations in AGTPBP-1/Nna1 cause Purkinje cell degeneration (pcd). AGTPBP-1/Nna1 however does not belong to this subgroup. AGTPBP-1/Nna1-like proteins from the different phyla are highly diverse, but they all contain a unique N-terminal conserved domain right before the CP domain. It has been suggested that this N-terminal domain might act as a folding domain.</t>
  </si>
  <si>
    <t>M14_AGBL5_like 3e-063| M14_Nna1_like_2 1e-035| M14_AGBL4_like 2e-029| M14_AGBL2-3_like 4e-024| M14_Nna1 6e-024| M14_Nna1_like 4e-019| M14_Nna1_like_1 6e-014| Zn_pept 6e-007| M14_Nna1_like_3 1e-006| SelP_N 2e-006|</t>
  </si>
  <si>
    <t>KOG3641, KOG3641, KOG3641, Zinc carboxypeptidase [Amino acid transport and metabolism].</t>
  </si>
  <si>
    <t>pfam04592, SelP_N, Selenoprotein P, N terminal region.  SelP is the only known eukaryotic selenoprotein that contains multiple selenocysteine (Sec) residues, and accounts for more than 50% of the selenium content of rat and human plasma. It is thought to be glycosylated. SelP may have antioxidant properties. It can attach to epithelial cells, and may protect vascular endothelial cells against peroxynitrite toxicity. The high selenium content of SelP suggests that it may be involved in selenium intercellular transport or storage. The promoter structure of bovine SelP suggest that it may be involved in countering heavy metal intoxication, and may also have a developmental function. The N-terminal region of SelP can exist independently of the C terminal region. Zebrafish selenoprotein Pb lacks the C terminal Sec-rich region, and a protein encoded by the rat SelP gene and lacking this region has also been reported. N-terminal region contains a conserved SecxxCys motif, which is similar to the CysxxCys found in thioredoxins. It is speculated that the N terminal region may adopt a thioredoxin fold and catalyze redox reactions. The N-terminal region also contains a His-rich region, which is thought to mediate heparin binding. Binding to heparan proteoglycans could account for the membrane binding properties of SelP. The function of the bacterial members of this family is uncharacterized.</t>
  </si>
  <si>
    <t>smart00631, Zn_pept, Zn_pept domain.</t>
  </si>
  <si>
    <t xml:space="preserve"> AgamP4_2L:47233659-47240278(-) </t>
  </si>
  <si>
    <t>AGAP002493-RA</t>
  </si>
  <si>
    <t>RAS effector RIN1 (contains VPS domain) - probable fragment - 15 OH-glycosylation sites -  15 NetOglyc sites</t>
  </si>
  <si>
    <t>AGAP002493-PA</t>
  </si>
  <si>
    <t xml:space="preserve"> ras effector rin1 - 15 OH-glycosylation sites -  15 NetOglyc sites</t>
  </si>
  <si>
    <t>ExpAA=0.08 First60=0.06 PredHel=0 Topology=o</t>
  </si>
  <si>
    <t>pfam02204, VPS9, Vacuolar sorting protein 9 (VPS9) domain.  This domain acts as a GDP-GTP exchange factor (GEF). It activates Rab GTPases by stimulating the release of GDP and allowing GTP to bind.</t>
  </si>
  <si>
    <t>VPS9 3e-019| SH2_RIN1 3e-014| VPS9 5e-014| SH2_RIN_family 6e-013| SH2 1e-012| SH2 7e-012| SH2_RIN2 7e-012| SH2_RIN3 3e-011| SH2_Tec_family 1e-008| SH2 4e-008|</t>
  </si>
  <si>
    <t>KOG2320, KOG2320, KOG2320, RAS effector RIN1 (contains VPS domain) [Intracellular trafficking, secretion, and vesicular transport].</t>
  </si>
  <si>
    <t>smart00167, VPS9, Domain present in VPS9.  Domain present in yeast vacuolar sorting protein 9 and other proteins.</t>
  </si>
  <si>
    <t xml:space="preserve"> AgamP4_2R:21991058-21999508(+) </t>
  </si>
  <si>
    <t xml:space="preserve">3 | 670    VSRRNKR|KE  0.602 *ProP*  | 812    DDGRFGR|SV  0.642 *ProP*  | 1135    LRSRSCR|DR  0.535 *ProP*  | </t>
  </si>
  <si>
    <t>AGAP003506-RA</t>
  </si>
  <si>
    <t>Attractin and platelet-activating factor acetylhydrolase</t>
  </si>
  <si>
    <t>AGAP003506-PA</t>
  </si>
  <si>
    <t xml:space="preserve"> attractin-like protein 1</t>
  </si>
  <si>
    <t>ExpAA=22.71 First60=0.32 PredHel=1 Topology=o1161-1183i</t>
  </si>
  <si>
    <t>CUB 2e-013| Kelch 4e-013| PLN02153 9e-012| CUB 3e-010| CUB 1e-008| PHA03098 3e-008| PSI 2e-005| PLN02193 2e-004| EGF_Lam 5e-004| Laminin_EGF 0.015|</t>
  </si>
  <si>
    <t>KOG1388, KOG1388, KOG1388, Attractin and platelet-activating factor acetylhydrolase [Signal transduction mechanisms, Defense mechanisms].</t>
  </si>
  <si>
    <t xml:space="preserve">Signal transduction mechanisms, Defense mechanisms </t>
  </si>
  <si>
    <t xml:space="preserve"> AgamP4_2R:38764437-38771349(+) </t>
  </si>
  <si>
    <t xml:space="preserve">1 | 22    SKYRRKR|DP  0.780 *ProP*  | </t>
  </si>
  <si>
    <t>AGAP006995-RA</t>
  </si>
  <si>
    <t xml:space="preserve">sphingosine kinase </t>
  </si>
  <si>
    <t>sphingosine kinase</t>
  </si>
  <si>
    <t>Sphingosine kinase involved in sphingolipid metabolism</t>
  </si>
  <si>
    <t>AGAP006995-PA</t>
  </si>
  <si>
    <t xml:space="preserve"> gnlcdd229060</t>
  </si>
  <si>
    <t>ExpAA=4.41 First60=0.26 PredHel=0 Topology=o</t>
  </si>
  <si>
    <t>PLN02958, PLN02958, diacylglycerol kinase/D-erythro-sphingosine kinase.</t>
  </si>
  <si>
    <t>PLN02958 9e-042| DAGK_cat 3e-027| LCB5 3e-018| DAGKc 4e-012| PLN02204 1e-006| Putative_lipid_kinase_BmrU 1e-006| PRK12361 5e-005| PRK13337 4e-004| PRK13059 5e-004| PRK11914 0.001|</t>
  </si>
  <si>
    <t>KOG1116, KOG1116, KOG1116, Sphingosine kinase, involved in sphingolipid metabolism [Lipid transport and metabolism, Signal transduction mechanisms].</t>
  </si>
  <si>
    <t xml:space="preserve">Lipid transport and metabolism, Signal transduction mechanisms </t>
  </si>
  <si>
    <t>pfam00781, DAGK_cat, Diacylglycerol kinase catalytic domain. Diacylglycerol (DAG) is a second messenger that acts as a protein kinase C activator. The catalytic domain is assumed from the finding of bacterial homologs. YegS is the Escherichia coli protein in this family whose crystal structure reveals an active site in the inter-domain cleft formed by four conserved sequence motifs, revealing a novel metal-binding site. The residues of this site are conserved across the family.</t>
  </si>
  <si>
    <t>smart00046, DAGKc, Diacylglycerol kinase catalytic domain (presumed).  Diacylglycerol (DAG) is a second messenger that acts as a protein kinase C activator. DAG can be produced from the hydrolysis of phosphatidylinositol 4,5-bisphosphate (PIP2) by a phosphoinositide-specific phospholipase C and by the degradation of phosphatidylcholine (PC) by a phospholipase C or the concerted actions of phospholipase D and phosphatidate phosphohydrolase. This domain is presumed to be the catalytic domain. Bacterial homologues areknown.</t>
  </si>
  <si>
    <t xml:space="preserve"> AgamP4_2L:40522242-40531969(-) </t>
  </si>
  <si>
    <t xml:space="preserve">1 | 175    ILKRSRR|GG  0.586 *ProP*  | </t>
  </si>
  <si>
    <t>AGAP002354-RA</t>
  </si>
  <si>
    <t xml:space="preserve">EVI5-like protein </t>
  </si>
  <si>
    <t>EVI5-like protein</t>
  </si>
  <si>
    <t>GTPase-activating protein (General function prediction only) - probable fragment</t>
  </si>
  <si>
    <t>AGAP002354-PA</t>
  </si>
  <si>
    <t xml:space="preserve"> ecotropic viral integration site 5 protein isoform x2</t>
  </si>
  <si>
    <t>vir/</t>
  </si>
  <si>
    <t>ExpAA=2.59 First60=0.00 PredHel=0 Topology=o</t>
  </si>
  <si>
    <t>TBC 2e-063| RabGAP-TBC 2e-047| COG5210 4e-039| Smc 4e-015| Chromosome_partition_protein_Smc 8e-012| PRK02224 9e-009| SbcC 9e-009| chromosome_segregation_protein_related...    57   4e-008 4e-008| mukB 8e-007| PTZ00121 9e-007|</t>
  </si>
  <si>
    <t>KOG4436, KOG4436, KOG4436, Predicted GTPase activator NB4S/EVI5 (contains TBC domain)/Calmodulin-binding protein Pollux (contains PTB and TBC domains) [General function prediction only].</t>
  </si>
  <si>
    <t xml:space="preserve"> AgamP4_2R:20571876-20577183(+) </t>
  </si>
  <si>
    <t>AGAP012645-RA</t>
  </si>
  <si>
    <t xml:space="preserve">mRNA-decapping enzyme 1B </t>
  </si>
  <si>
    <t>mRNA-decapping enzyme 1B</t>
  </si>
  <si>
    <t>mRNA decapping enzyme 1 - 18 OH-glycosylation sites -  18 NetOglyc sites</t>
  </si>
  <si>
    <t>AGAP012645-PA</t>
  </si>
  <si>
    <t xml:space="preserve"> mrna-decapping enzyme 1a isoform x2 - 18 OH-glycosylation sites -  18 NetOglyc sites</t>
  </si>
  <si>
    <t>cd09804, Dcp1, mRNA decapping enzyme 1 (Dcp1).  mRNA decapping enzyme 1 (Dcp1), together with Dcp2, is part of the decapping complex which catalyzes the removal of the 5' cap structure of mRNA. This decapping reaction is an essential step in mRNA degradation, by exposing the 5' end for exonucleolytic digestion. Dcp1 binds to the N-terminal helical domain of catalytic subunit Dcp2 and enhances its function by promoting Dsp2's closed conformation which is catalytically more active.</t>
  </si>
  <si>
    <t>Dcp1 5e-047| EVH1-like_Dcp1 2e-045| DCP1 4e-043| mRNA_decap_C 5e-007| PLN02217 0.058| SOBP | PRK10856 | PHA03269 | PLN02289 | Suf |</t>
  </si>
  <si>
    <t>KOG2868, KOG2868, KOG2868, Decapping enzyme complex component DCP1 [Transcription, RNA processing and modification].</t>
  </si>
  <si>
    <t xml:space="preserve">Transcription, RNA processing and modification </t>
  </si>
  <si>
    <t>pfam06058, DCP1, Dcp1-like decapping family.  An essential step in mRNA turnover is decapping. In yeast, two proteins have been identified that are essential for decapping, Dcp1 (this family) and Dcp2 (pfam05026). The precise role of these proteins in the decapping reaction have not been established. Evidence suggests that the Dcp1 may enhance the function of Dcp2.</t>
  </si>
  <si>
    <t xml:space="preserve"> AgamP4_UNKN:22214349-22216166(-) </t>
  </si>
  <si>
    <t>AGAP000456-RA</t>
  </si>
  <si>
    <t>agap000456-pa - Membrane anchor detected - 4 predicted membrane helices</t>
  </si>
  <si>
    <t>AGAP000456-PA</t>
  </si>
  <si>
    <t xml:space="preserve"> protein - Membrane anchor detected - 4 predicted membrane helices</t>
  </si>
  <si>
    <t>ExpAA=91.01 First60=22.41 PredHel=4 Topology=i21-43o86-108i121-143o158-180i</t>
  </si>
  <si>
    <t>Claudin_2 0.003| PMP22_Claudin 0.003| ATPase-IID_K-Na | Caleosin | Gaa1 | L_HMGIC_fpl | TnrB3 | ND6 | PRK10577 |</t>
  </si>
  <si>
    <t>KOG4671, KOG4671, KOG4671, Brain cell membrane protein 1 (BCMP1) [General function prediction only].</t>
  </si>
  <si>
    <t>smart00258, SAND, SAND domain.</t>
  </si>
  <si>
    <t xml:space="preserve"> AgamP4_X:7924267-7926877(+) </t>
  </si>
  <si>
    <t>AGAP001681-RA</t>
  </si>
  <si>
    <t xml:space="preserve">ubiquitin conjugation factor E4 A </t>
  </si>
  <si>
    <t>ubiquitin conjugation factor E4 A</t>
  </si>
  <si>
    <t>AGAP001681-PA</t>
  </si>
  <si>
    <t xml:space="preserve"> ubiquitin conjugation factor e4 a</t>
  </si>
  <si>
    <t>ExpAA=0.85 First60=0.00 PredHel=0 Topology=o</t>
  </si>
  <si>
    <t>pfam10408, Ufd2P_core, Ubiquitin elongating factor core.  This is the most conserved part of the core region of Ufd2P ubiquitin elongating factor or E4, running from helix alpha-11 to alpha-38. It consists of 31 helices of variable length connected by loops of variable size forming a compact unit; the helical packing pattern of the compact unit consists of five structural repeats that resemble tandem Armadillo (ARM) repeats. This domain is involved in ubiquitination as it binds Cdc48p and escorts ubiquitinated proteins from Cdc48p to the proteasome for degradation. The core is structurally similar to the nuclear transporter protein importin-alpha. The core is associated with the U-box at the C-terminus, pfam04564, which has ligase activity.</t>
  </si>
  <si>
    <t>Ufd2P_core e-173| UFD2 3e-085| RING-Ubox_UBE4A 9e-034| RING-Ubox_UBE4B 1e-028| U-box 1e-025| Ubox 1e-015| RING-Ubox_CHIP 2e-008| RING-Ubox 4e-008| RING-Ubox_RNF37 8e-008| RING_Ubox 2e-005|</t>
  </si>
  <si>
    <t>KOG2042, KOG2042, KOG2042, Ubiquitin fusion degradation protein-2 [Posttranslational modification, protein turnover, chaperones].</t>
  </si>
  <si>
    <t>smart00504, Ubox, Modified RING finger domain.  Modified RING finger domain, without the full complement of Zn2+-binding ligands. Probable involvement in E2-dependent ubiquitination.</t>
  </si>
  <si>
    <t xml:space="preserve"> AgamP4_2R:8217795-8220987(+) </t>
  </si>
  <si>
    <t>AGAP001015-RA</t>
  </si>
  <si>
    <t xml:space="preserve">notch gene homolog 1 </t>
  </si>
  <si>
    <t>notch gene homolog 1</t>
  </si>
  <si>
    <t>Fibrillins - signalP detected</t>
  </si>
  <si>
    <t>st/secreted Fibrillins</t>
  </si>
  <si>
    <t>AGAP001015-PA</t>
  </si>
  <si>
    <t xml:space="preserve"> fibrillin - signalP detected</t>
  </si>
  <si>
    <t xml:space="preserve">st/secreted </t>
  </si>
  <si>
    <t>ExpAA=50.76 First60=20.70 PredHel=1 Topology=i13-35o</t>
  </si>
  <si>
    <t>ANK 6e-029| ANK 5e-027| NOD 3e-019| PHA03095 1e-018| Arp 1e-018| PHA02878 4e-018| PHA03100 1e-017| PHA02876 9e-016| DUF3454 1e-015| Med15 3e-015|</t>
  </si>
  <si>
    <t>KOG1219, KOG1219, KOG1219, Uncharacterized conserved protein, contains laminin, cadherin and EGF domains [Signal transduction mechanisms].</t>
  </si>
  <si>
    <t>pfam06816, NOD, NOTCH protein.  NOTCH signalling plays a fundamental role during a great number of developmental processes in multicellular animals. NOD and NODP represent a region present in many NOTCH proteins and NOTCH homologs in multiple species such as NOTCH2 and NOTCH3, LIN12, SC1 and TAN1. Role of NOD domain remains to be elucidated.</t>
  </si>
  <si>
    <t xml:space="preserve"> AgamP4_X:19495565-19566195(-) </t>
  </si>
  <si>
    <t xml:space="preserve">1 | 1149    HRCRCAR|GY  0.506 *ProP*  | </t>
  </si>
  <si>
    <t>C(4.8)</t>
  </si>
  <si>
    <t>AGAP029642-RA</t>
  </si>
  <si>
    <t xml:space="preserve">Amine oxidase [Source:UniProtKB/TrEMBL;Acc:A0A453Z0A9] </t>
  </si>
  <si>
    <t>Amine oxidase</t>
  </si>
  <si>
    <t>Amine oxidase - 24 OH-glycosylation sites -  24 NetOglyc sites</t>
  </si>
  <si>
    <t>AGAP029642-PA</t>
  </si>
  <si>
    <t xml:space="preserve"> amine oxidase - 24 OH-glycosylation sites -  24 NetOglyc sites</t>
  </si>
  <si>
    <t>ExpAA=8.46 First60=8.43 PredHel=0 Topology=o</t>
  </si>
  <si>
    <t>pfam01593, Amino_oxidase, Flavin containing amine oxidoreductase. This family consists of various amine oxidases, including maze polyamine oxidase (PAO) and various flavin containing monoamine oxidases (MAO). The aligned region includes the flavin binding site of these enzymes. The family also contains phytoene dehydrogenases and related enzymes. In vertebrates MAO plays an important role regulating the intracellular levels of amines via there oxidation; these include various neurotransmitters, neurotoxins and trace amines. In lower eukaryotes such as aspergillus and in bacteria the main role of amine oxidases is to provide a source of ammonium. PAOs in plants, bacteria and protozoa oxidase spermidine and spermine to an aminobutyral, diaminopropane and hydrogen peroxide and are involved in the catabolism of polyamines. Other members of this family include tryptophan 2-monooxygenase, putrescine oxidase, corticosteroid binding proteins and antibacterial glycoproteins.</t>
  </si>
  <si>
    <t>Amino_oxidase 3e-059| PLN02568 2e-053| PLN02268 1e-035| PLN02529 8e-024| PLN02676 2e-023| PLN02328 6e-021| PLN02976 3e-019| PLN03000 4e-019| COG1231 1e-018| NAD_binding_8 7e-010|</t>
  </si>
  <si>
    <t>KOG0685, KOG0685, KOG0685, Flavin-containing amine oxidase [Coenzyme transport and metabolism].</t>
  </si>
  <si>
    <t>smart00919, Malic_M, Malic enzyme, NAD binding domain.  Malic enzymes (malate oxidoreductases) catalyse the oxidative decarboxylation of malate to form pyruvate.</t>
  </si>
  <si>
    <t xml:space="preserve">1 | 781    SYSRSIR|SI  0.755 *ProP*  | </t>
  </si>
  <si>
    <t>AGAP004039-RB</t>
  </si>
  <si>
    <t xml:space="preserve">afadin </t>
  </si>
  <si>
    <t>afadin</t>
  </si>
  <si>
    <t>Actin filament-binding protein Afadin - probable fragment</t>
  </si>
  <si>
    <t>AGAP004039-PB</t>
  </si>
  <si>
    <t xml:space="preserve"> cargo binding domain of myosin 5-like of afadin</t>
  </si>
  <si>
    <t>cd15471, Myo5p-like_CBD_afadin, cargo binding domain of myosin 5-like of afadin.  Afadin is an actin filament (F-actin) and Rap1 small G protein-binding protein, found in cadherin-based adherens junctions in epithelial cells, endothelial cells, and fibroblasts. It interacts with cell adhesion molecules and signaling molecules and plays a role in the formation of cell junctions, cell polarization, migration, survival, proliferation, and differentiation. Afadin is a multi domain protein, that contains beside a myosin5-like CBD, two Ras-associated domains, a forkhead-associated domain, a PDZ domain, three proline-rich domains, and an F-actin-binding domain.</t>
  </si>
  <si>
    <t>Myo5p-like_CBD_afadin e-140| AF6_RA_repeat1 3e-057| Myo5-like_CBD 1e-045| AF6_RA_repeat2 6e-037| DIL 9e-027| Myo5p-like_CBD_DIL_ANK 2e-026| RA 2e-018| RA 8e-018| RA 1e-017| Myo5_CBD 2e-016|</t>
  </si>
  <si>
    <t>KOG1892, KOG1892, KOG1892, Actin filament-binding protein Afadin [Cytoskeleton].</t>
  </si>
  <si>
    <t>pfam01843, DIL, DIL domain.  The DIL domain has no known function.</t>
  </si>
  <si>
    <t>smart00314, RA, Ras association (RalGDS/AF-6) domain.  RasGTP effectors (in cases of AF6, canoe and RalGDS); putative RasGTP effectors in other cases. Kalhammer et al. have shown that not all RA domains bind RasGTP. Predicted structure similar to that determined, and that of the RasGTP-binding domain of Raf kinase. Predicted RA domains in PLC210 and nore1 found to bind RasGTP. Included outliers (Grb7, Grb14, adenylyl cyclases etc.).</t>
  </si>
  <si>
    <t xml:space="preserve"> AgamP4_2R:48305176-48341097(+) </t>
  </si>
  <si>
    <t xml:space="preserve">3 | 348    PRRRKKK|PL  0.630 *ProP*  | 2142    RDPRTRR|LA  0.743 *ProP*  | 2189    KISRAQR|DI  0.625 *ProP*  | </t>
  </si>
  <si>
    <t>AGAP006534-RA</t>
  </si>
  <si>
    <t>Alpha-protein kinase 1 - probable fragment - 14 OH-glycosylation sites</t>
  </si>
  <si>
    <t>AGAP006534-PA</t>
  </si>
  <si>
    <t xml:space="preserve"> os-coluzzii ox-834 pe-4 sv - 14 OH-glycosylation sites -  14 NetOglyc sites</t>
  </si>
  <si>
    <t>ZF_C2H2 4e-006| retinal_rod 4e-004| PAT1 0.002| PRK11637 0.004| DUF4175 0.006| SelP_N 0.007| ZF_C2H2 0.008| DUF3523 0.008| tolA 0.027| PRK08581 0.039|</t>
  </si>
  <si>
    <t>KOG3561, KOG3561, KOG3561, Aryl-hydrocarbon receptor nuclear translocator [Transcription].</t>
  </si>
  <si>
    <t xml:space="preserve"> AgamP4_2L:33954274-33959936(-) </t>
  </si>
  <si>
    <t>AGAP011964-RA</t>
  </si>
  <si>
    <t>T-cell immunomodulatory protein</t>
  </si>
  <si>
    <t>AGAP011964-PA</t>
  </si>
  <si>
    <t xml:space="preserve"> t-cell immunomodulatory protein</t>
  </si>
  <si>
    <t xml:space="preserve"> 27-28</t>
  </si>
  <si>
    <t>ExpAA=23.25 First60=0.30 PredHel=1 Topology=o565-587i</t>
  </si>
  <si>
    <t>pfam13517, VCBS, Repeat domain in Vibrio, Colwellia, Bradyrhizobium and Shewanella.  This domain of about 100 residues is found in multiple (up to 35) copies in long proteins from several species of Vibrio, Colwellia, Bradyrhizobium, and Shewanella (hence the name VCBS) and in smaller copy numbers in proteins from several other bacteria. The large protein size and repeat copy numbers, species distribution, and suggested activities of several member proteins suggests a role for this domain in adhesion (TIGR).</t>
  </si>
  <si>
    <t>VCBS 0.005| FG-GAP | fliF | IncA | Ferlin_C | PRK04987 | Plasmodium_falciparum_chromosome_2_sec...    30   3.1   | Rifin_STEVOR | Vpu | DUF3177 |</t>
  </si>
  <si>
    <t>KOG4550, KOG4550, KOG4550, Predicted membrane protein [Function unknown].</t>
  </si>
  <si>
    <t>smart00191, Int_alpha, Integrin alpha (beta-propellor repeats). Integrins are cell adhesion molecules that mediate cell-extracellular matrix and cell-cell interactions. They contain both alpha and beta subunits. Alpha integrins are proposed to contain a domain containing a 7-fold repeat that adopts a beta-propellor fold. Some of these domains contain an inserted von Willebrand factor type-A domain. Some repeats contain putative calcium-binding sites. The 7-fold repeat domain is homologous to a similar domain in phosphatidylinositol-glycan-specific phospholipase D.</t>
  </si>
  <si>
    <t xml:space="preserve"> AgamP4_3L:35664117-35665946(+) </t>
  </si>
  <si>
    <t xml:space="preserve">2 | 462    PLGRKKR|TF  0.771 *ProP*  | 597    REDRIQR|SL  0.601 *ProP*  | </t>
  </si>
  <si>
    <t>AGAP012252-RA</t>
  </si>
  <si>
    <t xml:space="preserve">classical protein kinase C </t>
  </si>
  <si>
    <t>classical protein kinase C</t>
  </si>
  <si>
    <t>Serine/threonine protein kinase - probable fragment</t>
  </si>
  <si>
    <t>AGAP012252-PA</t>
  </si>
  <si>
    <t xml:space="preserve"> agc/pkc/alpha protein kinase</t>
  </si>
  <si>
    <t>cd05587, STKc_cPKC, Catalytic domain of the Serine/Threonine Kinase, Classical (or Conventional) Protein Kinase C. STKs catalyze the transfer of the gamma-phosphoryl group from ATP to serine/threonine residues on protein substrates. cPKCs are potent kinases for histones, myelin basic protein, and protamine. They depend on calcium, DAG (1,2-diacylglycerol), and in most cases, phosphatidylserine (PS) for activation. cPKCs contain a calcium-binding C2 region in their regulatory domain. There are four cPKC isoforms, named alpha, betaI, betaII, and gamma. PKC-gamma is mainly expressed in neuronal tissues. It plays a role in protection from ischemia. PKCs are classified into three groups (classical, atypical, and novel) depending on their mode of activation and the structural characteristics of their regulatory domain. The cPKC subfamily is part of a larger superfamily that includes the catalytic domains of other STKs, protein tyrosine kinases, RIO kinases, aminoglycoside phosphotransferase, choline kinase, and phosphoinositide 3-kinase.</t>
  </si>
  <si>
    <t>STKc_cPKC | STKc_PKC e-178| STKc_cPKC_alpha e-164| STKc_cPKC_beta e-163| STKc_nPKC_theta_like e-147| STKc_nPKC_epsilon e-147| STKc_nPKC_theta e-126| STKc_nPKC_eta e-126| STKc_PKN e-119| STKc_nPKC_delta e-117|</t>
  </si>
  <si>
    <t>KOG0696, KOG0696, KOG0696, Serine/threonine protein kinase [Signal transduction mechanisms].</t>
  </si>
  <si>
    <t xml:space="preserve"> AgamP4_3L:39339478-39391108(+) </t>
  </si>
  <si>
    <t>AGAP000313-RA</t>
  </si>
  <si>
    <t xml:space="preserve">alanine-glyoxylate aminotransferase 2-like </t>
  </si>
  <si>
    <t>alanine-glyoxylate aminotransferase 2-like</t>
  </si>
  <si>
    <t>4-aminobutyrate aminotransferase and related aminotransferases (Amino acid transport and metabolism)</t>
  </si>
  <si>
    <t>AGAP000313-PA</t>
  </si>
  <si>
    <t>PRK06148, PRK06148, hypothetical protein; Provisional.</t>
  </si>
  <si>
    <t>PRK06148 e-175| GabT e-126| OAT_like e-123| PRK06149 e-114| ArgD 6e-087| BioA 2e-081| Aminotran_3 7e-080| PRK05769 4e-072| PRK08117 2e-070| PRK08360 1e-067|</t>
  </si>
  <si>
    <t>KOG1403, KOG1403, KOG1403, Predicted alanine-glyoxylate aminotransferase [General function prediction only].</t>
  </si>
  <si>
    <t>pfam00202, Aminotran_3, Aminotransferase class-III.</t>
  </si>
  <si>
    <t xml:space="preserve"> AgamP4_X:5496173-5503551(-) </t>
  </si>
  <si>
    <t xml:space="preserve">1 | 484    PISRGQR|DT  0.540 *ProP*  | </t>
  </si>
  <si>
    <t>AGAP004292-RA</t>
  </si>
  <si>
    <t xml:space="preserve">Leucine-zipper-like transcriptional regulator 1 </t>
  </si>
  <si>
    <t>Leucine-zipper-like transcriptional regulator 1</t>
  </si>
  <si>
    <t>leucine-zipper-like transcriptional regulator 1</t>
  </si>
  <si>
    <t>AGAP004292-PA</t>
  </si>
  <si>
    <t xml:space="preserve"> leucine-zipper-like transcriptional regulator</t>
  </si>
  <si>
    <t>sd00038, Kelch, Kelch repeat.  Kelch repeats are 44 to 56 amino acids in length and form a four-stranded beta-sheet corresponding to a single blade of five to seven bladed beta propellers. The Kelch superfamily is a large evolutionary conserved protein family whose members are present throughout the cell and extracellularly, and have diverse activities. Kelch repeats are often in combination with other domains, like BTB and BACK or F-box domains.</t>
  </si>
  <si>
    <t>Kelch 1e-025| BTB 5e-016| BTB 3e-014| PLN02153 3e-012| PLN02193 6e-010| SPOP_C_like 4e-009| PHA03098 2e-008| muta_rot_YjhT 1e-007| PRK14131 1e-007| Kelch_4 3e-005|</t>
  </si>
  <si>
    <t xml:space="preserve"> AgamP4_2R:54134751-54137399(-) </t>
  </si>
  <si>
    <t>AGAP028522-RA</t>
  </si>
  <si>
    <t>uncharacterized protein loc109412050 isoform x2 - 13 OH-glycosylation sites -  13 NetOglyc sites</t>
  </si>
  <si>
    <t>AGAP028522-PA</t>
  </si>
  <si>
    <t xml:space="preserve"> os-coluzzii ox-834 pe-4 sv - 13 OH-glycosylation sites -  13 NetOglyc sites</t>
  </si>
  <si>
    <t>ZF_C2H2 1e-006| ZF_C2H2 1e-005| PAT1 6e-005| SelP_N 2e-004| PRK10019 0.013| znuA 0.029| UPF0560 0.031| ZntC 0.035| putative_Type_IV_pilus_protein 0.040| ROM1 0.066|</t>
  </si>
  <si>
    <t xml:space="preserve"> AgamP4_3L:25002284-25008433(-) </t>
  </si>
  <si>
    <t xml:space="preserve">2 | 1123    TLWRHRR|SS  0.684 *ProP*  | 1197    QRKRKPR|SR  0.551 *ProP*  | </t>
  </si>
  <si>
    <t>AGAP011933-RA</t>
  </si>
  <si>
    <t xml:space="preserve">phosphorylated CTD-interacting factor </t>
  </si>
  <si>
    <t>phosphorylated CTD-interacting factor</t>
  </si>
  <si>
    <t>agap011933-pa - 22 OH-glycosylation sites -  22 NetOglyc sites</t>
  </si>
  <si>
    <t>AGAP011933-PA</t>
  </si>
  <si>
    <t xml:space="preserve"> mrna 2'-o-methyladenosine-n6--methyltransferase isoform x1 - 22 OH-glycosylation sites -  22 NetOglyc sites</t>
  </si>
  <si>
    <t>pfam12237, PCIF1_WW, Phosphorylated CTD interacting factor 1 WW domain.  This domain family is found in bacteria and eukaryotes, and is approximately 180 amino acids in length. This domain is the WW domain of PCIF1. PCIF1 interacts with phosphorylated RNA polymerase II carboxy-terminal domain (CTD). The WW domain of PCIF1 can directly and preferentially bind to the phosphorylated CTD compared to the unphosphorylated CTD. PCIF1 binds to the hyperphosphorylated RNAP II (RNAP IIO) in vitro and in vivo. Double immunofluorescence labeling in HeLa cells demonstrated that PCIF1 and endogenous RNAP IIO are co-localized in the cell nucleus. Thus, PCIF1 may play a role in mRNA synthesis by modulating RNAP IIO activity.</t>
  </si>
  <si>
    <t>PCIF1_WW 1e-072| WW 3e-004| WW 4e-004| WW 6e-004| PAT1 0.001| PRK14971 0.074| PTZ00009 0.099| PRK14950 | PRK10263 | SAP130_C |</t>
  </si>
  <si>
    <t>KOG3259, KOG3259, KOG3259, Peptidyl-prolyl cis-trans isomerase [Posttranslational modification, protein turnover, chaperones].</t>
  </si>
  <si>
    <t>smart00456, WW, Domain with 2 conserved Trp (W) residues.  Also known as the WWP or rsp5 domain. Binds proline-rich polypeptides.</t>
  </si>
  <si>
    <t xml:space="preserve"> AgamP4_3L:35250550-35254503(-) </t>
  </si>
  <si>
    <t>AGAP029516-RA</t>
  </si>
  <si>
    <t>Microtubule-binding calmodulin-regulated spectrin-associated</t>
  </si>
  <si>
    <t>AGAP029516-PA</t>
  </si>
  <si>
    <t xml:space="preserve"> calmodulin-regulated spectrin-associated protein 1-b-like isoform x2</t>
  </si>
  <si>
    <t>pfam08683, CAMSAP_CKK, Microtubule-binding calmodulin-regulated spectrin-associated.  This is the C-terminal domain of a family of eumetazoan proteins collectively defined as calmodulin-regulated spectrin-associated, or CAMSAP, proteins. CAMSAP proteins carry an N-terminal region that includes the CH domain, a central region including a predicted coiled-coil and this C-terminal, or CKK, domain - defined as being present in CAMSAP, KIAA1078 and KIAA1543, The C-terminal domain is the part of the CAMSAP proteins that binds to microtubules. The domain appears to act by producing inhibition of neurite extension, probably by blocking microtubule function. CKK represents a domain that has evolved with the metazoa. The structure of a murine hypothetical protein from RIKEN cDNA has shown the domain to adopt a mainly beta barrel structure with an associated alpha-helical hairpin.</t>
  </si>
  <si>
    <t>CAMSAP_CKK 3e-055| CAMSAP_CKK 2e-052| CAMSAP_CH 6e-028| CAMSAP_CC1 3e-016| TPH 2e-009| Casc1_N 9e-008| Protein_TolA 2e-007| MAP7 3e-007| ARGLU 1e-006| ERM 3e-006|</t>
  </si>
  <si>
    <t>KOG3654, KOG3654, KOG3654, Uncharacterized CH domain protein [Cytoskeleton].</t>
  </si>
  <si>
    <t>smart01051, CAMSAP_CKK, Microtubule-binding calmodulin-regulated spectrin-associated.  This is the C-terminal domain of a family of eumetazoan proteins collectively defined as calmodulin-regulated spectrin-associated, or CAMSAP, proteins. CAMSAP proteins carry an N-terminal region that includes the CH domain, a central region including a predicted coiled-coil and this C-terminal, or CKK, domain - defined as being present in CAMSAP, KIAA1078 and KIAA1543, The C-terminal domain is the part of the CAMSAP proteins that binds to microtubules. The domain appears to act by producing inhibition of neurite extension, probably by blocking microtubule function. CKK represents a domain that has evolved with the metazoa. The structure of a murine hypothetical protein from RIKEN cDNA has shown the domain to adopt a mainly beta barrel structure with an associated alpha-helical hairpin.</t>
  </si>
  <si>
    <t xml:space="preserve"> AgamP4_3L:31414047-31470698(-) </t>
  </si>
  <si>
    <t xml:space="preserve">1 | 1378    PPLRTKR|SP  0.628 *ProP*  | </t>
  </si>
  <si>
    <t>AGAP005533-RA</t>
  </si>
  <si>
    <t>transformation/transcription domain-associated protein</t>
  </si>
  <si>
    <t>Histone acetyltransferase SAGA TRRAP/TRA1 component PI-3 kinase superfamily - 17 OH-glycosylation sites -  17 NetOglyc sites</t>
  </si>
  <si>
    <t>AGAP005533-PA</t>
  </si>
  <si>
    <t xml:space="preserve"> transformation/transcription domain-associated protein - 17 OH-glycosylation sites -  17 NetOglyc sites</t>
  </si>
  <si>
    <t>ExpAA=1.75 First60=0.00 PredHel=0 Topology=o</t>
  </si>
  <si>
    <t>cd05163, PIKK_TRRAP, Pseudokinase domain of TRansformation/tRanscription domain-Associated Protein. TRRAP belongs to the the phosphoinositide 3-kinase-related protein kinase (PIKK) subfamily. It contains a FATC (FRAP, ATM and TRRAP, C-terminal) domain and has a large molecular weight. Unlike most PIKK proteins, however, it contains an inactive PI3K-like pseudokinase domain, which lacks the conserved residues necessary for ATP binding and catalytic activity. TRRAP also contains many motifs that may be critical for protein-protein interactions. TRRAP is a common component of many histone acetyltransferase (HAT) complexes, and is responsible for the recruitment of these complexes to chromatin during transcription, replication, and DNA repair. TRRAP also exists in non-HAT complexes such as the p400 and MRN complexes, which are implicated in ATP-dependent remodeling and DNA repair, respectively. The TRRAP pseudokinase domain subfamily is part of a larger superfamily that includes the catalytic domains of other kinases such as the typical serine/threonine/tyrosine protein kinases (PKs), aminoglycoside phosphotransferase, choline kinase, and RIO kinases.</t>
  </si>
  <si>
    <t>PIKK_TRRAP 3e-094| FAT 2e-070| PIKKc 1e-048| TEL1 4e-039| PI3Kc 1e-026| PI3_PI4_kinase 9e-020| PIKKc_SMG1 7e-012| PIKKc_ATR 2e-011| PIKKc_TOR 6e-008| CTD 5e-007|</t>
  </si>
  <si>
    <t>pfam02259, FAT, FAT domain.  The FAT domain is named after FRAP, ATM and TRRAP.</t>
  </si>
  <si>
    <t xml:space="preserve"> AgamP4_2L:16670854-16684143(-) </t>
  </si>
  <si>
    <t>AGAP002715-RA</t>
  </si>
  <si>
    <t>agap002715-pa - 68 OH-glycosylation sites -  68 NetOglyc sites</t>
  </si>
  <si>
    <t>AGAP002715-PA</t>
  </si>
  <si>
    <t xml:space="preserve"> os-coluzzii ox-834 pe-4 sv - 68 OH-glycosylation sites -  68 NetOglyc sites</t>
  </si>
  <si>
    <t>ExpAA=0.24 First60=0.01 PredHel=0 Topology=o</t>
  </si>
  <si>
    <t>cd16269, GBP_C, Guanylate-binding protein, C-terminal domain. Guanylate-binding protein (GBP), C-terminal domain. Guanylate-binding proteins (GBPs) are synthesized after activation of the cell by interferons. The biochemical properties of GBPs are clearly different from those of Ras-like and heterotrimeric GTP-binding proteins. They bind guanine nucleotides with low affinity (micromolar range), are stable in their absence, and have a high turnover GTPase. In addition to binding GDP/GTP, they have the unique ability to bind GMP with equal affinity and hydrolyze GTP not only to GDP, but also to GMP. This C-terminal domain has been shown to mediate inhibition of endothelial cell proliferation by inflammatory cytokines.</t>
  </si>
  <si>
    <t>GBP_C 1e-005| PTZ00121 3e-005| ARGLU 9e-005| MAP7 1e-004| retinal_rod 1e-004| TFIIF_alpha 2e-004| PRK12678 3e-004| GBP_C 4e-004| PRK12372 7e-004| PHA03247 0.001|</t>
  </si>
  <si>
    <t>KOG0943, KOG0943, KOG0943, Predicted ubiquitin-protein ligase/hyperplastic discs protein, HECT superfamily [Posttranslational modification, protein turnover, chaperones].</t>
  </si>
  <si>
    <t>pfam15346, ARGLU, Arginine and glutamate-rich 1.  ARGLU, arginine and glutamate-rich 1 protein family, is required for the oestrogen-dependent expression of ESR1 target genes. It functions in cooperation with MED1. The family of proteins is found in eukaryotes.</t>
  </si>
  <si>
    <t xml:space="preserve"> AgamP4_2R:26150873-26163048(+) </t>
  </si>
  <si>
    <t xml:space="preserve">2 | 137    TPSRTTR|GG  0.518 *ProP*  | 394    RSMRQRK|ST  0.577 *ProP*  | </t>
  </si>
  <si>
    <t>AGAP009189-RA</t>
  </si>
  <si>
    <t>Endocytic adaptor protein intersectin - probable fragment - 28 OH-glycosylation sites</t>
  </si>
  <si>
    <t>AGAP009189-PA</t>
  </si>
  <si>
    <t xml:space="preserve"> epidermal growth factor receptor substrate 15-like 1 - 28 OH-glycosylation sites -  28 NetOglyc sites</t>
  </si>
  <si>
    <t>EH 3e-027| EH 5e-019| Smc 4e-016| chromosome_segregation_protein_related...    82   1e-015 1e-015| EF-hand_4 3e-014| Chromosome_partition_protein_Smc 3e-014| PRK03918 6e-011| conserved_hypothetical_protein 1e-010| COG1340 3e-010| APG6 5e-010|</t>
  </si>
  <si>
    <t>KOG0998, KOG0998, KOG0998, Synaptic vesicle protein EHS-1 and related EH domain proteins [Signal transduction mechanisms, Intracellular trafficking, secretion, and vesicular transport].</t>
  </si>
  <si>
    <t>pfam12763, EF-hand_4, Cytoskeletal-regulatory complex EF hand. This is an efhand family from the N-terminal of actin cytoskeleton-regulatory complex END3 and similar proteins from fungi and closely related species.</t>
  </si>
  <si>
    <t xml:space="preserve"> AgamP4_3R:28576181-28590073(+) </t>
  </si>
  <si>
    <t>AGAP004000-RA</t>
  </si>
  <si>
    <t xml:space="preserve">myosin IX </t>
  </si>
  <si>
    <t>myosin IX</t>
  </si>
  <si>
    <t>Myosin class V heavy chain - probable fragment - 12 OH-glycosylation sites -  12 NetOglyc sites</t>
  </si>
  <si>
    <t>AGAP004000-PA</t>
  </si>
  <si>
    <t xml:space="preserve"> protein - 12 OH-glycosylation sites -  12 NetOglyc sites</t>
  </si>
  <si>
    <t>ExpAA=0.77 First60=0.16 PredHel=0 Topology=o</t>
  </si>
  <si>
    <t>cd01385, MYSc_Myo9, class IX myosin, motor domain.  Myosin IX is a processive single-headed motor, which might play a role in signalling. It has a N-terminal RA domain, an IQ domain, a C1_1 domain, and a RhoGAP domain. The catalytic (head) domain has ATPase activity and belongs to the larger group of P-loop NTPases. Myosins are actin-dependent molecular motors that play important roles in muscle contraction, cell motility, and organelle transport. The head domain is a molecular motor, which utilizes ATP hydrolysis to generate directed movement toward the plus end along actin filaments. A cyclical interaction between myosin and actin provides the driving force. Rates of ATP hydrolysis and consequently the speed of movement along actin filaments vary widely, from about 0.04 micrometer per second for myosin I to 4.5 micrometer per second for myosin II in skeletal muscle. Myosin II moves in discrete steps about 5-10 nm long and generates 1-5 piconewtons of force. Upon ATP binding, the myosin head dissociates from an actin filament. ATP hydrolysis causes the head to pivot and associate with a new actin subunit. The release of Pi causes the head to pivot and move the filament (power stroke). Release of ADP completes the cycle. CyMoBase classifications were used to confirm and identify the myosins in this hierarchy. .</t>
  </si>
  <si>
    <t>MYSc_Myo9 | MYSc | MYSc | Myosin_head e-176| MYSc_Myo7 e-170| MYSc_Myo22 e-165| MYSc_Myo1 e-163| MYSc_Myo3 e-161| MYSc_class_II e-161| COG5022 e-160|</t>
  </si>
  <si>
    <t>KOG4229, KOG4229, KOG4229, Myosin VII, myosin IXB and related myosins [Cell motility].</t>
  </si>
  <si>
    <t>pfam00063, Myosin_head, Myosin head (motor domain).</t>
  </si>
  <si>
    <t xml:space="preserve"> AgamP4_2R:47747417-47789918(-) </t>
  </si>
  <si>
    <t xml:space="preserve">2 | 882    ARNRFER|SG  0.592 *ProP*  | 1947    VAKRSKR|IR  0.576 *ProP*  | </t>
  </si>
  <si>
    <t>AGAP008901-RA</t>
  </si>
  <si>
    <t>C2H2-type Zn-finger protein - 10 OH-glycosylation sites</t>
  </si>
  <si>
    <t>AGAP008901-PA</t>
  </si>
  <si>
    <t xml:space="preserve"> zinc finger protein - 10 OH-glycosylation sites</t>
  </si>
  <si>
    <t>ZF_C2H2 1e-018| ZF_C2H2 4e-012| PAT1 9e-010| DUF1421 2e-009| PRK03427 3e-008| PRK10263 1e-007| PHA03247 2e-005| Polyadenylate-binding_protein_3 5e-005| PLN02983 4e-004| PRK12757 5e-004|</t>
  </si>
  <si>
    <t>smart00817, Amelin, Ameloblastin precursor (Amelin).  This family consists of several mammalian Ameloblastin precursor (Amelin) proteins. Matrix proteins of tooth enamel consist mainly of amelogenin but also of non-amelogenin proteins, which, although their volumetric percentage is low, have an important role in enamel mineralisation. One of the non-amelogenin proteins is ameloblastin, also known as amelin and sheathlin. Ameloblastin (AMBN) is one of the enamel sheath proteins which is though to have a role in determining the prismatic structure of growing enamel crystals.</t>
  </si>
  <si>
    <t xml:space="preserve"> AgamP4_3R:20581730-20584218(-) </t>
  </si>
  <si>
    <t>AGAP006599-RA</t>
  </si>
  <si>
    <t xml:space="preserve">ATP-dependent RNA helicase A </t>
  </si>
  <si>
    <t>ATP-dependent RNA helicase A</t>
  </si>
  <si>
    <t>mRNA splicing factor ATP-dependent RNA helicase - probable fragment</t>
  </si>
  <si>
    <t>AGAP006599-PA</t>
  </si>
  <si>
    <t xml:space="preserve"> dexh-box helicase domain of deah-box helicase 9</t>
  </si>
  <si>
    <t>PRK11131, PRK11131, ATP-dependent RNA helicase HrpA; Provisional.</t>
  </si>
  <si>
    <t>PRK11131 2e-072| HrpA 1e-061| ATP-dependent_RNA_helicase_HrpA 8e-045| ATP-dependent_RNA_helicase_HrpB 5e-035| PRK11664 2e-032| DEXDc 8e-022| DEXDc 3e-020| OB_NTP_bind 4e-019| Gly_rich 4e-015| Helicase_C 7e-014|</t>
  </si>
  <si>
    <t>KOG0921, KOG0921, KOG0921, Dosage compensation complex, subunit MLE [Transcription].</t>
  </si>
  <si>
    <t>pfam07717, OB_NTP_bind, Oligonucleotide/oligosaccharide-binding (OB)-fold.  This family is found towards the C-terminus of the DEAD-box helicases (pfam00270). In these helicases it is apparently always found in association with pfam04408. There do seem to be a couple of instances where it occurs by itself. The structure Structure 3i4u adopts an OB-fold. helicases (pfam00270). In these helicases it is apparently always found in association with pfam04408. This C-terminal domain of the yeast helicase contains an oligonucleotide/oligosaccharide-binding (OB)-fold which seems to be placed at the entrance of the putative nucleic acid cavity. It also constitutes the binding site for the G-patch-containing domain of Pfa1p. When found on DEAH/RHA helicases, this domain is central to the regulation of the helicase activity through its binding of both RNA and G-patch domain proteins.</t>
  </si>
  <si>
    <t xml:space="preserve"> AgamP4_2L:34634213-34639283(-) </t>
  </si>
  <si>
    <t xml:space="preserve">1 | 595    GAGRRKR|GK  0.794 *ProP*  | </t>
  </si>
  <si>
    <t>AGAP005583.R491</t>
  </si>
  <si>
    <t>phosphoinositide-3-kinase, regulatory subunit</t>
  </si>
  <si>
    <t>VectorBase: AGAP005583</t>
  </si>
  <si>
    <t>AGAP028653.R391</t>
  </si>
  <si>
    <t>VectorBase: AGAP028653</t>
  </si>
  <si>
    <t>AGAP012226-RA</t>
  </si>
  <si>
    <t>Receptor mediating netrin-dependent axon guidance - probable fragment - signalP detected</t>
  </si>
  <si>
    <t>AGAP012226-PA</t>
  </si>
  <si>
    <t xml:space="preserve"> gnlcdd251 - signalP detected</t>
  </si>
  <si>
    <t xml:space="preserve"> 39-40</t>
  </si>
  <si>
    <t>ExpAA=25.75 First60=0.71 PredHel=1 Topology=o777-799i</t>
  </si>
  <si>
    <t>Ig1_Robo 1e-025| Ig2_Robo 7e-024| I-set 2e-017| Ig_3 5e-013| IG_like 7e-013| IG 7e-013| Ig3_Robo 3e-012| Ig 9e-012| FN3 5e-011| Ig1_Neogenin 1e-010|</t>
  </si>
  <si>
    <t xml:space="preserve"> AgamP4_3L:39134331-39150442(-) </t>
  </si>
  <si>
    <t xml:space="preserve">2 | 385    DGGRKKR|AV  0.881 *ProP*  | 458    LLLRSRR|DT  0.689 *ProP*  | </t>
  </si>
  <si>
    <t>AGAP007537-RA</t>
  </si>
  <si>
    <t>nascent polypeptide-associated complex subunit alpha muscle-specific form-like - 51 OH-glycosylation sites -  51 NetOglyc sites</t>
  </si>
  <si>
    <t>AGAP007537-PA</t>
  </si>
  <si>
    <t xml:space="preserve"> mucin-12-like protein - 51 OH-glycosylation sites -  51 NetOglyc sites</t>
  </si>
  <si>
    <t>cd14259, PUFD_like, PCGF Ub-like fold discriminator and related domains.  The PUFD domain binds the RAWUL (RING finger and WD40-associated ubiquitin-like) domain of the polycomb-group RING finger homologs PCGF1 and PCGF3. PUFD was characterized as a domain of the BCL6 corepressor BCOR. It does not appear to bind to PCGF2 and PCGF4. PCGF1 is a component of the Polycomb group (PcG) multi-protein BCOR complex, which is involved in repressing the transcription of BCL6 and CDKN1A. The BCL-6 corepressor (BCOR) is a transcriptional repressor required for germinal center formation and is possibly involved in apoptosis.</t>
  </si>
  <si>
    <t>PUFD_like 1e-031| ANK 1e-025| ANK 9e-022| Ank_2 4e-016| PHA03247 5e-012| Arp 6e-010| PAT1 7e-010| PRK07764 3e-008| PRK14949 4e-008| rne 1e-007|</t>
  </si>
  <si>
    <t>KOG0509, KOG0509, KOG0509, Ankyrin repeat and DHHC-type Zn-finger domain containing proteins [General function prediction only].</t>
  </si>
  <si>
    <t xml:space="preserve"> AgamP4_2L:47330832-47343167(+) </t>
  </si>
  <si>
    <t>AGAP004211-RA</t>
  </si>
  <si>
    <t>Adaptor protein CMS/SETA - probable fragment - 21 OH-glycosylation sites -  21 NetOglyc sites</t>
  </si>
  <si>
    <t>AGAP004211-PA</t>
  </si>
  <si>
    <t xml:space="preserve"> sh3 domain-containing kinase-binding protein 1 isoform x1 - 21 OH-glycosylation sites -  21 NetOglyc sites</t>
  </si>
  <si>
    <t>cd11875, SH3_CD2AP-like_3, Third Src Homology 3 domain (SH3C) of CD2-associated protein and similar proteins.  This subfamily is composed of the third SH3 domain (SH3C) of CD2AP, CIN85 (Cbl-interacting protein of 85 kDa), and similar domains. CD2AP and CIN85 are adaptor proteins that bind to protein partners and assemble complexes that have been implicated in T cell activation, kidney function, and apoptosis of neuronal cells. They also associate with endocytic proteins, actin cytoskeleton components, and other adaptor proteins involved in receptor tyrosine kinase (RTK) signaling. CD2AP and the main isoform of CIN85 contain three SH3 domains, a proline-rich region, and a C-terminal coiled-coil domain. All of these domains enable CD2AP and CIN85 to bind various protein partners and assemble complexes that have been implicated in many different functions. SH3C of both proteins have been shown to bind to ubiquitin. SH3 domains are protein interaction domains that bind to proline-rich ligands with moderate affinity and selectivity, preferentially to PxxP motifs. They play versatile and diverse roles in the cell including the regulation of enzymes, changing the subcellular localization of signaling pathway components, and mediating the formation of multiprotein complex assemblies.</t>
  </si>
  <si>
    <t>SH3_CD2AP-like_3 7e-024| SH3_CD2AP-like_1 3e-022| SH3_CD2AP-like_2 5e-022| SH3_D21-like 7e-020| SH3_CIN85_3 8e-020| SH3_CD2AP_3 3e-018| SH3_CIN85_1 2e-016| SH3_Nostrin 7e-016| SH3_CD2AP_2 1e-015| SH3 2e-014|</t>
  </si>
  <si>
    <t>KOG4348, KOG4348, KOG4348, Adaptor protein CMS/SETA [Signal transduction mechanisms].</t>
  </si>
  <si>
    <t>pfam00018, SH3_1, SH3 domain.  SH3 (Src homology 3) domains are often indicative of a protein involved in signal transduction related to cytoskeletal organisation. First described in the Src cytoplasmic tyrosine kinase. The structure is a partly opened beta barrel.</t>
  </si>
  <si>
    <t xml:space="preserve"> AgamP4_2R:51921445-51933174(+) </t>
  </si>
  <si>
    <t>AGAP002036-RA</t>
  </si>
  <si>
    <t xml:space="preserve">zinc finger, FYVE domain containing 1 </t>
  </si>
  <si>
    <t>zinc finger, FYVE domain containing 1</t>
  </si>
  <si>
    <t>Membrane trafficking and cell signaling protein HRS contains VHS and FYVE</t>
  </si>
  <si>
    <t>AGAP002036-PA</t>
  </si>
  <si>
    <t xml:space="preserve"> zinc finger fyve domain-containing protein 1</t>
  </si>
  <si>
    <t>cd01851, GBP, Guanylate-binding protein (GBP) family (N-terminal domain).  Guanylate-binding protein (GBP), N-terminal domain. Guanylate-binding proteins (GBPs) define a group of proteins that are synthesized after activation of the cell by interferons. The biochemical properties of GBPs are clearly different from those of Ras-like and heterotrimeric GTP-binding proteins. They bind guanine nucleotides with low affinity (micromolar range), are stable in their absence and have a high turnover GTPase. In addition to binding GDP/GTP, they have the unique ability to bind GMP with equal affinity and hydrolyze GTP not only to GDP, but also to GMP. Furthermore, two unique regions around the base and the phosphate-binding areas, the guanine and the phosphate caps, respectively, give the nucleotide-binding site a unique appearance not found in the canonical GTP-binding proteins. The phosphate cap, which constitutes the region analogous to switch I, completely shields the phosphate-binding site from solvent such that a potential GTPase-activating protein (GAP) cannot approach.</t>
  </si>
  <si>
    <t>GBP 1e-027| FYVE_ZFYV1 6e-020| FYVE 3e-015| FYVE_RUFY1_like 4e-014| FYVE_MTMR4 1e-012| FYVE_EEA1 2e-012| FYVE 1e-011| FYVE_LST2 3e-011| FYVE_RUFY1 6e-011| FYVE_WDFY1_like 7e-011|</t>
  </si>
  <si>
    <t>KOG1818, KOG1818, KOG1818, Membrane trafficking and cell signaling protein HRS, contains VHS and FYVE domains [Signal transduction mechanisms, Intracellular trafficking, secretion, and vesicular transport].</t>
  </si>
  <si>
    <t>pfam01363, FYVE, FYVE zinc finger.  The FYVE zinc finger is named after four proteins that it has been found in: Fab1, YOTB/ZK632.12, Vac1, and EEA1. The FYVE finger has been shown to bind two Zn++ ions. The FYVE finger has eight potential zinc coordinating cysteine positions. Many members of this family also include two histidines in a motif R+HHC+XCG, where + represents a charged residue and X any residue. We have included members which do not conserve these histidine residues but are clearly related.</t>
  </si>
  <si>
    <t>smart00064, FYVE, Protein present in Fab1, YOTB, Vac1, and EEA1. The FYVE zinc finger is named after four proteins where it was first found: Fab1, YOTB/ZK632.12, Vac1, and EEA1. The FYVE finger has been shown to bind two Zn2+ ions. The FYVE finger has eight potential zinc coordinating cysteine positions. The FYVE finger is structurally related to the PHD finger and the RING finger. Many members of this family also include two histidines in a motif R+HHC+XCG, where + represents a charged residue and X any residue. The FYVE finger functions in the membrane recruitment of cytosolic proteins by binding to phosphatidylinositol 3-phosphate (PI3P), which is prominent on endosomes. The R+HHC+XCG motif is critical for PI3P binding.</t>
  </si>
  <si>
    <t xml:space="preserve"> AgamP4_2R:14119307-14124059(+) </t>
  </si>
  <si>
    <t>AGAP007803.R399</t>
  </si>
  <si>
    <t>VectorBase: AGAP007803</t>
  </si>
  <si>
    <t>AGAP000116-RA</t>
  </si>
  <si>
    <t xml:space="preserve">Rab11 family-interacting protein 1/2/5 </t>
  </si>
  <si>
    <t>Rab11 family-interacting protein 1/2/5</t>
  </si>
  <si>
    <t>Protein kinase C conserved region 2 - 13 OH-glycosylation sites -  13 NetOglyc sites</t>
  </si>
  <si>
    <t>AGAP000116-PA</t>
  </si>
  <si>
    <t xml:space="preserve"> c2 domain found in rab11-family - 13 OH-glycosylation sites -  13 NetOglyc sites</t>
  </si>
  <si>
    <t>ExpAA=0.17 First60=0.02 PredHel=0 Topology=o</t>
  </si>
  <si>
    <t>cd08682, C2_Rab11-FIP_classI, C2 domain found in Rab11-family interacting proteins (FIP) class I.  Rab GTPases recruit various effector proteins to organelles and vesicles. Rab11-family interacting proteins (FIPs) are involved in mediating the role of Rab11. FIPs can be divided into three classes: class I FIPs (Rip11a, Rip11b, RCP, and FIP2) which contain a C2 domain after N-terminus of the protein, class II FIPs (FIP3 and FIP4) which contain two EF-hands and a proline rich region, and class III FIPs (FIP1) which exhibits no homology to known protein domains. All FIP proteins contain a highly conserved, 20-amino acid motif at the C-terminus of the protein, known as Rab11/25 binding domain (RBD).  Class I FIPs are thought to bind to endocytic membranes via their C2 domain, which interacts directly with phospholipids. Class II FIPs do not have any membrane binding domains leaving much to speculate about the mechanism involving FIP3 and FIP4 interactions with endocytic membranes. The members in this CD are class I FIPs.  The exact function of the Rab11 and FIP interaction is unknown, but there is speculation that it involves the role of forming a targeting complex that recruits a group of proteins involved in membrane transport to organelles. The C2 domain was first identified in PKC. C2 domains fold into an 8-standed beta-sandwich that can adopt 2 structural arrangements: Type I and Type II, distinguished by a circular permutation involving their N- and C-terminal beta strands. Many C2 domains are Ca2+-dependent membrane-targeting modules that bind a wide variety of substances including bind phospholipids, inositol polyphosphates, and intracellular proteins. Most C2 domain proteins are either signal transduction enzymes that contain a single C2 domain, such as protein kinase C, or membrane trafficking proteins which contain at least two C2 domains, such as synaptotagmin 1.  However, there are a few exceptions to this including RIM isoforms and some splice variants of piccolo/aczonin and intersectin which only have a single C2 domain. C2 domains with a calcium binding region have negatively charged residues, primarily aspartates, that serve as ligands for calcium ions.</t>
  </si>
  <si>
    <t>C2_Rab11-FIP_classI 1e-040| C2 5e-016| C2 5e-016| C2 1e-011| C2B_Synaptotagmin 3e-010| RBD-FIP 6e-010| C2C_MCTP_PRT_plant 4e-008| C2C_MCTP_PRT 2e-007| C2D_Tricalbin-like 7e-007| C2A_Synaptotagmin-like 3e-005|</t>
  </si>
  <si>
    <t>KOG1028, KOG1028, KOG1028, Ca2+-dependent phospholipid-binding protein Synaptotagmin, required for synaptic vesicle and secretory granule exocytosis [Signal transduction mechanisms, Intracellular trafficking, secretion, and vesicular transport].</t>
  </si>
  <si>
    <t>pfam00168, C2, C2 domain.</t>
  </si>
  <si>
    <t xml:space="preserve"> AgamP4_X:1919557-1924926(-) </t>
  </si>
  <si>
    <t xml:space="preserve">1 | 353    TDSLKRR|SW  0.567 *ProP*  | </t>
  </si>
  <si>
    <t>AGAP008488.R423</t>
  </si>
  <si>
    <t>VectorBase: AGAP008488</t>
  </si>
  <si>
    <t>AGAP008516-RB</t>
  </si>
  <si>
    <t xml:space="preserve">nicotinate phosphoribosyltransferase </t>
  </si>
  <si>
    <t>nicotinate phosphoribosyltransferase</t>
  </si>
  <si>
    <t>Nicotinic acid phosphoribosyltransferase</t>
  </si>
  <si>
    <t>AGAP008516-PB</t>
  </si>
  <si>
    <t>ExpAA=1.20 First60=0.03 PredHel=0 Topology=o</t>
  </si>
  <si>
    <t>PLN02885, PLN02885, nicotinate phosphoribosyltransferase.</t>
  </si>
  <si>
    <t>PLN02885 | NAPRTase_A e-142| Nicotinate_phosphoribosyltransferase_p...   481   e-136 e-136| PRK09243 e-135| NAPRTase_PncB 1e-089| PRK12484 1e-088| PncB 2e-082| PRTase_typeII 5e-054| NAPRTase_B 8e-026| PRK08662 2e-019|</t>
  </si>
  <si>
    <t>KOG2511, KOG2511, KOG2511, Nicotinic acid phosphoribosyltransferase [Coenzyme transport and metabolism].</t>
  </si>
  <si>
    <t>pfam04095, NAPRTase, Nicotinate phosphoribosyltransferase (NAPRTase) family.  Nicotinate phosphoribosyltransferase (EC:2.4.2.11) is the rate limiting enzyme that catalyzes the first reaction in the NAD salvage synthesis. This family also includes Pre-B cell enhancing factor that is a cytokine (NAMPT). This family is related to Quinolinate phosphoribosyltransferase pfam01729.</t>
  </si>
  <si>
    <t>smart00633, Glyco_10, Glycosyl hydrolase family 10.</t>
  </si>
  <si>
    <t xml:space="preserve"> AgamP4_3R:11698759-11717549(-) </t>
  </si>
  <si>
    <t>AGAP005583.R490</t>
  </si>
  <si>
    <t>AGAP005881-RA</t>
  </si>
  <si>
    <t xml:space="preserve">sentrin-specific protease 7 </t>
  </si>
  <si>
    <t>sentrin-specific protease 7</t>
  </si>
  <si>
    <t>Sentrin-specific protease 6 - probable fragment - 31 OH-glycosylation sites -  31 NetOglyc sites</t>
  </si>
  <si>
    <t>AGAP005881-PA</t>
  </si>
  <si>
    <t xml:space="preserve"> tra0ai8jvj6a0ai8jvj6 anoqn ulp prote - 31 OH-glycosylation sites -  31 NetOglyc sites</t>
  </si>
  <si>
    <t>COG5160, ULP1, Protease, Ulp1 family [Posttranslational modification, protein turnover, chaperones].</t>
  </si>
  <si>
    <t>ULP1 2e-023| Peptidase_C48 5e-017| PAT1 1e-012| DUF4175 2e-010| Med15 9e-009| PRK10263 1e-008| Activator_LAG-3 5e-008| tolA 2e-007| Nuclease_SbcCD_subunit_C 3e-006| PRK12757 4e-006|</t>
  </si>
  <si>
    <t>KOG0779, KOG0779, KOG0779, Protease, Ulp1 family [Posttranslational modification, protein turnover, chaperones].</t>
  </si>
  <si>
    <t>pfam02902, Peptidase_C48, Ulp1 protease family, C-terminal catalytic domain.  This domain contains the catalytic triad Cys-His-Asn.</t>
  </si>
  <si>
    <t xml:space="preserve"> AgamP4_2L:23123719-23131205(-) </t>
  </si>
  <si>
    <t xml:space="preserve">2 | 1177    KCQRCKR|IF  0.575 *ProP*  | 1673    SAPRSKR|NL  0.726 *ProP*  | </t>
  </si>
  <si>
    <t>Q(3.64)</t>
  </si>
  <si>
    <t>AGAP000708.R364</t>
  </si>
  <si>
    <t>phosphorylase kinase alpha/beta subunit</t>
  </si>
  <si>
    <t>VectorBase: AGAP000708</t>
  </si>
  <si>
    <t>AGAP000171-RA</t>
  </si>
  <si>
    <t xml:space="preserve">E3 ubiquitin-protein ligase </t>
  </si>
  <si>
    <t>E3 ubiquitin-protein ligase</t>
  </si>
  <si>
    <t>E3 ubiquitin-protein ligase UBR1 - probable fragment</t>
  </si>
  <si>
    <t>AGAP000171-PA</t>
  </si>
  <si>
    <t xml:space="preserve"> e3 ubiquitin-protein ligase ubr2 isoform x1</t>
  </si>
  <si>
    <t>pfam02207, zf-UBR, Putative zinc finger in N-recognin (UBR box). This region is found in E3 ubiquitin ligases that recognize N-recognins.</t>
  </si>
  <si>
    <t>zf-UBR 2e-029| ZnF_UBR1 3e-024| ClpS 8e-016| PRK07764 2e-007| PRK07003 2e-006| PHA03307 5e-005| PRK12323 8e-004| PHA03378 9e-004| PRK12678 0.004| CRISPR-associated_protein_GSU0054_fami...    40   0.009 0.009|</t>
  </si>
  <si>
    <t>KOG1140, KOG1140, KOG1140, N-end rule pathway, recognition component UBR1 [Posttranslational modification, protein turnover, chaperones].</t>
  </si>
  <si>
    <t>smart00396, ZnF_UBR1, Putative zinc finger in N-recognin, a recognition component of the N-end rule pathway.  Domain is involved in recognition of N-end rule substrates in yeast Ubr1p.</t>
  </si>
  <si>
    <t xml:space="preserve"> AgamP4_X:2912516-2920208(+) </t>
  </si>
  <si>
    <t xml:space="preserve">1 | 1075    VQHRERR|FV  0.795 *ProP*  | </t>
  </si>
  <si>
    <t>AGAP002832-RA</t>
  </si>
  <si>
    <t xml:space="preserve">protein-tyrosine phosphatase </t>
  </si>
  <si>
    <t>Protein tyrosine phosphatase Corkscrew - probable fragment - 22 OH-glycosylation sites - 2 predicted membrane helices</t>
  </si>
  <si>
    <t>AGAP002832-PA</t>
  </si>
  <si>
    <t xml:space="preserve"> receptor tyrosine-protein phosphatase gamma - 22 OH-glycosylation sites -  22 NetOglyc sites - 2 predicted membrane helices</t>
  </si>
  <si>
    <t>ExpAA=29.31 First60=0.00 PredHel=1 Topology=i324-346o</t>
  </si>
  <si>
    <t>smart00194, PTPc, Protein tyrosine phosphatase, catalytic domain.</t>
  </si>
  <si>
    <t>PTPc 4e-097| PTPc 1e-095| Y_phosphatase 1e-092| PTP2 1e-047| PHA02747 9e-042| PHA02738 2e-039| PHA02742 6e-037| PHA02746 3e-036| PTPc_motif 5e-033| PTPc_DSPc 5e-033|</t>
  </si>
  <si>
    <t>KOG4228, KOG4228, KOG4228, Protein tyrosine phosphatase [Signal transduction mechanisms].</t>
  </si>
  <si>
    <t>pfam00102, Y_phosphatase, Protein-tyrosine phosphatase.</t>
  </si>
  <si>
    <t xml:space="preserve"> AgamP4_2R:28092164-28099318(-) </t>
  </si>
  <si>
    <t>AGAP013524-RA</t>
  </si>
  <si>
    <t>elongation factor 1-alpha - 18 OH-glycosylation sites -  18 NetOglyc sites</t>
  </si>
  <si>
    <t>AGAP013524-PA</t>
  </si>
  <si>
    <t xml:space="preserve"> zf-ad domain-containing protein os-quadriannulatus ox-3469 pe-4 sv - 18 OH-glycosylation sites -  18 NetOglyc sites</t>
  </si>
  <si>
    <t>zf-AD 4e-015| zf-AD 1e-013| FLYWCH 8e-007| PAT1 6e-006| SelP_N 2e-005| DUF1421 4e-004| Amelogenin 0.002| PRK10263 0.003| PRK12757 0.003| UPF0560 0.003|</t>
  </si>
  <si>
    <t>KOG1883, KOG1883, KOG1883, Cofactor required for Sp1 transcriptional activation, subunit 3 [Transcription].</t>
  </si>
  <si>
    <t xml:space="preserve"> AgamP4_2R:50690230-50692141(-) </t>
  </si>
  <si>
    <t>AGAP011831-RA</t>
  </si>
  <si>
    <t xml:space="preserve">H/ACA ribonucleoprotein complex non-core subunit NAF1 </t>
  </si>
  <si>
    <t>H/ACA ribonucleoprotein complex non-core subunit NAF1</t>
  </si>
  <si>
    <t>agap011831-pa partial - 13 OH-glycosylation sites -  13 NetOglyc sites</t>
  </si>
  <si>
    <t>AGAP011831-PA</t>
  </si>
  <si>
    <t xml:space="preserve"> h/aca ribonucleoprotein complex non-core subunit naf1 - 13 OH-glycosylation sites -  13 NetOglyc sites</t>
  </si>
  <si>
    <t>pfam04410, Gar1, Gar1/Naf1 RNA binding region.  Gar1 is a small nucleolar RNP that is required for pre-mRNA processing and pseudouridylation. It is co-immunoprecipitated with the H/ACA families of snoRNAs. This family represents the conserved central region of Gar1. This region is necessary and sufficient for normal cell growth, and specifically binds two snoRNAs snR10 and snR30. This region is also necessary for nucleolar targeting, and it is thought that the protein is co-transported to the nucleolus as part of a nucleoprotein complex. In humans, Gar1 is also component of telomerase in vivo. Naf1 is an essential protein that plays a role in ribosome biogenesis, modification of spliceosomal small nuclear RNAs and telomere synthesis, and is homologous to Gar1.</t>
  </si>
  <si>
    <t>Gar1 3e-034| PAT1 1e-005| rne 3e-005| PRK10263 2e-004| DUF1421 0.001| Activator_LAG-3 0.003| Med15 0.004| FAM222A 0.008| G_path_suppress 0.015| RCR 0.015|</t>
  </si>
  <si>
    <t>KOG2236, KOG2236, KOG2236, Uncharacterized conserved protein [Function unknown].</t>
  </si>
  <si>
    <t xml:space="preserve"> AgamP4_3L:33890482-33892374(-) </t>
  </si>
  <si>
    <t>AGAP000141-RA</t>
  </si>
  <si>
    <t>C2H2-type Zn-finger protein - probable fragment - 27 OH-glycosylation sites -  27 NetOglyc sites</t>
  </si>
  <si>
    <t>AGAP000141-PA</t>
  </si>
  <si>
    <t xml:space="preserve"> zinc finger protein - 27 OH-glycosylation sites -  27 NetOglyc sites</t>
  </si>
  <si>
    <t>ZF_C2H2 7e-023| Nop14 5e-020| Mpp10 9e-018| retinal_rod 2e-016| SDA1 2e-015| ZF_C2H2 4e-015| MDN1 5e-013| COG5137 8e-013| RpoE 3e-012| PTZ00341 5e-012|</t>
  </si>
  <si>
    <t>pfam04147, Nop14, Nop14-like family.  Emg1 and Nop14 are novel proteins whose interaction is required for the maturation of the 18S rRNA and for 40S ribosome production.</t>
  </si>
  <si>
    <t xml:space="preserve"> AgamP4_X:2158828-2166394(-) </t>
  </si>
  <si>
    <t xml:space="preserve">2 | 575    GSSKRFR|SA  0.567 *ProP*  | 1948    CRMCGKR|FV  0.504 *ProP*  | </t>
  </si>
  <si>
    <t>AGAP001368-RB</t>
  </si>
  <si>
    <t>AGAP001368-PB</t>
  </si>
  <si>
    <t xml:space="preserve"> dde tnp4 domain-containing protein os-quadriannulatus ox-3469 pe-3 sv</t>
  </si>
  <si>
    <t>Human herpesvirus 8 type P (isolate GK18)</t>
  </si>
  <si>
    <t>PRK12678 3e-007| retinal_rod 6e-007| PHA03169 5e-005| MDN1 8e-005| DUF4775 1e-004| CobT 2e-004| Paf1 3e-004| Smc 6e-004| PTZ00121 0.002| mukB 0.003|</t>
  </si>
  <si>
    <t>pfam16001, DUF4775, Domain of unknown function (DUF4775).  This family of proteins is functionally uncharacterized. This family of proteins is found in eukaryotes. Proteins in this family are typically between 308 and 484 amino acids in length.</t>
  </si>
  <si>
    <t xml:space="preserve"> AgamP4_2R:3643044-3645080(+) </t>
  </si>
  <si>
    <t xml:space="preserve">1 | 578    HGSRRNR|VA  0.550 *ProP*  | </t>
  </si>
  <si>
    <t>AGAP004143-RA</t>
  </si>
  <si>
    <t>Rap1-GTPase-activating protein (Rap1GAP) - probable fragment</t>
  </si>
  <si>
    <t>AGAP004143-PA</t>
  </si>
  <si>
    <t xml:space="preserve"> ral gtpase-activating protein subunit alpha-2 isoform x3</t>
  </si>
  <si>
    <t>pfam02145, Rap_GAP, Rap/ran-GAP.</t>
  </si>
  <si>
    <t>Rap_GAP 2e-054| SpmB | Med24_N | Endonuclease_MutS2 | M48A_Ste24p-like | PRK07003 | SR-25 | STKc_VRK | Loricrin | COG1193 |</t>
  </si>
  <si>
    <t>KOG3686, KOG3686, KOG3686, Rap1-GTPase-activating protein (Rap1GAP) [Signal transduction mechanisms].</t>
  </si>
  <si>
    <t>smart00537, DCX, Domain in the Doublecortin (DCX) gene product. Tandemly-repeated domain in doublin, the Doublecortin gene product. Proposed to bind tubulin. Doublecortin (DCX) is mutated in human X-linked neuronal migration defects.</t>
  </si>
  <si>
    <t xml:space="preserve"> AgamP4_2R:50706917-50716250(-) </t>
  </si>
  <si>
    <t xml:space="preserve">3 | 808    RKSRARR|RL  0.685 *ProP*  | 811    RARRRLR|IA  0.512 *ProP*  | 2053    NASRAKR|SS  0.782 *ProP*  | </t>
  </si>
  <si>
    <t>AGAP009303.R209</t>
  </si>
  <si>
    <t>VectorBase: AGAP009303</t>
  </si>
  <si>
    <t>AGAP000512-RC</t>
  </si>
  <si>
    <t xml:space="preserve">Transcriptional enhancer factor [Source:UniProtKB/TrEMBL;Acc:A0A1S4G9T4] </t>
  </si>
  <si>
    <t>Transcriptional enhancer factor</t>
  </si>
  <si>
    <t>TEF-1</t>
  </si>
  <si>
    <t>AGAP000512-PC</t>
  </si>
  <si>
    <t xml:space="preserve"> transcriptional enhancer factor tef-1 isoform x8</t>
  </si>
  <si>
    <t>smart00426, TEA, TEA domain.</t>
  </si>
  <si>
    <t>TEA 7e-033| TEA 1e-022| ATP-dependent_6-phosphofructokinase | Cypo_polyhedrin | protein_chvA_Attachment_protein. | PHA03100 | PRK13029 | Pro-kuma_activ | mpi |</t>
  </si>
  <si>
    <t>KOG3841, KOG3841, KOG3841, TEF-1 and related transcription factor, TEAD family [Transcription].</t>
  </si>
  <si>
    <t>pfam01285, TEA, TEA/ATTS domain family.</t>
  </si>
  <si>
    <t>AGAP006133-RA</t>
  </si>
  <si>
    <t xml:space="preserve">nucleosome-remodeling factor subunit BPTF </t>
  </si>
  <si>
    <t>nucleosome-remodeling factor subunit BPTF</t>
  </si>
  <si>
    <t>Nucleosome remodeling factor subunit NURF301/BPTF - probable fragment</t>
  </si>
  <si>
    <t>AGAP006133-PA</t>
  </si>
  <si>
    <t xml:space="preserve"> nucleosome remodeling factor</t>
  </si>
  <si>
    <t>cd05509, Bromo_gcn5_like, Bromodomain; Gcn5_like subfamily. Gcn5p is a histone acetyltransferase (HAT) which mediates acetylation of histones at lysine residues; such acetylation is generally correlated with the activation of transcription. Bromodomains are 110 amino acid long domains, that are found in many chromatin associated proteins. Bromodomains can interact specifically with acetylated lysine.</t>
  </si>
  <si>
    <t>Bromo_gcn5_like 2e-042| BROMO 2e-029| Bromodomain 2e-029| PHD2_3_BPTF 2e-026| Bromo_Acf1_like 2e-023| PHD1_BPTF 7e-023| Bromodomain 3e-022| Bromo_Brdt_II_like 4e-022| Bromo_BAZ2A_B_like 4e-021| PHD_PHF2_like 1e-020|</t>
  </si>
  <si>
    <t>KOG1473, KOG1473, KOG1473, Nucleosome remodeling factor, subunit NURF301/BPTF [Chromatin structure and dynamics, Transcription].</t>
  </si>
  <si>
    <t xml:space="preserve"> AgamP4_2L:27049136-27068621(-) </t>
  </si>
  <si>
    <t xml:space="preserve">3 | 817    LEKREKR|ER  0.651 *ProP*  | 1081    LRNRQYR|EK  0.540 *ProP*  | 2733    KRSRPSK|ST  0.520 *ProP*  | </t>
  </si>
  <si>
    <t>AGAP000489-RA</t>
  </si>
  <si>
    <t xml:space="preserve">Eph receptor B1 </t>
  </si>
  <si>
    <t>Eph receptor B1</t>
  </si>
  <si>
    <t>Catalytic domain of Ephrin Receptor Protein Tyrosine Kinases - signalP detected</t>
  </si>
  <si>
    <t>AGAP000489-PA</t>
  </si>
  <si>
    <t xml:space="preserve"> ephrin type-a receptor 5-like protein - signalP detected</t>
  </si>
  <si>
    <t>ExpAA=42.60 First60=0.01 PredHel=1 Topology=o607-629i</t>
  </si>
  <si>
    <t>cd05033, PTKc_EphR, Catalytic domain of Ephrin Receptor Protein Tyrosine Kinases.  PTKs catalyze the transfer of the gamma-phosphoryl group from ATP to tyrosine (tyr) residues in protein substrates. EphRs comprise the largest subfamily of receptor PTKs (RTKs). They can be classified into two classes (EphA and EphB), according to their extracellular sequences, which largely correspond to binding preferences for either GPI-anchored ephrin-A ligands or transmembrane ephrin-B ligands. Vertebrates have ten EphA and six EphB receptors, which display promiscuous ligand interactions within each class. EphRs contain an ephrin binding domain and two fibronectin repeats extracellularly, a transmembrane segment, and a cytoplasmic tyr kinase domain. Binding of the ephrin ligand to EphR requires cell-cell contact since both are anchored to the plasma membrane. This allows ephrin/EphR dimers to form, leading to the activation of the intracellular tyr kinase domain. The resulting downstream signals occur bidirectionally in both EphR-expressing cells (forward signaling) and ephrin-expressing cells (reverse signaling). The main effect of ephrin/EphR interaction is cell-cell repulsion or adhesion. Ephrin/EphR signaling is important in neural development and plasticity, cell morphogenesis and proliferation, cell-fate determination, embryonic development, tissue patterning, and angiogenesis.The EphR subfamily is part of a larger superfamily that includes the catalytic domains of other kinases such as protein serine/threonine kinases, RIO kinases, aminoglycoside phosphotransferase, choline kinase, and phosphoinositide 3-kinase.</t>
  </si>
  <si>
    <t>PTKc_EphR e-157| PTKc_EphR_A e-136| PTKc_EphR_B e-130| PTKc_EphR_A2 e-119| Pkinase_Tyr e-114| TyrKc e-108| STYKc e-107| PTKc e-103| PTKc_EphR_A10 e-101| PTKc_Src_like 2e-084|</t>
  </si>
  <si>
    <t>KOG0196, KOG0196, KOG0196, Tyrosine kinase, EPH (ephrin) receptor family [Signal transduction mechanisms].</t>
  </si>
  <si>
    <t>pfam07714, Pkinase_Tyr, Protein tyrosine kinase.</t>
  </si>
  <si>
    <t>smart00219, TyrKc, Tyrosine kinase, catalytic domain. Phosphotransferases. Tyrosine-specific kinase subfamily.</t>
  </si>
  <si>
    <t xml:space="preserve"> AgamP4_X:8635241-8667713(-) </t>
  </si>
  <si>
    <t>AGAP012023-RA</t>
  </si>
  <si>
    <t>agap012023-pa partial - 19 OH-glycosylation sites -  19 NetOglyc sites</t>
  </si>
  <si>
    <t>AGAP012023-PA</t>
  </si>
  <si>
    <t xml:space="preserve"> protein - 19 OH-glycosylation sites -  19 NetOglyc sites</t>
  </si>
  <si>
    <t>pfam07535, zf-DBF, DBF zinc finger.  This domain is predicted to bind metal ions and is often found associated with pfam00533 and pfam02178. It was first identified in the Drosophila chiffon gene product, and is associated with initiation of DNA replication.</t>
  </si>
  <si>
    <t>zf-DBF 4e-013| retinal_rod 2e-010| Mpp10 5e-009| ZnF_DBF 2e-008| CDC45 6e-008| PRK12678 1e-007| Nop14 1e-007| DUF2457 1e-007| MDN1 4e-007| PHA03307 2e-006|</t>
  </si>
  <si>
    <t>KOG2030, KOG2030, KOG2030, Predicted RNA-binding protein [General function prediction only].</t>
  </si>
  <si>
    <t xml:space="preserve"> AgamP4_3L:36525346-36535069(+) </t>
  </si>
  <si>
    <t xml:space="preserve">10 | 389    STTRIKR|GP  0.617 *ProP*  | 858    GAGRRKR|NP  0.608 *ProP*  | 1352    RARRRRR|SQ  0.721 *ProP*  | 1407    VKSRRGR|GA  0.627 *ProP*  | 1453    GRGRGRR|GG  0.673 *ProP*  | 1463    AGRRGRR|GA  0.642 *ProP*  | 2219    SVRRKQR|ED  0.504 *ProP*  | 2241    GRRGRKR|SV  0.816 *ProP*  | 2820    AGGRKKK|DS  0.503 *ProP*  | 2941    HHQRQRR|ES  0.635 *ProP*  | </t>
  </si>
  <si>
    <t>AGAP002949-RA</t>
  </si>
  <si>
    <t>Neural cell adhesion molecule L1 - probable fragment</t>
  </si>
  <si>
    <t>AGAP002949-PA</t>
  </si>
  <si>
    <t xml:space="preserve"> gnlcdd250</t>
  </si>
  <si>
    <t>ExpAA=33.28 First60=6.55 PredHel=1 Topology=o1153-1175i</t>
  </si>
  <si>
    <t>I-set 3e-010| Ig 3e-010| Ig_3 3e-009| IGc2 1e-008| IG_like 3e-008| IG 3e-008| Ig4_Neogenin 3e-008| Ig4_Contactin-2-like 5e-008| Ig3_Contactin 1e-006| Ig1_Robo 2e-006|</t>
  </si>
  <si>
    <t>KOG3513, KOG3513, KOG3513, Neural cell adhesion molecule L1 [Signal transduction mechanisms].</t>
  </si>
  <si>
    <t>smart00408, IGc2, Immunoglobulin C-2 Type.</t>
  </si>
  <si>
    <t xml:space="preserve"> AgamP4_2R:30025756-30049883(-) </t>
  </si>
  <si>
    <t xml:space="preserve">6 | 171    ERRRRRR|RK  0.584 *ProP*  | 172    RRRRRRR|KR  0.548 *ProP*  | 174    RRRRRKR|YV  0.900 *ProP*  | 682    RLSRGIR|CA  0.644 *ProP*  | 797    QRRRRRR|RQ  0.621 *ProP*  | 798    RRRRRRR|QS  0.761 *ProP*  | </t>
  </si>
  <si>
    <t>AGAP000017-RC</t>
  </si>
  <si>
    <t>Lysosomal trafficking regulator LYST - probable fragment</t>
  </si>
  <si>
    <t>AGAP000017-PC</t>
  </si>
  <si>
    <t xml:space="preserve"> neutral sphingomyelinase activation associated factor</t>
  </si>
  <si>
    <t>ExpAA=2.92 First60=0.00 PredHel=0 Topology=o</t>
  </si>
  <si>
    <t>Drosophila ananassae</t>
  </si>
  <si>
    <t>Beach e-163| Beach e-154| Beach e-138| DUF4704 e-117| DUF1088 9e-078| PH_BEACH 7e-035| PH_BEACH 4e-028| WD40 4e-019| 7WD40 7e-017| COG2319 2e-012|</t>
  </si>
  <si>
    <t>KOG1787, KOG1787, KOG1787, Kinase A-anchor protein Neurobeachin and related BEACH and WD40 repeat proteins [Intracellular trafficking, secretion, and vesicular transport].</t>
  </si>
  <si>
    <t xml:space="preserve"> AgamP4_X:212901-233263(+) </t>
  </si>
  <si>
    <t xml:space="preserve">1 | 2298    DARRRKR|MV  0.760 *ProP*  | </t>
  </si>
  <si>
    <t>AGAP007440-RA</t>
  </si>
  <si>
    <t>DNA topoisomerase 2-associated protein PAT1</t>
  </si>
  <si>
    <t>agap007440-pa - 10 OH-glycosylation sites</t>
  </si>
  <si>
    <t>AGAP007440-PA</t>
  </si>
  <si>
    <t>protein pat1 log 1 - 10 OH-glycosylation sites</t>
  </si>
  <si>
    <t>PAT1 2e-014| PHA03247 5e-009| SOBP 1e-008| BAF1_ABF1 4e-008| Med15 9e-007| PHA03378 2e-006| Atrophin-1 3e-006| SelP_N 5e-006| PHA03307 5e-004| NUT 8e-004|</t>
  </si>
  <si>
    <t>KOG4592, KOG4592, KOG4592, Uncharacterized conserved protein [Function unknown].</t>
  </si>
  <si>
    <t xml:space="preserve"> AgamP4_2L:46622717-46627516(-) </t>
  </si>
  <si>
    <t xml:space="preserve">2 | 557    GFGRERR|NS  0.588 *ProP*  | 680    QQMREKR|DK  0.793 *ProP*  | </t>
  </si>
  <si>
    <t>AGAP000530-RB</t>
  </si>
  <si>
    <t xml:space="preserve">Werner Syndrome-like exonuclease </t>
  </si>
  <si>
    <t>Werner Syndrome-like exonuclease</t>
  </si>
  <si>
    <t>AGAP000530-PB</t>
  </si>
  <si>
    <t xml:space="preserve"> tra0a82xef0a0a82xef0 anoqn 3'-' exonucle</t>
  </si>
  <si>
    <t>Drosophila yakuba</t>
  </si>
  <si>
    <t>cd06141, WRN_exo, DEDDy 3'-5' exonuclease domain of WRN and similar proteins.  WRN is a unique RecQ DNA helicase exhibiting an exonuclease activity. It contains a DEDDy-type DnaQ-like 3'-5' exonuclease domain possessing three conserved sequence motifs termed ExoI, ExoII and ExoIII, with a specific YX(3)D pattern at ExoIII. These motifs are clustered around the active site and contain four conserved acidic residues that serve as ligands for the two metal ions required for catalysis. Mutations in the WRN gene cause Werner syndrome, an autosomal recessive disorder associated with premature aging and increased susceptibility to cancer and type II diabetes. WRN interacts with key proteins involved in DNA replication, recombination, and repair. It is believed to maintain genomic stability and life span by participating in DNA processes. WRN is stimulated by Ku70/80, an important regulator of genomic stability.</t>
  </si>
  <si>
    <t>WRN_exo 8e-048| DEDDy_polA_RNaseD_like_exo 2e-018| RNaseD_like 6e-017| mut-7_like_exo 1e-012| DNA_pol_A_exo1 5e-012| 35EXOc 6e-010| RNaseD_exo 5e-009| Rnd 0.001| Ribonuclease_D 0.010| COG0397 |</t>
  </si>
  <si>
    <t>KOG4373, KOG4373, KOG4373, Predicted 3'-5' exonuclease [General function prediction only].</t>
  </si>
  <si>
    <t>pfam01612, DNA_pol_A_exo1, 3'-5' exonuclease.  This domain is responsible for the 3'-5' exonuclease proofreading activity of E. coli DNA polymerase I (polI) and other enzymes, it catalyzes the hydrolysis of unpaired or mismatched nucleotides. This domain consists of the amino-terminal half of the Klenow fragment in E. coli polI it is also found in the Werner syndrome helicase (WRN), focus forming activity 1 protein (FFA-1) and ribonuclease D (RNase D). Werner syndrome is a human genetic disorder causing premature aging; the WRN protein has helicase activity in the 3'-5' direction. The FFA-1 protein is required for formation of a replication foci and also has helicase activity; it is a homolog of the WRN protein. RNase D is a 3'-5' exonuclease involved in tRNA processing. Also found in this family is the autoantigen PM/Scl thought to be involved in polymyositis-scleroderma overlap syndrome.</t>
  </si>
  <si>
    <t>smart00474, 35EXOc, 3'-5' exonuclease.  3\' -5' exonuclease proofreading domain present in DNA polymerase I, Werner syndrome helicase, RNase D and other enzymes.</t>
  </si>
  <si>
    <t xml:space="preserve"> AgamP4_X:9490005-9491076(+) </t>
  </si>
  <si>
    <t xml:space="preserve">1 | 56    PPKRRLR|SN  0.633 *ProP*  | </t>
  </si>
  <si>
    <t>AGAP010462.R333</t>
  </si>
  <si>
    <t>SWI/SNF related, matrix associated, actin dependent regulator of chromatin</t>
  </si>
  <si>
    <t>VectorBase: AGAP010462</t>
  </si>
  <si>
    <t>AGAP004366-RA</t>
  </si>
  <si>
    <t xml:space="preserve">1-pyrroline-5-carboxylate dehydrogenase [Source:UniProtKB/TrEMBL;Acc:Q7QA89] </t>
  </si>
  <si>
    <t>1-pyrroline-5-carboxylate dehydrogenase</t>
  </si>
  <si>
    <t>Aldehyde dehydrogenase</t>
  </si>
  <si>
    <t>AGAP004366-PA</t>
  </si>
  <si>
    <t>ExpAA=4.24 First60=0.00 PredHel=0 Topology=o</t>
  </si>
  <si>
    <t>cd07123, ALDH_F4-17_P5CDH, Delta(1)-pyrroline-5-carboxylate dehydrogenase, ALDH families 4 and 17. Delta(1)-pyrroline-5-carboxylate dehydrogenase (EC=1.5.1.12 ), families 4 and 17: a proline catabolic enzyme of the aldehyde dehydrogenase (ALDH) protein superfamily.  Delta(1)-pyrroline-5-carboxylate dehydrogenase (P5CDH), also known as ALDH4A1 in humans, is a mitochondrial  homodimer involved in proline degradation and catalyzes the NAD + -dependent conversion of P5C to glutamate. This is a necessary step in the pathway interconnecting the urea and tricarboxylic acid cycles. The preferred substrate is glutamic gamma-semialdehyde, other substrates include succinic, glutaric and adipic semialdehydes. Also included in this CD is the Aldh17 Drosophila melanogaster (Q9VUC0) P5CDH and similar sequences.</t>
  </si>
  <si>
    <t>ALDH_F4-17_P5CDH | D1pyr5carbox1 | ALDH_P5CDH e-157| ALDH_PutA-P5CDH-RocA e-108| PRK03137 2e-098| ALDH 1e-092| Aldedh 4e-092| PutA 2e-087| D1pyr5carbox2 4e-087| ALDH_PutA-P5CDH 2e-084|</t>
  </si>
  <si>
    <t>KOG2455, KOG2455, KOG2455, Delta-1-pyrroline-5-carboxylate dehydrogenase [Amino acid transport and metabolism].</t>
  </si>
  <si>
    <t>pfam00171, Aldedh, Aldehyde dehydrogenase family.  This family of dehydrogenases act on aldehyde substrates. Members use NADP as a cofactor. The family includes the following members: The prototypical members are the aldehyde dehydrogenases EC:1.2.1.3. Succinate-semialdehyde dehydrogenase EC:1.2.1.16. Lactaldehyde dehydrogenase EC:1.2.1.22. Benzaldehyde dehydrogenase EC:1.2.1.28. Methylmalonate-semialdehyde dehydrogenase EC:1.2.1.27. Glyceraldehyde-3-phosphate dehydrogenase EC:1.2.1.9. Delta-1-pyrroline-5-carboxylate dehydrogenase EC: 1.5.1.12. Acetaldehyde dehydrogenase EC:1.2.1.10. Glutamate-5-semialdehyde dehydrogenase EC:1.2.1.41. This family also includes omega crystallin, an eye lens protein from squid and octopus that has little aldehyde dehydrogenase activity.</t>
  </si>
  <si>
    <t>smart00030, CLb, CLUSTERIN Beta chain.</t>
  </si>
  <si>
    <t xml:space="preserve">1 | 306    TFNRLWR|QV  0.641 *ProP*  | </t>
  </si>
  <si>
    <t>AGAP001234-RA</t>
  </si>
  <si>
    <t xml:space="preserve">Activating signal cointegrator 1 complex subunit 3 </t>
  </si>
  <si>
    <t>Activating signal cointegrator 1 complex subunit 3</t>
  </si>
  <si>
    <t>RNA helicase BRR2 DEAD-box superfamily</t>
  </si>
  <si>
    <t>AGAP001234-PA</t>
  </si>
  <si>
    <t xml:space="preserve"> activating signal cointegrator 1 complex subunit 3</t>
  </si>
  <si>
    <t>COG1204, COG1204, Superfamily II helicase [General function prediction only].</t>
  </si>
  <si>
    <t>COG1204 e-157| Sec63 e-105| SEC63 1e-080| Sec63 5e-079| PRK02362 2e-053| PRK00254 3e-052| PRK01172 1e-049| COG4581 1e-030| COG1202 9e-027| DEAD 1e-026|</t>
  </si>
  <si>
    <t>KOG0952, KOG0952, KOG0952, DNA/RNA helicase MER3/SLH1, DEAD-box superfamily [RNA processing and modification].</t>
  </si>
  <si>
    <t>pfam02889, Sec63, Sec63 Brl domain.  This domain (also known as the Brl domain) is required for assembly of functional endoplasmic reticulum translocons.</t>
  </si>
  <si>
    <t>smart00611, SEC63, Domain of unknown function in Sec63p, Brr2p and other proteins.</t>
  </si>
  <si>
    <t xml:space="preserve"> AgamP4_2R:1750144-1757210(+) </t>
  </si>
  <si>
    <t xml:space="preserve">1 | 2136    APSRIGR|CI  0.532 *ProP*  | </t>
  </si>
  <si>
    <t>AGAP006669-RA</t>
  </si>
  <si>
    <t xml:space="preserve">arginine-glutamic acid dipeptide repeats protein </t>
  </si>
  <si>
    <t>arginine-glutamic acid dipeptide repeats protein</t>
  </si>
  <si>
    <t>arginine-glutamic acid dipeptide repeats protein isoform X1 - 72 OH-glycosylation sites -  72 NetOglyc sites</t>
  </si>
  <si>
    <t>AGAP006669-PA</t>
  </si>
  <si>
    <t xml:space="preserve"> tra0as4gti4a0as4gti4 anoga arginine-glutamic acid dipeptide repeat protein os-ox-76 pe-4 sv - 72 OH-glycosylation sites -  72 NetOglyc sites</t>
  </si>
  <si>
    <t>Leishmania braziliensis MHOM/BR/75/M2904</t>
  </si>
  <si>
    <t>cd11661, SANT_MTA3_like, Myb-Like Dna-Binding Domain of MTA3 and related proteins.  Members in this SANT/myb family include domains found in mouse metastasis-associated protein 3 (MTA3) proteins and arginine-glutamic dipeptide (RERE) repeats proteins. SANT (SWI3, ADA2, N-CoR and TFIIIB) DNA-binding domains are a diverse set of proteins that share a common 3 alpha-helix bundle. MTA3 has been shown to interact with nucleosome remodeling and deacetylase (NuRD) proteins CHD4 and HDAC1, and the core cohesin complex protein RAD21 in the ovary, and regulate G2/M progression in proliferating granulosa cells. RERE belongs to the atrophin family and has been identified as a nuclear receptor corepressor; altered expression levels of RERE are associated with cancer in humans while mutations of Rere in mice cause failure in closing the anterior neural tube and fusion of the telencephalic and optic vesicles during embryogenesis.</t>
  </si>
  <si>
    <t>SANT_MTA3_like 4e-024| tolA 3e-014| Protein_TolA 3e-013| PAT1 4e-013| PHA03247 9e-012| TolA 3e-010| PHA03307 6e-010| PRK07764 2e-009| Atrophin-1 1e-008| Activator_LAG-3 2e-007|</t>
  </si>
  <si>
    <t>KOG4329, KOG4329, KOG4329, DNA-binding protein [General function prediction only].</t>
  </si>
  <si>
    <t xml:space="preserve"> AgamP4_2L:36605130-36625093(+) </t>
  </si>
  <si>
    <t xml:space="preserve">3 | 177    RPHRRRR|AS  0.662 *ProP*  | 383    NAKRPKR|GG  0.543 *ProP*  | 512    PSKGKKR|SN  0.549 *ProP*  | </t>
  </si>
  <si>
    <t>AGAP006528-RA</t>
  </si>
  <si>
    <t>Adaptor protein Disabled - probable fragment - 15 OH-glycosylation sites</t>
  </si>
  <si>
    <t>AGAP006528-PA</t>
  </si>
  <si>
    <t xml:space="preserve"> disabled - 15 OH-glycosylation sites -  15 NetOglyc sites</t>
  </si>
  <si>
    <t>ExpAA=0.06 First60=0.01 PredHel=0 Topology=o</t>
  </si>
  <si>
    <t>cd01215, PTB_Dab, Disabled (Dab) Phosphotyrosine-binding domain. Dab is a cystosolic adaptor protein, which binds to the cytoplasmic tails of lipoprotein receptors, such as ApoER2 and VLDLR, via its PTB domain. The dab PTB domain has a preference for unphosphorylated tyrosine within an NPxY motif. Additionally, the Dab PTB domain, which is structurally similar to PH domains, binds to phosphatidlyinositol phosphate 4,5 bisphosphate in a manner characteristic of phosphoinositide binding PH domains. PTB domains have a common PH-like fold and are found in various eukaryotic signaling molecules. This domain was initially shown to binds peptides with a NPXY motif with differing requirements for phosphorylation of the tyrosine, although more recent studies have found that some types of PTB domains can bind to peptides lack tyrosine residues altogether. In contrast to SH2 domains, which recognize phosphotyrosine and adjacent carboxy-terminal residues, PTB-domain binding specificity is conferred by residues amino-terminal to the phosphotyrosine. PTB domains are classified into three groups: phosphotyrosine-dependent Shc-like, phosphotyrosine-dependent IRS-like, and phosphotyrosine-independent Dab-like PTB domains. This cd is part of the Dab-like subgroup.</t>
  </si>
  <si>
    <t>PTB_Dab 2e-074| PTB 6e-034| PTB 5e-017| PTB_CED-6 5e-015| PTB_Numb 2e-014| PTB_TK_HMTK 2e-008| PTB_CAPON-like 4e-007| PID 5e-007| PTB_LDLRAP-mammal-like 1e-006| PTB_Anks 7e-006|</t>
  </si>
  <si>
    <t>KOG3535, KOG3535, KOG3535, Adaptor protein Disabled [Signal transduction mechanisms].</t>
  </si>
  <si>
    <t>pfam00640, PID, Phosphotyrosine interaction domain (PTB/PID).</t>
  </si>
  <si>
    <t>smart00462, PTB, Phosphotyrosine-binding domain, phosphotyrosine-interaction (PI) domain.  PTB/PI domain structure similar to those of pleckstrin homology (PH) and IRS-1-like PTB domains.</t>
  </si>
  <si>
    <t xml:space="preserve"> AgamP4_2L:33910602-33920821(+) </t>
  </si>
  <si>
    <t>AGAP002752-RA</t>
  </si>
  <si>
    <t xml:space="preserve">DnaJ (Hsp40) homolog, subfamily C, member 3 </t>
  </si>
  <si>
    <t>DnaJ (Hsp40) homolog, subfamily C, member 3</t>
  </si>
  <si>
    <t>dsRNA-activated protein kinase inhibitor P58 contains TPR and DnaJ</t>
  </si>
  <si>
    <t>AGAP002752-PA</t>
  </si>
  <si>
    <t>protein kinase inhibitor p58</t>
  </si>
  <si>
    <t xml:space="preserve"> 35-36</t>
  </si>
  <si>
    <t>ExpAA=0.35 First60=0.35 PredHel=0 Topology=o</t>
  </si>
  <si>
    <t>DnaJ 3e-024| PRK10767 1e-022| PRK14278 1e-021| Chaperone_protein_DnaJ 2e-021| PRK14277 4e-020| DnaJ 3e-019| PRK14289 3e-019| PRK14294 1e-018| PRK14290 2e-018| PRK14284 4e-018|</t>
  </si>
  <si>
    <t>KOG0624, KOG0624, KOG0624, dsRNA-activated protein kinase inhibitor P58, contains TPR and DnaJ domains [Defense mechanisms].</t>
  </si>
  <si>
    <t xml:space="preserve">Defense mechanisms </t>
  </si>
  <si>
    <t xml:space="preserve"> AgamP4_2R:26670117-26672233(+) </t>
  </si>
  <si>
    <t>AGAP004049-RA</t>
  </si>
  <si>
    <t xml:space="preserve">MAD, mothers against decapentaplegic interacting protein </t>
  </si>
  <si>
    <t>MAD, mothers against decapentaplegic interacting protein</t>
  </si>
  <si>
    <t>Smad anchor for receptor activation - 20 OH-glycosylation sites -  20 NetOglyc sites</t>
  </si>
  <si>
    <t>AGAP004049-PA</t>
  </si>
  <si>
    <t xml:space="preserve"> smad anchor for receptor activation - 20 OH-glycosylation sites -  20 NetOglyc sites</t>
  </si>
  <si>
    <t>pfam11979, DUF3480, Domain of unknown function (DUF3480).  This presumed domain is functionally uncharacterized. This domain is found in eukaryotes. This domain is typically between 350 to 362 amino acids in length. This domain is found associated with pfam01363.</t>
  </si>
  <si>
    <t>DUF3480 e-168| FYVE_endofin 2e-030| FYVE 2e-020| FYVE 1e-019| FYVE_FGD6 1e-018| FYVE_FGD1_2_4 2e-018| FYVE_PIKfyve_Fab1 9e-017| FYVE_ZF21 4e-016| FYVE_ZFY26 5e-015| FYVE_LST2 1e-014|</t>
  </si>
  <si>
    <t>KOG1841, KOG1841, KOG1841, Smad anchor for receptor activation [Defense mechanisms].</t>
  </si>
  <si>
    <t xml:space="preserve"> AgamP4_2R:48632796-48637197(+) </t>
  </si>
  <si>
    <t>AGAP000659.R358</t>
  </si>
  <si>
    <t>VectorBase: AGAP000659</t>
  </si>
  <si>
    <t>AGAP003872-RA</t>
  </si>
  <si>
    <t>Conserved plasma membrane protein - 11 predicted membrane helices</t>
  </si>
  <si>
    <t>AGAP003872-PA</t>
  </si>
  <si>
    <t>ExpAA=311.83 First60=24.11 PredHel=10 Topology=o33-52i59-81o1451-1473i1480-1497o1515-1537i1549-1571o1576-1598i1605-1627o1642-1664i1767-1789o</t>
  </si>
  <si>
    <t>pfam05041, Pecanex_C, Pecanex protein (C-terminus).  This family consists of C terminal region of the pecanex protein homologs. The pecanex protein is a maternal-effect neurogenic gene found in Drosophila.</t>
  </si>
  <si>
    <t>Pecanex_C e-112| Cwf_Cwc_15 7e-007| Merozoite_SPAM 2e-006| Mpp10 2e-006| SPT6_acidic 3e-006| Spt5_N 1e-005| CDC45 1e-005| Sigma70_ner 2e-005| Nop14 3e-005| RNA_pol_3_Rpc31 3e-005|</t>
  </si>
  <si>
    <t>KOG3604, KOG3604, KOG3604, Pecanex [Function unknown].</t>
  </si>
  <si>
    <t xml:space="preserve"> AgamP4_2R:44847770-44860440(+) </t>
  </si>
  <si>
    <t xml:space="preserve">3 | 405    GGARNRR|RA  0.652 *ProP*  | 796    APGREER|SR  0.540 *ProP*  | 1417    PKVRPKR|YY  0.621 *ProP*  | </t>
  </si>
  <si>
    <t>AGAP029635.R410</t>
  </si>
  <si>
    <t>VectorBase: AGAP029635</t>
  </si>
  <si>
    <t>AGAP029237-RA</t>
  </si>
  <si>
    <t>AGAP029237-PA</t>
  </si>
  <si>
    <t xml:space="preserve"> transmembrane protein - 2 predicted membrane helices</t>
  </si>
  <si>
    <t>ExpAA=23.15 First60=20.46 PredHel=1 Topology=i38-57o</t>
  </si>
  <si>
    <t>pfam10479, FSA_C, Fragile site-associated protein C-terminus.  This is the conserved C-terminal half of the protein KIAA1109 which is the fragile site-associated protein FSA. Genome-wide-association studies showed this protein to linked to the susceptibility to coeliac disease. The protein may also be associated with polycystic kidney disease.</t>
  </si>
  <si>
    <t>FSA_C | SelP_N 5e-005| PHA03420 0.001| Activator_LAG-3 0.001| PAT1 0.003| DUF1421 0.005| PRK10019 0.010| BAF1_ABF1 0.013| Carb_kinase 0.018| HRCT1 0.018|</t>
  </si>
  <si>
    <t>KOG3596, KOG3596, KOG3596, Uncharacterized conserved protein [Function unknown].</t>
  </si>
  <si>
    <t xml:space="preserve"> AgamP4_3R:3322518-3346578(-) </t>
  </si>
  <si>
    <t>AGAP002741-RA</t>
  </si>
  <si>
    <t xml:space="preserve">histone-lysine N-methyltransferase MLL1 </t>
  </si>
  <si>
    <t>histone-lysine N-methyltransferase MLL1</t>
  </si>
  <si>
    <t>Histone H3 (Lys4) methyltransferase complex subunit SET1 - probable fragment - 29 OH-glycosylation sites</t>
  </si>
  <si>
    <t>AGAP002741-PA</t>
  </si>
  <si>
    <t xml:space="preserve"> histone-lysine n-methyltransferase 2b-like protein - 29 OH-glycosylation sites -  29 NetOglyc sites</t>
  </si>
  <si>
    <t>ExpAA=5.46 First60=0.00 PredHel=0 Topology=o</t>
  </si>
  <si>
    <t>cd15664, ePHD_KMT2A_like, Extended PHD finger found in histone-lysine N-methyltransferase 2A (KMT2A) and 2B (KMT2B).  The extended plant homeodomain (ePHD) zinc finger is characterized as Cys2HisCys5HisCys2His. This subfamily includes the ePHD finger of histone-lysine N-methyltransferase trithorax (Trx) like proteins, KMT2A/MLL1 and KMT2B/MLL2. KMT2A and KMT2B comprise the mammalian Trx branch of COMPASS family, and are both essential for mammalian embryonic development. KMT2A regulates chromatin-mediated transcription through the catalysis of methylation of histone 3 lysine 4 (H3K4), and is frequently rearranged in acute leukemia. KMT2A functions as the catalytic subunit in the MLL1 complex. KMT2B is a second human homolog of Drosophila trithorax, located on chromosome 19 and functions as the catalytic subunit in the MLL2 complex. It plays a critical role in memory formation by mediating hippocampal H3K4 di- and trimethylation. It is also required for RNA polymerase II association and protection from DNA methylation at the MagohB CpG island promoter. Both KMT2A and KMT2B contain a CxxC (x for any residue) zinc finger domain, three PHD fingers, this extended PHD (ePHD) finger, two FY (phenylalanine tyrosine)-rich domains, and a SET (Suppressor of variegation, Enhancer of zeste, Trithorax) domain.</t>
  </si>
  <si>
    <t>ePHD_KMT2A_like 6e-051| SET 2e-042| ePHD2_KMT2C_like 3e-036| ePHD_KMT2A 2e-033| ePHD_KMT2B 3e-033| SET 2e-031| PHD3_KMT2A_like 1e-028| COG2940 9e-024| ePHD 1e-023| ePHD2_KMT2C 5e-023|</t>
  </si>
  <si>
    <t>KOG1080, KOG1080, KOG1080, Histone H3 (Lys4) methyltransferase complex, subunit SET1 and related methyltransferases [Chromatin structure and dynamics, Transcription].</t>
  </si>
  <si>
    <t xml:space="preserve"> AgamP4_2R:26448416-26563250(-) </t>
  </si>
  <si>
    <t>AGAP000043.R709</t>
  </si>
  <si>
    <t>tousled-like kinase</t>
  </si>
  <si>
    <t>VectorBase: AGAP000043</t>
  </si>
  <si>
    <t>AGAP001027-RA</t>
  </si>
  <si>
    <t>AGAP001027-PA</t>
  </si>
  <si>
    <t>ExpAA=262.71 First60=9.85 PredHel=12 Topology=i51-73o93-115i122-141o146-168i181-203o207-226i288-310o325-347i354-376o391-413i418-440o455-477i</t>
  </si>
  <si>
    <t>Sugar_tr 2e-074| Membrane_transporter 1e-067| xylE 2e-038| organic_anion_transporter 7e-018| MFS 3e-015| MFS_1 2e-014| transport_protein 7e-013| Putative_metabolite_transport_protein 2e-007| Probable_glucarate_transporter 5e-007| AraJ 2e-006|</t>
  </si>
  <si>
    <t xml:space="preserve"> AgamP4_X:19726928-19728658(-) </t>
  </si>
  <si>
    <t>AGAP000461-RA</t>
  </si>
  <si>
    <t xml:space="preserve">Odz, odd Oz/ten-m homolog 2 (Drosophila) </t>
  </si>
  <si>
    <t>Odz, odd Oz/ten-m homolog 2 (Drosophila)</t>
  </si>
  <si>
    <t>Teneurin-1 - probable fragment - 2 predicted membrane helices</t>
  </si>
  <si>
    <t>AGAP000461-PA</t>
  </si>
  <si>
    <t xml:space="preserve"> teneurin-3 - 2 predicted membrane helices</t>
  </si>
  <si>
    <t>extmat membrane</t>
  </si>
  <si>
    <t>ExpAA=22.44 First60=0.00 PredHel=1 Topology=i146-168o</t>
  </si>
  <si>
    <t>pfam15636, Tox-GHH, GHH signature containing HNH/Endo VII superfamily nuclease toxin.  A predicted toxin of the HNH/Endonuclease VII fold present in bacterial polymorphic toxin systems with a characteristic sG[HQ]H signature motif. In bacterial polymorphic toxin systems, the toxin is exported by the type 2, type 6, type 7 or TcdB/TcaC-type secretion system. The metazoan teneurin proteins possess an inactive of this domain at their C-terminus.</t>
  </si>
  <si>
    <t>Tox-GHH 8e-030| NHL_like_1 1e-022| NHL 3e-016| NHL-2_like 5e-008| NHL_like_3 9e-008| PLN02919 1e-006| NHL_like_5 5e-005| NHL_like_6 7e-005| EGF_2 0.001| RhsA 0.002|</t>
  </si>
  <si>
    <t>KOG4659, KOG4659, KOG4659, Uncharacterized conserved protein (Rhs family) [Function unknown].</t>
  </si>
  <si>
    <t xml:space="preserve"> AgamP4_X:7976853-8003775(-) </t>
  </si>
  <si>
    <t xml:space="preserve">3 | 374    HKLRRKR|SI  0.881 *ProP*  | 429    KHIISKR|SA  0.631 *ProP*  | 2891    SRKRKRR|DA  0.774 *ProP*  | </t>
  </si>
  <si>
    <t>AGAP007503-RA</t>
  </si>
  <si>
    <t xml:space="preserve">Ras-related protein Rab-1A </t>
  </si>
  <si>
    <t>Ras-related protein Rab-1A</t>
  </si>
  <si>
    <t>agap007503-pa - 50 OH-glycosylation sites -  50 NetOglyc sites</t>
  </si>
  <si>
    <t>AGAP007503-PA</t>
  </si>
  <si>
    <t xml:space="preserve"> tra0as4gva7a0as4gva7 anoga ras-related protein rab-a os-ox-76 pe-4 sv - 50 OH-glycosylation sites -  50 NetOglyc sites</t>
  </si>
  <si>
    <t>pfam08169, RBB1NT, RBB1NT (NUC162) domain.  This domain is found N terminal to the ARID/BRIGHT domain in DNA-binding proteins of the Retinoblastoma-binding protein 1 family.</t>
  </si>
  <si>
    <t>RBB1NT 3e-030| ARID 5e-029| ARID 7e-028| BRIGHT 2e-023| Tudor-knot 7e-016| PRK13875 6e-007| tolA 4e-006| PRK12678 8e-006| PRK07735 1e-005| PRK13108 4e-005|</t>
  </si>
  <si>
    <t>KOG2744, KOG2744, KOG2744, DNA-binding proteins Bright/BRCAA1/RBP1 and related proteins containing BRIGHT domain [Transcription].</t>
  </si>
  <si>
    <t>smart01014, ARID, ARID/BRIGHT DNA binding domain.  Members of the recently discovered ARID (AT-rich interaction domain) family of DNA-binding proteins are found in fungi and invertebrate and vertebrate metazoans. ARID-encoding genes are involved in a variety of biological processes including embryonic development, cell lineage gene regulation and cell cycle control. Although the specific roles of this domain and of ARID-containing proteins in transcriptional regulation are yet to be elucidated, they include both positive and negative transcriptional regulation and a likely involvement in the modification of chromatin structure. The basic structure of the ARID domain domain appears to be a series of six alpha-helices separated by beta-strands, loops, or turns, but the structured region may extend to an additional helix at either or both ends of the basic six. Based on primary sequence homology, they can be partitioned into three structural classes: Minimal ARID proteins that consist of a core domain formed by six alpha helices; ARID proteins that supplement the core domain with an N-terminal alpha-helix; and Extended-ARID proteins, which contain the core domain and additional alpha-helices at their N- and C-termini.</t>
  </si>
  <si>
    <t xml:space="preserve"> AgamP4_2L:46973938-46982506(+) </t>
  </si>
  <si>
    <t xml:space="preserve">2 | 145    GGRRGRR|SR  0.527 *ProP*  | 582    KRGRKRK|DA  0.678 *ProP*  | </t>
  </si>
  <si>
    <t>AGAP029590-RB</t>
  </si>
  <si>
    <t>PHD domain of transcriptional enhancer - probable fragment - 27 OH-glycosylation sites -  27 NetOglyc sites</t>
  </si>
  <si>
    <t>AGAP029590-PB</t>
  </si>
  <si>
    <t xml:space="preserve"> asx similarity domain protein - 27 OH-glycosylation sites -  27 NetOglyc sites</t>
  </si>
  <si>
    <t>pfam13919, ASXH, Asx homology domain.  A conserved alpha helical domain with a characteristic LXXLL motif. The LXXLL motif is detected in diverse transcription factors, coactivators and corepressors and is implicated in mediating interactions between them. The ASXH domain is found in animals, fungi and plants and is predicted to play a role in mediating contact between transcription factors and chromatin-associated complexes. In Drosophila Asx and Human ASXL1, the ASXH domain is predicted to mediate interactions with the Calypso and BAP1 deubiquitinases (DUBs) which further belong to the UCHL5/UCH37 clade of DUBs.</t>
  </si>
  <si>
    <t>ASXH 1e-043| PHD_3 3e-013| Nop14 7e-009| PAT1 1e-008| Mak16 2e-008| PHA03247 3e-008| PRK10263 5e-008| SDA1 1e-007| Merozoite_SPAM 1e-007| Mpp10 3e-007|</t>
  </si>
  <si>
    <t xml:space="preserve"> AgamP4_3L:36005662-36018595(-) </t>
  </si>
  <si>
    <t xml:space="preserve">3 | 1082    SSSGGKR|ST  0.534 *ProP*  | 1335    GGGRLKR|SD  0.831 *ProP*  | 2619    NNSRSKR|TT  0.830 *ProP*  | </t>
  </si>
  <si>
    <t>AGAP002331-RA</t>
  </si>
  <si>
    <t xml:space="preserve">sodium-independent sulfate anion transporter </t>
  </si>
  <si>
    <t>ESP: sodium-independent sulfate anion transporter</t>
  </si>
  <si>
    <t>Sulfate/bicarbonate/oxalate exchanger SAT-1 - 10 predicted membrane helices</t>
  </si>
  <si>
    <t>AGAP002331-PA</t>
  </si>
  <si>
    <t xml:space="preserve"> sodium-independent sulfate anion transporter - 10 predicted membrane helices</t>
  </si>
  <si>
    <t>ExpAA=202.29 First60=0.00 PredHel=9 Topology=i105-127o131-148i177-199o251-273i294-316o361-383i436-458o462-481i493-515o</t>
  </si>
  <si>
    <t>TIGR00815, Sulfate_transporter, high affinity sulphate transporter 1.  The SulP family is a large and ubiquitous family with over 30 sequenced members derived from bacteria, fungi, plants and animals. Many organisms including Bacillus subtilis, Synechocystis sp, Saccharomyces cerevisiae, Arabidopsis thaliana and Caenorhabditis elegans possess multiple SulP family paralogues. Many of these proteins are functionally characterized, and all are sulfate uptake transporters. Some transport their substrate with high affinities, while others transport it with relatively low affinities. Most function by SO42- :H+symport, but SO42- :HCO3- antiport has been reported for the rat protein (spP45380). The bacterial proteins vary in size from 434 residues to 566 residues with one exception, a Mycobacterium tuberculosis protein with 784 residues. The eukaryotic proteins vary in size from 611 residues to 893 residues with one exception, a protein designated "early nodulin 70 protein" from Glycine max which is reported to be of 485 residues. Thus, the eukaryotic proteins are almost without exception larger than the prokaryotic proteins. These proteins exhibit 10-13 putative transmembrane a-helical spanners (TMSs) depending on the protein. The phylogenetic tree for the SulP family reveals five principal branches. Three of these are bacterial specific as follows: one bears a single protein from M. tuberculosis; a second bears two proteins, one from M. tuberculosis, the other from Synechocystis sp, and the third bears all remaining prokaryotic proteins. The remaining two clusters bear only eukaryotic proteins with the animal proteins all localized to one branch and the plant and fungal proteins localized to the other. The generalized transport reactions catalyzed by SulP family proteins are: (1) SO42- (out) + nH+ (out) --==&gt; SO42- (in) + nH+ (in). (2) SO42- (out) + nHCO3- (in) SO42- (in) + nHCO3- (out). [Transport and binding proteins, Anions].</t>
  </si>
  <si>
    <t>Sulfate_transporter 8e-084| SUL1 2e-083| Sulfate_transp 2e-074| PRK11660 7e-034| STAS_SulP_like_sulfate_transporter 3e-010| COG2252 6e-004| STAS 0.015| CT857_hypothetical_protein | NtpI | DUF1700 |</t>
  </si>
  <si>
    <t>KOG0236, KOG0236, KOG0236, Sulfate/bicarbonate/oxalate exchanger SAT-1 and related transporters (SLC26 family) [Inorganic ion transport and metabolism].</t>
  </si>
  <si>
    <t>pfam00916, Sulfate_transp, Sulfate permease family.  This family of integral membrane proteins are known as the Sulfate Permease (SulP) family. SulP is a large family found in all domains of life. Although sulfate is a commonly transported ion there are many other activities in this family. See the TCDB description for a comprehensive summary.</t>
  </si>
  <si>
    <t xml:space="preserve"> AgamP4_2R:19954166-19956783(-) </t>
  </si>
  <si>
    <t xml:space="preserve">1 | 75    WLQRKAR|SA  0.616 *ProP*  | </t>
  </si>
  <si>
    <t>AGAP004050-RB</t>
  </si>
  <si>
    <t xml:space="preserve">Doublesex female isoform </t>
  </si>
  <si>
    <t>Doublesex female isoform</t>
  </si>
  <si>
    <t>Doublesex- and mab-3-related transcription factor 1 - probable fragment</t>
  </si>
  <si>
    <t>AGAP004050-PB</t>
  </si>
  <si>
    <t xml:space="preserve"> doublesex dimerization domain protein</t>
  </si>
  <si>
    <t>pfam08828, DSX_dimer, Doublesex dimerisation domain.  Doublesex (DSX) is a transcription factor that regulates somatic sexual differences in Drosophila. The structure of this domain has revealed a novel dimeric arrangement of ubiquitin-associated folds that has not previously been identified in a transcription factor.</t>
  </si>
  <si>
    <t>DSX_dimer 2e-029| DM 7e-019| DM 9e-017| Neocarzinostat | PBP1_AmiC_like | DUF4486 | ECF_ATPase_2 | PLN00150 | PRK14806 | cbiO |</t>
  </si>
  <si>
    <t>KOG3815, KOG3815, KOG3815, Transcription factor Doublesex [Transcription].</t>
  </si>
  <si>
    <t>smart00301, DM, Doublesex DNA-binding motif.</t>
  </si>
  <si>
    <t xml:space="preserve"> AgamP4_2R:48714557-48784710(-) </t>
  </si>
  <si>
    <t>AGAP003546-RB</t>
  </si>
  <si>
    <t>AGAP003546-PB</t>
  </si>
  <si>
    <t xml:space="preserve"> tight junction - 10 OH-glycosylation sites</t>
  </si>
  <si>
    <t xml:space="preserve"> AgamP4_2R:39365579-39417190(+) </t>
  </si>
  <si>
    <t xml:space="preserve">5 | 181    DSNRSRR|ST  0.821 *ProP*  | 379    KEQRTYR|SV  0.742 *ProP*  | 999    SFFRRRR|ST  0.601 *ProP*  | 1004    RRSTHRR|SK  0.523 *ProP*  | 1179    TWYRKLR|DS  0.625 *ProP*  | </t>
  </si>
  <si>
    <t>AGAP029680-RA</t>
  </si>
  <si>
    <t>Ovo - 17 OH-glycosylation sites -  17 NetOglyc sites</t>
  </si>
  <si>
    <t>AGAP029680-PA</t>
  </si>
  <si>
    <t xml:space="preserve"> ovo - 17 OH-glycosylation sites -  17 NetOglyc sites</t>
  </si>
  <si>
    <t>zf-AD 6e-016| zf-AD 3e-012| ZF_C2H2 1e-010| ZF_C2H2 4e-009| zf-H2C2_2 1e-004| PHA03247 1e-004| ZF_C2H2 2e-004| PHA03307 2e-004| GET2 6e-004| PRK07764 0.002|</t>
  </si>
  <si>
    <t xml:space="preserve"> AgamP4_2R:47018305-47021209(-) </t>
  </si>
  <si>
    <t xml:space="preserve">3 | 547    LPSVRRR|ST  0.581 *ProP*  | 558    VESRPKR|RR  0.509 *ProP*  | 735    ICQRSFR|SQ  0.557 *ProP*  | </t>
  </si>
  <si>
    <t>AGAP004989-RB</t>
  </si>
  <si>
    <t xml:space="preserve">Abelson tyrosine-protein kinase 1 [Source:UniProtKB/TrEMBL;Acc:A0A1S4GMQ8] </t>
  </si>
  <si>
    <t>AGAP004989-PB</t>
  </si>
  <si>
    <t>protein-tyrosine kinase</t>
  </si>
  <si>
    <t xml:space="preserve">1 | 1672    NQARSLR|SA  0.585 *ProP*  | </t>
  </si>
  <si>
    <t>AGAP002822-RA</t>
  </si>
  <si>
    <t>AGAP002822-PA</t>
  </si>
  <si>
    <t xml:space="preserve"> tra0a82htn8a0a82htn8 anoar os-arabiensis ox-773 pe-3 sv</t>
  </si>
  <si>
    <t>pfam16858, CNDH2_C, Condensin II complex subunit CAP-H2 or CNDH2, C-term.  CNDH2_C is the C-terminal domain of the H2 subunit of the condensin II complex, found in eukaryotes but not fungi. Eukaryotes carry at least two condensin complexes, I and II, each made up of five subunits. The functions of the two complexes are collaborative but non-overlapping. CI appears to be functional in G2 phase in the cytoplasm beginning the process of chromosomal lateral compaction while the CII are concentrated in the nucleus, possibly to counteract the activity of cohesion at this stage. In prophase, CII contributes to axial shortening of chromatids while CI continues to bring about lateral chromatid compaction, during which time the sister chromatids are joined centrally by cohesins. There appears to be just one condensin complex in fungi. CI and CII each contain SMC2 and SMC4 (structural maintenance of chromosomes) subunits, then CI has non-SMC CAP-D2 (CND1), CAP-G (CND3), and CAP-H (CND2). CII has, in addition to the two SMCs, CAP-D3, CAPG2 and CAP-H2. All four of the CAP-D and CAP-G subunits have degenerate HEAT repeats, whereas the CAP-H are kleisins or SMC-interacting proteins (ie they bind directly to the SMC subunits in the complex). The SMC molecules are each long with a small hinge-like knob at the free end of a longish strand, articulating with each other at the hinge. Each strand ends in a knob-like head that binds to one or other end of the CAP-H subunit. The HEAT-repeat containing D and G subunits bind side-by-side between the ends of the H subunit. Activity of the various parts of the complex seem to be triggered by extensive phosphorylations, eg, entry of the complex, in Sch.pombe, into the nucleus during mitosis is promoted by Cdk1 phosphorylation of SMC4/Cut3; and it has been shown that Cdk1 phosphorylates CAP-D3 at Thr1415 in He-La cells thus promoting early stage chromosomal condensation by CII.</t>
  </si>
  <si>
    <t>CNDH2_C 4e-014| CNDH2_N 3e-005| PHA03247 0.011| MDN1 | tolA | PRK08581 | BUD22 | TMEM119 | CENP-U | Protein_TolA |</t>
  </si>
  <si>
    <t>KOG2359, KOG2359, KOG2359, Uncharacterized conserved protein [Function unknown].</t>
  </si>
  <si>
    <t xml:space="preserve"> AgamP4_2R:27979422-27983188(-) </t>
  </si>
  <si>
    <t xml:space="preserve">4 | 700    SPARQKK|PS  0.575 *ProP*  | 744    TSSPNRR|AV  0.523 *ProP*  | 986    DRNRQKR|KN  0.644 *ProP*  | 992    RKNRKRK|IV  0.709 *ProP*  | </t>
  </si>
  <si>
    <t>AGAP001609.R96</t>
  </si>
  <si>
    <t>E3 ubiquitin-protein ligase MYLIP</t>
  </si>
  <si>
    <t>VectorBase: AGAP001609</t>
  </si>
  <si>
    <t>AGAP009915-RA</t>
  </si>
  <si>
    <t>uncharacterized protein loc109404609 isoform x3 - 10 OH-glycosylation sites</t>
  </si>
  <si>
    <t>AGAP009915-PA</t>
  </si>
  <si>
    <t xml:space="preserve"> tra0a82hrh2a0a82hrh2 anoar duf420 domain-containing protein os-arabiensis ox-773 pe-3 sv - 10 OH-glycosylation sites</t>
  </si>
  <si>
    <t>ExpAA=0.17 First60=0.01 PredHel=0 Topology=o</t>
  </si>
  <si>
    <t>pfam13889, Chromosome_seg, Chromosome segregation during meiosis. The proteins come from eukaryotes, plants and animals, and are necessary for chromosome segregation during meiosis.</t>
  </si>
  <si>
    <t>Chromosome_seg 3e-014| DUF4210 3e-004| RAP1 0.004| PLN03142 0.020| STKc_nPKC_epsilon | putative_inosine_monophosphate_dehydro...    35   0.32  | COG4907 | Nop53 | PRK06958 | GP38 |</t>
  </si>
  <si>
    <t>KOG2306, KOG2306, KOG2306, Uncharacterized conserved protein [Function unknown].</t>
  </si>
  <si>
    <t xml:space="preserve"> AgamP4_3R:45215683-45221312(-) </t>
  </si>
  <si>
    <t xml:space="preserve">1 | 88    GFCRQKR|SS  0.833 *ProP*  | </t>
  </si>
  <si>
    <t>AGAP001535-RA</t>
  </si>
  <si>
    <t xml:space="preserve">histone-lysine N-methyltransferase ASH1L </t>
  </si>
  <si>
    <t>histone-lysine N-methyltransferase ASH1L</t>
  </si>
  <si>
    <t>Clathrin coat binding protein/Huntingtin interacting protein HIP1 - probable fragment - 42 OH-glycosylation sites</t>
  </si>
  <si>
    <t>AGAP001535-PA</t>
  </si>
  <si>
    <t xml:space="preserve"> histone-lysine n-methyltransferase ash1l - 42 OH-glycosylation sites -  42 NetOglyc sites</t>
  </si>
  <si>
    <t>cd04717, BAH_polybromo, BAH, or Bromo Adjacent Homology domain, as present in polybromo and yeast RSC1/2. The human polybromo protein (BAF180) is a component of the SWI/SNF chromatin-remodeling complex PBAF. It is thought that polybromo participates in transcriptional regulation. Saccharomyces cerevisiae RSC1 and RSC2 are part of the 15-subunit nucleosome remodeling RSC complex. BAH domains are found in a variety of proteins playing roles in transcriptional silencing and the remodeling of chromatin. It is assumed that in most or all of these instances the BAH domain mediates protein-protein interactions.</t>
  </si>
  <si>
    <t>BAH_polybromo 2e-050| SET 1e-038| Bromo_ASH1 3e-033| SET 6e-027| PHD_ASH1L 5e-023| BAH 2e-021| COG2940 1e-020| Bromodomain 4e-017| BAH 3e-016| Bromodomain 1e-015|</t>
  </si>
  <si>
    <t>KOG4442, KOG4442, KOG4442, Clathrin coat binding protein/Huntingtin interacting protein HIP1, involved in regulation of endocytosis [Intracellular trafficking, secretion, and vesicular transport].</t>
  </si>
  <si>
    <t xml:space="preserve"> AgamP4_2R:5943295-5955493(+) </t>
  </si>
  <si>
    <t xml:space="preserve">16 | 245    TKARKRR|SS  0.863 *ProP*  | 260    SAGRTKK|SV  0.762 *ProP*  | 804    PRGPKKR|GV  0.520 *ProP*  | 915    FSSRSRR|SC  0.835 *ProP*  | 951    KQVRRKR|RK  0.541 *ProP*  | 952    QVRRKRR|KK  0.615 *ProP*  | 954    RRKRRKK|IG  0.571 *ProP*  | 1379    CSKRSRR|KS  0.557 *ProP*  | 1408    GKIRQRR|LS  0.583 *ProP*  | 1435    MRRRKKR|LR  0.761 *ProP*  | 1538    KGHQTKR|SV  0.549 *ProP*  | 1543    KRSVKKR|KA  0.639 *ProP*  | 1591    GKRRNKK|TV  0.553 *ProP*  | 2132    TGGRGRK|SV  0.547 *ProP*  | 2492    IPTRLKR|GK  0.682 *ProP*  | 2532    AAHLSKR|SA  0.522 *ProP*  | </t>
  </si>
  <si>
    <t>AGAP006360-RB</t>
  </si>
  <si>
    <t xml:space="preserve">glutamate synthase (NADPH/NADH) </t>
  </si>
  <si>
    <t>glutamate synthase (NADPH/NADH)</t>
  </si>
  <si>
    <t>Glutamate synthase</t>
  </si>
  <si>
    <t>AGAP006360-PB</t>
  </si>
  <si>
    <t>PRK11750, gltB, glutamate synthase subunit alpha; Provisional.</t>
  </si>
  <si>
    <t>gltB | gltD | Glutamate_synthase | GltB | GATase_2 | GltS | Glu_synthase e-162| GltD e-146| GltS_FMN e-145| Glu_syn_central e-132|</t>
  </si>
  <si>
    <t>KOG0399, KOG0399, KOG0399, Glutamate synthase [Amino acid transport and metabolism].</t>
  </si>
  <si>
    <t>pfam00310, GATase_2, Glutamine amidotransferases class-II.</t>
  </si>
  <si>
    <t>smart01002, AlaDh_PNT_C, Alanine dehydrogenase/PNT, C-terminal domain.  Alanine dehydrogenase catalyzes the NAD-dependent reversible reductive amination of pyruvate into alanine.</t>
  </si>
  <si>
    <t xml:space="preserve"> AgamP4_2L:30472728-30489533(+) </t>
  </si>
  <si>
    <t xml:space="preserve">1 | 976    DPQHNRR|SA  0.510 *ProP*  | </t>
  </si>
  <si>
    <t>AGAP004447-RA</t>
  </si>
  <si>
    <t>titin - probable fragment</t>
  </si>
  <si>
    <t>AGAP004447-PA</t>
  </si>
  <si>
    <t>ExpAA=1.88 First60=0.05 PredHel=0 Topology=o</t>
  </si>
  <si>
    <t>PTZ00121 8e-009| PTZ00108 3e-007| retinal_rod 0.001| PRK05901 0.001| PLN03237 0.003| MIP-T3 0.049| PRK13808 | SMC_N | tolA | Protein_TolA |</t>
  </si>
  <si>
    <t>KOG1144, KOG1144, KOG1144, Translation initiation factor 5B (eIF-5B) [Translation, ribosomal structure and biogenesis].</t>
  </si>
  <si>
    <t xml:space="preserve"> AgamP4_2R:56297084-56319359(-) </t>
  </si>
  <si>
    <t xml:space="preserve">1 | 216    SANRSRK|ST  0.581 *ProP*  | </t>
  </si>
  <si>
    <t>AGAP002379-RA</t>
  </si>
  <si>
    <t>Phosphatidic acid-preferring phospholipase A1 contains DDHD domain - 27 OH-glycosylation sites -  27 NetOglyc sites</t>
  </si>
  <si>
    <t>AGAP002379-PA</t>
  </si>
  <si>
    <t xml:space="preserve"> phospholipase ddhd2 isoform x2 - 27 OH-glycosylation sites -  27 NetOglyc sites</t>
  </si>
  <si>
    <t>ExpAA=0.19 First60=0.00 PredHel=0 Topology=o</t>
  </si>
  <si>
    <t>pfam02862, DDHD, DDHD domain.  The DDHD domain is 180 residues long and contains four conserved residues that may form a metal binding site. The domain is named after these four residues. This pattern of conservation of metal binding residues is often seen in phosphoesterase domains. This domain is found in retinal degeneration B proteins, as well as a family of probable phospholipases. It has been shown that this domain is found in a longer C terminal region that binds to PYK2 tyrosine kinase. These proteins have been called N-terminal domain-interacting receptor (Nir1, Nir2 and Nir3). This suggests that this region is involved in functionally important interactions in other members of this family.</t>
  </si>
  <si>
    <t>DDHD 9e-054| PHA03247 1e-014| PRK07764 5e-009| PRK07003 2e-008| PHA03307 2e-007| PRK12323 3e-007| PHA03378 9e-007| PRK14951 4e-006| Atrophin-1 3e-005| PRK14950 5e-005|</t>
  </si>
  <si>
    <t>KOG2308, KOG2308, KOG2308, Phosphatidic acid-preferring phospholipase A1, contains DDHD domain [Lipid transport and metabolism, Intracellular trafficking, secretion, and vesicular transport].</t>
  </si>
  <si>
    <t xml:space="preserve"> AgamP4_2R:20818459-20844825(-) </t>
  </si>
  <si>
    <t>AGAP006165-RB</t>
  </si>
  <si>
    <t xml:space="preserve">E1A-binding protein p400 </t>
  </si>
  <si>
    <t>E1A-binding protein p400</t>
  </si>
  <si>
    <t>SNF2 family DNA-dependent ATPase - probable fragment - 11 OH-glycosylation sites</t>
  </si>
  <si>
    <t>AGAP006165-PB</t>
  </si>
  <si>
    <t xml:space="preserve"> protein - 11 OH-glycosylation sites -  11 NetOglyc sites</t>
  </si>
  <si>
    <t>PLN03142 1e-087| SNF2_N 2e-083| HepA 7e-077| Helicase_C 1e-027| HELICc 7e-026| DEXDc 6e-025| Mpp10 5e-021| DEXDc 4e-020| MDN1 7e-020| HSA 8e-020|</t>
  </si>
  <si>
    <t>KOG0391, KOG0391, KOG0391, SNF2 family DNA-dependent ATPase [General function prediction only].</t>
  </si>
  <si>
    <t xml:space="preserve"> AgamP4_2L:27445437-27467836(+) </t>
  </si>
  <si>
    <t xml:space="preserve">3 | 792    LDERRKK|AL  0.587 *ProP*  | 1055    ANDRKRR|RT  0.540 *ProP*  | 1058    RKRRRTR|SQ  0.541 *ProP*  | </t>
  </si>
  <si>
    <t>AGAP008515-RB</t>
  </si>
  <si>
    <t>agap008515-pa - 31 OH-glycosylation sites -  31 NetOglyc sites</t>
  </si>
  <si>
    <t>AGAP008515-PB</t>
  </si>
  <si>
    <t xml:space="preserve"> transcription factor - 31 OH-glycosylation sites -  31 NetOglyc sites</t>
  </si>
  <si>
    <t>zf-AD 4e-011| zf-AD 4e-009| PHA03247 7e-009| ZF_C2H2 1e-008| ZF_C2H2 4e-006| TonB 7e-005| PRK10819 1e-004| PRK07003 1e-004| PRK12323 0.003| PRK14951 0.005|</t>
  </si>
  <si>
    <t xml:space="preserve"> AgamP4_3R:11684754-11693551(+) </t>
  </si>
  <si>
    <t>AGAP006083-RA</t>
  </si>
  <si>
    <t xml:space="preserve">frazzled protein </t>
  </si>
  <si>
    <t>fra: frazzled protein</t>
  </si>
  <si>
    <t>AGAP006083-PA</t>
  </si>
  <si>
    <t xml:space="preserve"> family i43 unassigned peptidase inhibitor</t>
  </si>
  <si>
    <t>ExpAA=19.78 First60=0.00 PredHel=1 Topology=o1143-1165i</t>
  </si>
  <si>
    <t>pfam06583, Neogenin_C, Neogenin C-terminus.  This family represents the C-terminus of eukaryotic neogenin precursor proteins, which contains several potential phosphorylation sites. Neogenin is a member of the N-CAM family of cell adhesion molecules (and therefore contains multiple copies of pfam00047 and pfam00041) and is closely related to the DCC tumor suppressor gene product - these proteins may play an integral role in regulating differentiation programmes and/or cell migration events within many adult and embryonic tissues.</t>
  </si>
  <si>
    <t>Neogenin_C 2e-028| Ig4_Neogenin 4e-018| I-set 6e-017| Ig_3 4e-016| Ig 1e-015| FN3 2e-014| IG_like 3e-014| IG 3e-014| IGc2 7e-012| fn3 1e-011|</t>
  </si>
  <si>
    <t>KOG4221, KOG4221, KOG4221, Receptor mediating netrin-dependent axon guidance [Signal transduction mechanisms].</t>
  </si>
  <si>
    <t xml:space="preserve"> AgamP4_2L:26149370-26156680(-) </t>
  </si>
  <si>
    <t xml:space="preserve">2 | 81    IVSRSAR|VA  0.506 *ProP*  | 1260    TNSLDKR|SY  0.506 *ProP*  | </t>
  </si>
  <si>
    <t>AGAP001895-RB</t>
  </si>
  <si>
    <t xml:space="preserve">F-box and leucine-rich repeat protein 10/11 </t>
  </si>
  <si>
    <t>F-box and leucine-rich repeat protein 10/11</t>
  </si>
  <si>
    <t>F-box protein JEMMA</t>
  </si>
  <si>
    <t>AGAP001895-PB</t>
  </si>
  <si>
    <t xml:space="preserve"> lysine-specific demethylase 2a-like isoform x1</t>
  </si>
  <si>
    <t>ExpAA=0.15 First60=0.00 PredHel=0 Topology=o</t>
  </si>
  <si>
    <t>pfam16866, PHD_4, PHD-finger.</t>
  </si>
  <si>
    <t>PHD_4 8e-025| LRR_AMN1 1e-023| PHD_KDM2A_2B 8e-017| zf-CXXC 1e-016| AMN1 3e-010| PHD_KDM2B 4e-010| PHD_FXL19 4e-009| PHD_KDM2A 2e-008| F-box-like 3e-008| LRR_RI 6e-008|</t>
  </si>
  <si>
    <t>KOG1633, KOG1633, KOG1633, F-box protein JEMMA and related proteins with JmjC, PHD, F-box and LRR domains [Chromatin structure and dynamics].</t>
  </si>
  <si>
    <t>smart00558, JmjC, A domain family that is part of the cupin metalloenzyme superfamily.  Probable enzymes, but of unknown functions, that regulate chromatin reorganisation processes (Clissold and Ponting, in press).</t>
  </si>
  <si>
    <t xml:space="preserve"> AgamP4_2R:11930097-11944948(-) </t>
  </si>
  <si>
    <t xml:space="preserve">1 | 475    RDNRRDR|DE  0.501 *ProP*  | </t>
  </si>
  <si>
    <t>AGAP005541-RA</t>
  </si>
  <si>
    <t xml:space="preserve">protein Jumonji </t>
  </si>
  <si>
    <t>protein Jumonji</t>
  </si>
  <si>
    <t>titin - 40 OH-glycosylation sites -  40 NetOglyc sites</t>
  </si>
  <si>
    <t>AGAP005541-PA</t>
  </si>
  <si>
    <t xml:space="preserve"> protein jumonji - 40 OH-glycosylation sites -  40 NetOglyc sites</t>
  </si>
  <si>
    <t>pfam01388, ARID, ARID/BRIGHT DNA binding domain.  This domain is know as ARID for AT-Rich Interaction Domain, and also known as the BRIGHT domain.</t>
  </si>
  <si>
    <t>ARID 1e-021| ARID 3e-020| JmjC 1e-019| PTZ00121 1e-016| BRIGHT 1e-016| JmjN 5e-014| JmjN 6e-013| PRK07003 9e-009| PLN03237 8e-008| PRK07764 1e-007|</t>
  </si>
  <si>
    <t>KOG1246, KOG1246, KOG1246, DNA-binding protein jumonji/RBP2/SMCY, contains JmjC domain [General function prediction only].</t>
  </si>
  <si>
    <t xml:space="preserve"> AgamP4_2L:16860344-16868999(+) </t>
  </si>
  <si>
    <t xml:space="preserve">2 | 404    IPRNTKR|DS  0.657 *ProP*  | 686    TVGRKKR|ET  0.642 *ProP*  | </t>
  </si>
  <si>
    <t>AGAP002735-RA</t>
  </si>
  <si>
    <t xml:space="preserve">histone acetyltransferase MYST4 </t>
  </si>
  <si>
    <t>histone acetyltransferase MYST4</t>
  </si>
  <si>
    <t>Histone acetyltransferase (MYST family) - 20 OH-glycosylation sites -  20 NetOglyc sites</t>
  </si>
  <si>
    <t>AGAP002735-PA</t>
  </si>
  <si>
    <t xml:space="preserve"> sas2 - 20 OH-glycosylation sites -  20 NetOglyc sites</t>
  </si>
  <si>
    <t>PLN00104, PLN00104, MYST -like histone acetyltransferase; Provisional.</t>
  </si>
  <si>
    <t>PLN00104 e-108| MOZ_SAS e-105| SAS2 e-100| PLN03238 8e-091| PLN03239 3e-071| PTZ00064 2e-070| PAT1 1e-012| Activator_LAG-3 2e-009| Med15 6e-009| DUF4175 2e-008|</t>
  </si>
  <si>
    <t>KOG2747, KOG2747, KOG2747, Histone acetyltransferase (MYST family) [Chromatin structure and dynamics].</t>
  </si>
  <si>
    <t>pfam01853, MOZ_SAS, MOZ/SAS family.  This region of these proteins has been suggested to be homologous to acetyltransferases.</t>
  </si>
  <si>
    <t xml:space="preserve"> AgamP4_2R:26343487-26353678(-) </t>
  </si>
  <si>
    <t xml:space="preserve">3 | 178    STSPKKR|GS  0.569 *ProP*  | 836    SGRRKKR|GR  0.735 *ProP*  | 924    ERLRKRR|RL  0.626 *ProP*  | </t>
  </si>
  <si>
    <t>AGAP008482-RB</t>
  </si>
  <si>
    <t xml:space="preserve">chromodomain-helicase-DNA-binding protein 7 </t>
  </si>
  <si>
    <t>chromodomain-helicase-DNA-binding protein 7</t>
  </si>
  <si>
    <t>SNF2 family DNA-dependent ATPase - 33 OH-glycosylation sites -  33 NetOglyc sites</t>
  </si>
  <si>
    <t>AGAP008482-PB</t>
  </si>
  <si>
    <t xml:space="preserve"> protein - 33 OH-glycosylation sites -  33 NetOglyc sites</t>
  </si>
  <si>
    <t>IND</t>
  </si>
  <si>
    <t>ExpAA=1.31 First60=0.00 PredHel=0 Topology=o</t>
  </si>
  <si>
    <t>PLN03142 e-141| HepA e-113| SNF2_N 9e-080| Helicase_C 1e-025| DEXDc 7e-025| HELICc 4e-024| PTZ00121 2e-022| HELICc 2e-018| Med15 1e-017| DEXDc 1e-017|</t>
  </si>
  <si>
    <t>KOG0384, KOG0384, KOG0384, Chromodomain-helicase DNA-binding protein [Transcription].</t>
  </si>
  <si>
    <t xml:space="preserve"> AgamP4_3R:11106027-11133243(+) </t>
  </si>
  <si>
    <t>AGAP005765-RA</t>
  </si>
  <si>
    <t>Protein containing BTB/POZ and Kelch</t>
  </si>
  <si>
    <t>AGAP005765-PA</t>
  </si>
  <si>
    <t xml:space="preserve"> second btb</t>
  </si>
  <si>
    <t>BTB 6e-010| BTB 6e-010| BACK 0.008| COG1512 0.069| BACK | MRC1 | PRK13108 | DUF4799 | MAP65_ASE1 | BSP_II |</t>
  </si>
  <si>
    <t xml:space="preserve"> AgamP4_2L:20364514-20373012(+) </t>
  </si>
  <si>
    <t xml:space="preserve">5 | 299    PNCRSAR|SE  0.553 *ProP*  | 993    SSARKKR|KD  0.752 *ProP*  | 1195    GSSRVAR|LF  0.520 *ProP*  | 1331    ISSRQPR|RL  0.538 *ProP*  | 2081    DHHREKR|PG  0.601 *ProP*  | </t>
  </si>
  <si>
    <t>AGAP010800-RB</t>
  </si>
  <si>
    <t xml:space="preserve">nuclear protein NHN1 </t>
  </si>
  <si>
    <t>nuclear protein NHN1</t>
  </si>
  <si>
    <t>agap010800-pa partial - 15 OH-glycosylation sites -  15 NetOglyc sites</t>
  </si>
  <si>
    <t>AGAP010800-PB</t>
  </si>
  <si>
    <t xml:space="preserve"> tra0a43ywf3a0a43ywf3 anoga nuclear protein nhn os-ox-76 pe-4 sv - 15 OH-glycosylation sites -  15 NetOglyc sites</t>
  </si>
  <si>
    <t>retinal_rod 7e-012| Mpp10 1e-008| MDN1 6e-008| PHA03307 4e-006| Macoilin 5e-005| PRK12678 8e-005| Nop14 1e-004| SR-25 2e-004| CobT 0.019| PHA03169 0.019|</t>
  </si>
  <si>
    <t>pfam04006, Mpp10, Mpp10 protein.  This family includes proteins related to Mpp10 (M phase phosphoprotein 10). The U3 small nucleolar ribonucleoprotein (snoRNP) is required for three cleavage events that generate the mature 18S rRNA from the pre-rRNA. In Saccharomyces cerevisiae, depletion of Mpp10, a U3 snoRNP-specific protein, halts 18S rRNA production and impairs cleavage at the three U3 snoRNP-dependent sites.</t>
  </si>
  <si>
    <t>smart00356, ZnF_C3H1, zinc finger.</t>
  </si>
  <si>
    <t xml:space="preserve"> AgamP4_3L:10580129-10583481(-) </t>
  </si>
  <si>
    <t xml:space="preserve">6 | 82    ESNRPSR|SR  0.519 *ProP*  | 147    AHNRSSR|SP  0.589 *ProP*  | 199    SSNRQHR|SL  0.678 *ProP*  | 739    SKRRHPR|AT  0.534 *ProP*  | 767    SPGRDKR|GG  0.738 *ProP*  | 878    SPVVEKR|MV  0.560 *ProP*  | </t>
  </si>
  <si>
    <t>AGAP006517-RA</t>
  </si>
  <si>
    <t xml:space="preserve">Gryzun </t>
  </si>
  <si>
    <t>Gryzun</t>
  </si>
  <si>
    <t>agap006517-pa - 10 OH-glycosylation sites</t>
  </si>
  <si>
    <t>AGAP006517-PA</t>
  </si>
  <si>
    <t xml:space="preserve"> trafficking protein particle complex subunit 11 - 10 OH-glycosylation sites</t>
  </si>
  <si>
    <t>pfam11817, Foie-gras_1, Foie gras liver health family 1.  Mutating the gene foie gras in zebrafish has been shown to affect development; the mutants develop large, lipid-filled hepatocytes in the liver, resembling those in individuals with fatty liver disease. Foie-gras protein is long and has several well-defined domains though none of them has a known function. We have annotated this one as the first. The C-terminus of this region contains TPR repeats.</t>
  </si>
  <si>
    <t>Foie-gras_1 5e-075| Gryzun-like 0.009| {ManC} | PRK07769 | PRK10856 | PRK09111 | PEPCTERM_chp_1 | Alpha_GJ | kgd | PRK12323 |</t>
  </si>
  <si>
    <t>KOG4386, KOG4386, KOG4386, Uncharacterized conserved protein [Function unknown].</t>
  </si>
  <si>
    <t xml:space="preserve"> AgamP4_2L:33767805-33773513(+) </t>
  </si>
  <si>
    <t>AGAP029812-RA</t>
  </si>
  <si>
    <t>Catalytic domain of the Serine/Threonine Kinases</t>
  </si>
  <si>
    <t>AGAP029812-PA</t>
  </si>
  <si>
    <t xml:space="preserve"> camk/camkl/mark protein kinase</t>
  </si>
  <si>
    <t>ExpAA=1.67 First60=0.00 PredHel=0 Topology=o</t>
  </si>
  <si>
    <t>cd14071, STKc_SIK, Catalytic domain of the Serine/Threonine Kinases, Salt-Inducible kinases.  STKs catalyze the transfer of the gamma-phosphoryl group from ATP to serine/threonine residues on protein substrates. SIKs are part of a complex network that regulates Na,K-ATPase to maintain sodium homeostasis and blood pressure. Vertebrates contain three forms of SIKs (SIK1-3) from three distinct genes, which display tissue-specific effects. SIK1, also called SNF1LK, controls steroidogenic enzyme production in adrenocortical cells. In the brain, both SIK1 and SIK2 regulate energy metabolism. SIK2, also called QIK or SNF1LK2, is involved in the regulation of gluconeogenesis in the liver and lipogenesis in adipose tissues, where it phosphorylates the insulin receptor substrate-1. In the liver, SIK3 (also called QSK) regulates cholesterol and bile acid metabolism. In addition, SIK2 plays an important role in the initiation of mitosis and regulates the localization of C-Nap1, a centrosome linker protein. The SIK subfamily is part of a larger superfamily that includes the catalytic domains of other STKs, protein tyrosine kinases, RIO kinases, aminoglycoside phosphotransferase, choline kinase, and phosphoinositide 3-kinase.</t>
  </si>
  <si>
    <t>STKc_SIK e-141| STKc_AMPK-like e-120| STKc_MARK e-111| STKc_AMPK_alpha 5e-093| STKc_CAMK 8e-093| STKc_BRSK1_2 2e-091| S_TKc 3e-088| STKc_SNRK 5e-084| STKc_NUAK 5e-084| STKc_NIM1 9e-084|</t>
  </si>
  <si>
    <t>KOG0586, KOG0586, KOG0586, Serine/threonine protein kinase [General function prediction only].</t>
  </si>
  <si>
    <t xml:space="preserve"> AgamP4_2L:31583912-31600401(+) </t>
  </si>
  <si>
    <t>AGAP029520-RA</t>
  </si>
  <si>
    <t>Integrin-linked kinase - probable fragment - 33 OH-glycosylation sites</t>
  </si>
  <si>
    <t>AGAP029520-PA</t>
  </si>
  <si>
    <t xml:space="preserve"> ankyrin repeat domain-containing protein 11-like isoform x1 - 33 OH-glycosylation sites -  33 NetOglyc sites</t>
  </si>
  <si>
    <t>ANK 2e-032| ANK 5e-030| Ank_2 5e-022| Arp 2e-016| PHA02874 5e-015| PHA02878 6e-015| PHA03100 2e-013| PHA03095 7e-013| PHA02876 5e-012| PHA03307 5e-009|</t>
  </si>
  <si>
    <t>KOG4177, KOG4177, KOG4177, Ankyrin [Cell wall/membrane/envelope biogenesis].</t>
  </si>
  <si>
    <t xml:space="preserve"> AgamP4_2L:18230092-18270250(+) </t>
  </si>
  <si>
    <t xml:space="preserve">2 | 403    ETKRKKR|KD  0.566 *ProP*  | 662    TQQRVLR|SS  0.657 *ProP*  | </t>
  </si>
  <si>
    <t>AGAP005187-RA</t>
  </si>
  <si>
    <t>Bromodomain - 16 OH-glycosylation sites -  16 NetOglyc sites</t>
  </si>
  <si>
    <t>AGAP005187-PA</t>
  </si>
  <si>
    <t xml:space="preserve"> bromodomain-containing protein - 16 OH-glycosylation sites -  16 NetOglyc sites</t>
  </si>
  <si>
    <t>Bromo_gcn5_like 2e-038| Bromodomain 3e-026| BROMO 1e-025| Bromo_BDF1_2_II 2e-021| Bromodomain 3e-020| Bromo_TFIID 3e-019| Bromo_BDF1_2_I 4e-019| Bromo_Acf1_like 3e-018| COG5076 3e-017| Bromo_BAZ2A_B_like 2e-016|</t>
  </si>
  <si>
    <t xml:space="preserve"> AgamP4_2L:12119908-12135054(+) </t>
  </si>
  <si>
    <t xml:space="preserve">8 | 325    SEARAKR|AE  0.576 *ProP*  | 533    AERRPVR|AV  0.559 *ProP*  | 611    NQGRKKK|GK  0.531 *ProP*  | 827    SKDRSKK|GG  0.585 *ProP*  | 1213    GKGRQKK|TG  0.541 *ProP*  | 1327    EHHRAKK|SG  0.547 *ProP*  | 1440    SDGRSER|DS  0.650 *ProP*  | 3360    KRSRKKK|DQ  0.790 *ProP*  | </t>
  </si>
  <si>
    <t>AGAP007104-RA</t>
  </si>
  <si>
    <t xml:space="preserve">farnesyl diphosphate synthase </t>
  </si>
  <si>
    <t>farnesyl diphosphate synthase</t>
  </si>
  <si>
    <t>Polyprenyl synthetase</t>
  </si>
  <si>
    <t>AGAP007104-PA</t>
  </si>
  <si>
    <t xml:space="preserve"> polyprenyl synthetase</t>
  </si>
  <si>
    <t>ExpAA=1.55 First60=0.06 PredHel=0 Topology=o</t>
  </si>
  <si>
    <t>pfam00348, polyprenyl_synt, Polyprenyl synthetase.</t>
  </si>
  <si>
    <t>polyprenyl_synt 2e-081| Trans_IPPS_HT 4e-064| Trans_IPPS 5e-047| IspA 7e-045| Isoprenoid_Biosyn_C1 6e-027| preA 3e-009| PRK10581 7e-007| Prenyl_transferase 8e-007| PRK10888 9e-005| PLN02857 9e-005|</t>
  </si>
  <si>
    <t>KOG0711, KOG0711, KOG0711, Polyprenyl synthetase [Coenzyme transport and metabolism].</t>
  </si>
  <si>
    <t xml:space="preserve"> AgamP4_2L:42784836-42792533(-) </t>
  </si>
  <si>
    <t>AGAP007925-RB</t>
  </si>
  <si>
    <t xml:space="preserve">Ralgapb </t>
  </si>
  <si>
    <t>Ralgapb</t>
  </si>
  <si>
    <t>ral GTPase-activating protein subunit beta isoform X6</t>
  </si>
  <si>
    <t>AGAP007925-PB</t>
  </si>
  <si>
    <t xml:space="preserve"> ral gtpase-activating protein subunit beta</t>
  </si>
  <si>
    <t>ExpAA=0.74 First60=0.00 PredHel=0 Topology=o</t>
  </si>
  <si>
    <t>pfam15352, K1377, Susceptibility to monomelic amyotrophy.  This family of proteins is associated with a susceptibility to monomelic amyotrophy.</t>
  </si>
  <si>
    <t>K1377 | QPRTase_NadC | PRK08275 | rSAM_ahbD_hemeb | NADH-quinone_oxidoreductase_subunit_D | RPO41 | GP4d_helicase | D_pro_red_PrdD |</t>
  </si>
  <si>
    <t>KOG3652, KOG3652, KOG3652, Uncharacterized conserved protein [Function unknown].</t>
  </si>
  <si>
    <t>smart00805, AGTRAP, Angiotensin II, type I receptor-associated protein.  This family consists of several angiotensin II, type I receptor-associated protein (AGTRAP) sequences. AGTRAP is known to interact specifically with the C-terminal cytoplasmic region of the angiotensin II type 1 (AT(1)) receptor to regulate different aspects of AT(1) receptor physiology. The function of this family is unclear.</t>
  </si>
  <si>
    <t xml:space="preserve"> AgamP4_3R:2908891-2916228(-) </t>
  </si>
  <si>
    <t xml:space="preserve">1 | 442    MQNTKKR|AA  0.533 *ProP*  | </t>
  </si>
  <si>
    <t>AGAP012236-RA</t>
  </si>
  <si>
    <t>Trichohyalin-plectin-homology domain - 32 OH-glycosylation sites</t>
  </si>
  <si>
    <t>AGAP012236-PA</t>
  </si>
  <si>
    <t xml:space="preserve"> mucin-19 - 32 OH-glycosylation sites -  32 NetOglyc sites</t>
  </si>
  <si>
    <t>ExpAA=0.14 First60=0.02 PredHel=0 Topology=o</t>
  </si>
  <si>
    <t>cd15550, PHD_MLL5, PHD finger found in mixed lineage leukemia 5 (MLL5).  MLL5 is a histone methyltransferase that plays a key role in hematopoiesis, spermatogenesis and cell cycle progression. It contains a single plant homeodomain (PHD) finger followed by a catalytic SET domain. MLL5 can be recruited to E2F1-responsive promoters to stimulate H3K4 trimethylation and transcriptional activation by binding to the cell cycle regulator host cell factor (HCF-1), thereby facilitating the cell cycle G1 to S phase transition. It is also involved in mitotic fidelity and genomic integrity by modulating the stability of the chromosomal passenger complex (CPC) via the interaction with Borealin. Moreover, MLL5 is a component of a complex associated with retinoic acid receptor that requires GlcN Acylation of its SET domain in order to activate its histone lysine methyltransferase activity. It also participates in the camptothecin (CPT)-induced p53 activation. Furthermore, MLL5 indirectly regulates H3K4 methylation, represses cyclin A2 (CycA) expression, and promotes myogenic differentiation.</t>
  </si>
  <si>
    <t>PHD_MLL5 1e-026| SET 5e-015| rne 2e-013| PHD_ASH1L 9e-013| PHD 7e-012| PHD_PHF20 7e-011| SbcC 8e-011| PHD_PHF20L1 1e-010| PHD_MMD1_like 2e-010| PHD_PHF3_like 2e-010|</t>
  </si>
  <si>
    <t xml:space="preserve"> AgamP4_3L:39191593-39203284(+) </t>
  </si>
  <si>
    <t xml:space="preserve">5 | 1320    GKSGTKR|SL  0.614 *ProP*  | 1811    TSSPVKR|SS  0.702 *ProP*  | 1838    SASKSKK|SS  0.576 *ProP*  | 1907    VPGSKRR|SI  0.526 *ProP*  | 1988    GGKRKIR|SS  0.626 *ProP*  | </t>
  </si>
  <si>
    <t>AGAP028655-RA</t>
  </si>
  <si>
    <t>AGAP028655-PA</t>
  </si>
  <si>
    <t>ExpAA=21.48 First60=21.06 PredHel=1 Topology=i13-35o</t>
  </si>
  <si>
    <t>Kineococcus radiotolerans (strain ATCC BAA-149 / DSM 14245 / SRS30216)</t>
  </si>
  <si>
    <t>FimP | PRK06820 | AvrD | WT1 | ATPase_flagellum-secretory_path_III | PRK09034 | PRK07377 | PTZ00297 |</t>
  </si>
  <si>
    <t>KOG1025, KOG1025, KOG1025, Epidermal growth factor receptor EGFR and related tyrosine kinases [Signal transduction mechanisms].</t>
  </si>
  <si>
    <t xml:space="preserve"> AgamP4_X:15438820-15449297(-) </t>
  </si>
  <si>
    <t xml:space="preserve">1 | 354    QRTRHAR|ST  0.754 *ProP*  | </t>
  </si>
  <si>
    <t>AGAP004246-RA</t>
  </si>
  <si>
    <t xml:space="preserve">Receptor protein-tyrosine phosphatase 10d </t>
  </si>
  <si>
    <t>Receptor protein-tyrosine phosphatase 10d</t>
  </si>
  <si>
    <t>Protein tyrosine phosphatase Corkscrew - probable fragment</t>
  </si>
  <si>
    <t>AGAP004246-PA</t>
  </si>
  <si>
    <t xml:space="preserve"> receptor tyrosine-protein phosphatase beta isoform x1</t>
  </si>
  <si>
    <t>ExpAA=24.34 First60=0.71 PredHel=1 Topology=o1221-1243i</t>
  </si>
  <si>
    <t>PTPc 7e-095| PTPc 2e-093| Y_phosphatase 8e-087| PTP2 5e-045| PHA02738 2e-039| PHA02742 2e-039| PHA02747 4e-035| PTPc_motif 1e-030| PTPc_DSPc 1e-030| PHA02746 5e-030|</t>
  </si>
  <si>
    <t>KOG0791, KOG0791, KOG0791, Protein tyrosine phosphatase, contains fn3 domain [Signal transduction mechanisms].</t>
  </si>
  <si>
    <t xml:space="preserve"> AgamP4_2R:53138086-53177004(-) </t>
  </si>
  <si>
    <t xml:space="preserve">1 | 1247    LFLRRRR|HT  0.528 *ProP*  | </t>
  </si>
  <si>
    <t>AGAP001330.R274</t>
  </si>
  <si>
    <t>furin</t>
  </si>
  <si>
    <t>VectorBase: AGAP001330</t>
  </si>
  <si>
    <t>AGAP003282-RA</t>
  </si>
  <si>
    <t>Histone-lysine N-methyltransferase, H3 lysine-79 specific</t>
  </si>
  <si>
    <t>Histone methylation protein DOT1 - 13 OH-glycosylation sites -  13 NetOglyc sites</t>
  </si>
  <si>
    <t>AGAP003282-PA</t>
  </si>
  <si>
    <t xml:space="preserve"> histone-lysine n-methyltransferase - 28 OH-glycosylation sites -  28 NetOglyc sites</t>
  </si>
  <si>
    <t>pfam08123, DOT1, Histone methylation protein DOT1.  The DOT1 domain regulates gene expression by methylating histone H3. H3 methylation by DOT1 has been shown to be required for the DNA damage checkpoint in yeast.</t>
  </si>
  <si>
    <t>DOT1 4e-086| PAT1 2e-008| PRK07764 3e-008| MAD 3e-007| PHA03307 7e-006| Med15 2e-005| Activator_LAG-3 4e-005| PRK13875 1e-004| PRK13808 3e-004| COG3883 4e-004|</t>
  </si>
  <si>
    <t>KOG3924, KOG3924, KOG3924, Putative protein methyltransferase involved in meiosis and transcriptional silencing (Dot1) [Cell cycle control, cell division, chromosome partitioning, Transcription].</t>
  </si>
  <si>
    <t xml:space="preserve">Cell cycle control, cell division, chromosome partitioning, Transcription </t>
  </si>
  <si>
    <t xml:space="preserve"> AgamP4_2R:34856256-34870976(+) </t>
  </si>
  <si>
    <t xml:space="preserve">3 | 361    RSSRSRK|DN  0.621 *ProP*  | 504    GKGRQRR|PL  0.645 *ProP*  | 1960    DEERHRR|DL  0.657 *ProP*  | </t>
  </si>
  <si>
    <t>AGAP008100-RB</t>
  </si>
  <si>
    <t xml:space="preserve">Spire [Source:UniProtKB/TrEMBL;Acc:A0A1S4GX95] </t>
  </si>
  <si>
    <t>AGAP008100-PB</t>
  </si>
  <si>
    <t xml:space="preserve"> protein spire</t>
  </si>
  <si>
    <t xml:space="preserve">1 | 427    IPPRVKK|DA  0.691 *ProP*  | </t>
  </si>
  <si>
    <t>AGAP000124.R726</t>
  </si>
  <si>
    <t>inositol polyphosphate-4-phosphatase</t>
  </si>
  <si>
    <t>VectorBase: AGAP000124</t>
  </si>
  <si>
    <t>AGAP008516-RA</t>
  </si>
  <si>
    <t>nicotinate phosphoribosyltransferase - probable fragment</t>
  </si>
  <si>
    <t>AGAP008516-PA</t>
  </si>
  <si>
    <t>ExpAA=0.52 First60=0.02 PredHel=0 Topology=o</t>
  </si>
  <si>
    <t>PLN02885 e-127| NAPRTase_A 5e-098| Nicotinate_phosphoribosyltransferase_p...   285   7e-077 7e-077| PRK09243 4e-075| NAPRTase_PncB 4e-065| PncB 1e-053| PRK12484 3e-053| PRTase_typeII 2e-038| NAPRTase_B 1e-019| PRK08662 7e-018|</t>
  </si>
  <si>
    <t>AGAP007970-RA</t>
  </si>
  <si>
    <t xml:space="preserve">autophagy related gene </t>
  </si>
  <si>
    <t>APG18A: autophagy related gene</t>
  </si>
  <si>
    <t>autophagy-specific 18</t>
  </si>
  <si>
    <t>AGAP007970-PA</t>
  </si>
  <si>
    <t xml:space="preserve"> tra0as4gxma0as4gxm anoga autophagy related protein os-ox-76 pe-4 sv</t>
  </si>
  <si>
    <t>ExpAA=0.30 First60=0.01 PredHel=0 Topology=o</t>
  </si>
  <si>
    <t>COG2319, COG2319, FOG: WD40 repeat [General function prediction only].</t>
  </si>
  <si>
    <t>COG2319 4e-005| 7WD40 0.001| WD40 0.002| PRK02888 | PTZ00420 | WD40 | WD40 | PRK12666 | Auxin_canalis | S49_SppA |</t>
  </si>
  <si>
    <t>KOG2110, KOG2110, KOG2110, Uncharacterized conserved protein, contains WD40 repeats [Function unknown].</t>
  </si>
  <si>
    <t xml:space="preserve"> AgamP4_3R:3402541-3432646(+) </t>
  </si>
  <si>
    <t xml:space="preserve">1 | 224    FRRGVKR|HV  0.540 *ProP*  | </t>
  </si>
  <si>
    <t>AGAP001269-RB</t>
  </si>
  <si>
    <t>Chorion transcription factor Cf2 - probable fragment - 31 OH-glycosylation sites -  31 NetOglyc sites</t>
  </si>
  <si>
    <t>AGAP001269-PB</t>
  </si>
  <si>
    <t xml:space="preserve"> gastrula zinc finger protein xlcgf9.1 - 31 OH-glycosylation sites -  31 NetOglyc sites</t>
  </si>
  <si>
    <t>ZF_C2H2 6e-021| ZF_C2H2 1e-012| PAT1 5e-004| Med15 0.004| Activator_LAG-3 0.011| E_Pc_C 0.042| AAI_SS 0.071| COG5048 0.096| Amelogenin | Zein |</t>
  </si>
  <si>
    <t xml:space="preserve"> AgamP4_2R:2142864-2145097(+) </t>
  </si>
  <si>
    <t xml:space="preserve">1 | 378    GKARKKR|KY  0.789 *ProP*  | </t>
  </si>
  <si>
    <t>AGAP002321-RA</t>
  </si>
  <si>
    <t>mucin-2-like isoform X1 - 49 OH-glycosylation sites -  49 NetOglyc sites</t>
  </si>
  <si>
    <t>AGAP002321-PA</t>
  </si>
  <si>
    <t xml:space="preserve"> protein - 49 OH-glycosylation sites -  49 NetOglyc sites</t>
  </si>
  <si>
    <t>pfam15249, GLTSCR1, Conserved region of unknown function on GLTSCR protein.  This domain family is found in eukaryotes, and is typically between 105 and 124 amino acids in length. It is found on glioma tumor suppressor candidate region gene proteins. ** Forced reload.</t>
  </si>
  <si>
    <t>GLTSCR1 1e-031| PAT1 8e-014| DUF4175 3e-009| Med15 4e-007| Nuclease_SbcCD_subunit_C 1e-006| PRK10263 4e-006| Activator_LAG-3 5e-005| TolA_bind_tri 2e-004| DUF1421 2e-004| MscS_porin 0.014|</t>
  </si>
  <si>
    <t xml:space="preserve"> AgamP4_2R:19518880-19532204(+) </t>
  </si>
  <si>
    <t>AGAP012186-RA</t>
  </si>
  <si>
    <t xml:space="preserve">lipoyltransferase 1 </t>
  </si>
  <si>
    <t>lipoyltransferase 1</t>
  </si>
  <si>
    <t>Lipoate-protein ligase A</t>
  </si>
  <si>
    <t>AGAP012186-PA</t>
  </si>
  <si>
    <t xml:space="preserve"> lipoyltransferase 1</t>
  </si>
  <si>
    <t>ExpAA=0.04 First60=0.04 PredHel=0 Topology=o</t>
  </si>
  <si>
    <t>cd16443, LplA, lipoate-protein ligase.  Lipoate-protein ligase A (LplA) catalyzes the formation of an amide linkage between free lipoic acid and a specific lysine residue of the lipoyl domain in lipoate dependent enzymes, similar to the biotinylation reaction mediated by biotinyl protein ligase (BPL). The two step reaction includes activation of exogenously supplied lipoic acid at the expense of ATP to lipoyl-AMP and then transfer to the epsilon-amino group of a specific lysine residue of the lipoyl domain of the target protein.</t>
  </si>
  <si>
    <t>LplA 1e-049| Probable_lipoate-protein_ligase_A 7e-049| lplA 1e-040| LplA 4e-038| PRK14061 3e-035| BPL_LplA_LipB 3e-017| BPL_LplA_LipB 0.082| COG3944 | conserved_hypothetical_protein | COG3442 |</t>
  </si>
  <si>
    <t>KOG3159, KOG3159, KOG3159, Lipoate-protein ligase A [Coenzyme transport and metabolism].</t>
  </si>
  <si>
    <t>pfam03099, BPL_LplA_LipB, Biotin/lipoate A/B protein ligase family. This family includes biotin protein ligase, lipoate-protein ligase A and B. Biotin is covalently attached at the active site of certain enzymes that transfer carbon dioxide from bicarbonate to organic acids to form cellular metabolites. Biotin protein ligase (BPL) is the enzyme responsible for attaching biotin to a specific lysine at the active site of biotin enzymes. Each organism probably has only one BPL. Biotin attachment is a two step reaction that results in the formation of an amide linkage between the carboxyl group of biotin and the epsilon-amino group of the modified lysine. Lipoate-protein ligase A (LPLA) catalyzes the formation of an amide linkage between lipoic acid and a specific lysine residue in lipoate dependent enzymes. The unusual biosynthesis pathway of lipoic acid is mechanistically intertwined with attachment of the cofactor.</t>
  </si>
  <si>
    <t xml:space="preserve"> AgamP4_3L:38521838-38528174(+) </t>
  </si>
  <si>
    <t>AGAP011603-RA</t>
  </si>
  <si>
    <t xml:space="preserve">Long-chain acyl-CoA synthetase [Source:UniProtKB/TrEMBL;Acc:A0A1S4H733] </t>
  </si>
  <si>
    <t>Long-chain acyl-CoA synthetase</t>
  </si>
  <si>
    <t>Eukaryotic long-chain fatty acid CoA synthetase</t>
  </si>
  <si>
    <t>AGAP011603-PA</t>
  </si>
  <si>
    <t xml:space="preserve"> 17-18</t>
  </si>
  <si>
    <t>ExpAA=0.63 First60=0.45 PredHel=0 Topology=o</t>
  </si>
  <si>
    <t>cd05927, LC-FACS_euk, Eukaryotic long-chain fatty acid CoA synthetase (LC-FACS).  The members of this family are eukaryotic fatty acid CoA synthetases that activate fatty acids with chain lengths of 12 to 20. LC-FACS catalyzes the formation of fatty acyl-CoA in a two-step reaction: the formation of a fatty acyl-AMP molecule as an intermediate, and the formation of a fatty acyl-CoA. This is a required step before free fatty acids can participate in most catabolic and anabolic reactions. Organisms tend to have multiple isoforms of LC-FACS genes with multiple splice variants. For example, nine genes are found in Arabidopsis and six genes are expressed in mammalian cells.</t>
  </si>
  <si>
    <t>LC-FACS_euk | PLN02736 | FAA1 e-149| PLN02861 e-137| PLN02430 e-136| PLN02614 e-131| PLN02387 e-112| VL_LC_FACS_like e-110| AMP-binding 5e-091| PTZ00216 4e-079|</t>
  </si>
  <si>
    <t>KOG1256, KOG1256, KOG1256, Long-chain acyl-CoA synthetases (AMP-forming) [Lipid transport and metabolism].</t>
  </si>
  <si>
    <t>smart00482, POLAc, DNA polymerase A domain.</t>
  </si>
  <si>
    <t>AGAP009041-RA</t>
  </si>
  <si>
    <t>uncharacterized protein loc109405690 - 25 OH-glycosylation sites -  25 NetOglyc sites</t>
  </si>
  <si>
    <t>AGAP009041-PA</t>
  </si>
  <si>
    <t xml:space="preserve"> microtubule-associated protein futsch - 24 OH-glycosylation sites -  24 NetOglyc sites</t>
  </si>
  <si>
    <t>pfam07655, Secretin_N_2, Secretin N-terminal domain.  This is a short domain found in bacterial type II/III secretory system proteins. The architecture of these proteins suggest that this family may be functionally analogous to pfam03958.</t>
  </si>
  <si>
    <t>Secretin_N_2 0.001| COG5099 0.007| PLN03237 0.007| SBE2 0.010| PRK13914 0.043| PHA03307 0.044| Macoilin 0.050| PRK08581 0.051| PRK03918 0.053| DUF4614 0.080|</t>
  </si>
  <si>
    <t>KOG3570, KOG3570, KOG3570, MAPK-activating protein DENN [Signal transduction mechanisms].</t>
  </si>
  <si>
    <t xml:space="preserve"> AgamP4_3R:24534164-24541608(-) </t>
  </si>
  <si>
    <t xml:space="preserve">1 | 1729    SPPASRR|SI  0.510 *ProP*  | </t>
  </si>
  <si>
    <t>AGAP011030-RA</t>
  </si>
  <si>
    <t xml:space="preserve">microtubule-associated serine/threonine kinase </t>
  </si>
  <si>
    <t>microtubule-associated serine/threonine kinase</t>
  </si>
  <si>
    <t>Microtubule-associated serine/threonine kinase - probable fragment - 41 OH-glycosylation sites</t>
  </si>
  <si>
    <t>AGAP011030-PA</t>
  </si>
  <si>
    <t xml:space="preserve"> microtubule-associated serine/threonine-protein kinase 3 - 41 OH-glycosylation sites -  41 NetOglyc sites</t>
  </si>
  <si>
    <t>cd05609, STKc_MAST, Catalytic domain of the Protein Serine/Threonine Kinase, Microtubule-associated serine/threonine kinase. STKs catalyze the transfer of the gamma-phosphoryl group from ATP to serine/threonine residues on protein substrates. MAST kinases contain an N-terminal domain of unknown function, a central catalytic domain, and a C-terminal PDZ domain that mediates protein-protein interactions. There are four mammalian MAST kinases, named MAST1-MAST4. MAST1 is also called syntrophin-associated STK (SAST) while MAST2 is also called MAST205. MAST kinases are cytoskeletal associated kinases of unknown function that are also expressed at neuromuscular junctions and postsynaptic densities. MAST1, MAST2, and MAST3 bind and phosphorylate the tumor suppressor PTEN, and may contribute to the regulation and stabilization of PTEN. MAST2 is involved in the regulation of the Fc-gamma receptor of the innate immune response in macrophages, and may also be involved in the regulation of the Na+/H+ exchanger NHE3. The MAST kinase subfamily is part of a larger superfamily that includes the catalytic domains of other STKs, protein tyrosine kinases, RIO kinases, aminoglycoside phosphotransferase, choline kinase, and phosphoinositide 3-kinase.</t>
  </si>
  <si>
    <t>STKc_MAST | STKc_MAST_like e-129| STKc_AGC e-104| DUF1908 e-102| STKc_ROCK_NDR_like e-100| STKc_NDR_like 1e-097| STKc_PKA_like 5e-092| S_TKc 5e-089| STKc_Rim15_like 4e-088| STKc_phototropin_like 9e-085|</t>
  </si>
  <si>
    <t>KOG0606, KOG0606, KOG0606, Microtubule-associated serine/threonine kinase and related proteins [Signal transduction mechanisms, General function prediction only].</t>
  </si>
  <si>
    <t>pfam08926, DUF1908, Domain of unknown function (DUF1908).  This domain is found in a set of hypothetical/structural eukaryotic proteins.</t>
  </si>
  <si>
    <t xml:space="preserve"> AgamP4_3L:14626518-14633447(-) </t>
  </si>
  <si>
    <t>AGAP013009.R189</t>
  </si>
  <si>
    <t>VectorBase: AGAP013009</t>
  </si>
  <si>
    <t>AGAP000973.R700</t>
  </si>
  <si>
    <t>neutral ceramidase</t>
  </si>
  <si>
    <t>VectorBase: AGAP000973</t>
  </si>
  <si>
    <t>AGAP005183.R232</t>
  </si>
  <si>
    <t>VectorBase: AGAP005183</t>
  </si>
  <si>
    <t>AGAP011347-RA</t>
  </si>
  <si>
    <t xml:space="preserve">Arylsulfatase b [Source:UniProtKB/TrEMBL;Acc:A0A1S4H7A4] </t>
  </si>
  <si>
    <t>Arylsulfatase b</t>
  </si>
  <si>
    <t>arylsulfatase B isoform X1 - signalP detected</t>
  </si>
  <si>
    <t>AGAP011347-PA</t>
  </si>
  <si>
    <t xml:space="preserve"> arylsulfatase b-like protein - signalP detected</t>
  </si>
  <si>
    <t>ExpAA=36.63 First60=13.82 PredHel=1 Topology=o577-599i</t>
  </si>
  <si>
    <t>cd16029, 4-S, N-acetylgalactosamine 4-sulfatase, also called arylsulftase B.  Sulfatases catalyze the hydrolysis of sulfuric acid esters from a wide variety of substrates. N-acetylgalactosamine 4-sulfatase catalyzes the removal of the sulfate ester group from position 4 of an N-acetylgalactosamine sugar at the non-reducing terminus of the polysaccharide in the degradative pathways of the glycosaminoglycans dermatan sulfate and chondroitin-4-sulfate. N-acetylgalactosamine 4-sulfatase is a lysosomal enzyme.</t>
  </si>
  <si>
    <t>4-S e-152| ARS_like 7e-075| GALNS_like 5e-073| ARS_like 5e-067| ARS_like 5e-062| ARS_like 5e-059| AslA 6e-055| PAS_like 6e-054| ARS_like 5e-050| Sulfatase 8e-049|</t>
  </si>
  <si>
    <t>KOG3867, KOG3867, KOG3867, Sulfatase [General function prediction only].</t>
  </si>
  <si>
    <t>pfam00884, Sulfatase, Sulfatase.</t>
  </si>
  <si>
    <t>AGAP011067-RA</t>
  </si>
  <si>
    <t>Transcription factor SIX</t>
  </si>
  <si>
    <t>AGAP011067-PA</t>
  </si>
  <si>
    <t xml:space="preserve"> transcription factor six</t>
  </si>
  <si>
    <t>pfam16878, SIX1_SD, Transcriptional regulator, SIX1, N-terminal SD domain.  SIX1_SD is a family of eukaryotic proteins, and it is found N-terminal to the Homeobox domain. As a transcription factor it lacks intrinsic activation domains and thus needs to bind to the EYA family of co-factors in order to mediate transcriptional activation. It is the SD domain that is necessary for this protein-protein interaction, binding to the C-terminal region of EYA - Eyes absent homolog proteins.</t>
  </si>
  <si>
    <t>SIX1_SD 2e-059| homeodomain 4e-013| HOX 5e-012| Homeobox 3e-010| Homeobox_KN 8e-009| COG5576 0.009| COG3383 | FAM53 | Secretin_N_2 | RecB |</t>
  </si>
  <si>
    <t>KOG0775, KOG0775, KOG0775, Transcription factor SIX and related HOX domain proteins [Transcription].</t>
  </si>
  <si>
    <t>smart00389, HOX, Homeodomain.  DNA-binding factors that are involved in the transcriptional regulation of key developmental processes.</t>
  </si>
  <si>
    <t xml:space="preserve"> AgamP4_3L:16218078-16221507(-) </t>
  </si>
  <si>
    <t>AGAP001451.R292</t>
  </si>
  <si>
    <t>VectorBase: AGAP001451</t>
  </si>
  <si>
    <t>AGAP010335.R620</t>
  </si>
  <si>
    <t>AGAP003901-RA</t>
  </si>
  <si>
    <t>Calponin homology domain - 10 OH-glycosylation sites</t>
  </si>
  <si>
    <t>AGAP003901-PA</t>
  </si>
  <si>
    <t xml:space="preserve"> gas2-like protein pickled eggs - 10 OH-glycosylation sites</t>
  </si>
  <si>
    <t>ExpAA=4.09 First60=0.00 PredHel=0 Topology=o</t>
  </si>
  <si>
    <t>pfam02187, GAS2, Growth-Arrest-Specific Protein 2 Domain.  The GAR2 domain is common in plakin family members and Gas2 family members. The GAR domain comprises around 57 amino acids and has been shown to bind to microtubules.</t>
  </si>
  <si>
    <t>GAS2 9e-037| GAS2 4e-032| CH 2e-010| CH 2e-007| CH 4e-006| SCP1 0.003| PRK13875 | PRK07003 | PLN02217 | Peptidase_M57 |</t>
  </si>
  <si>
    <t>KOG0516, KOG0516, KOG0516, Dystonin, GAS (Growth-arrest-specific protein), and related proteins [Cytoskeleton].</t>
  </si>
  <si>
    <t>smart00243, GAS2, Growth-Arrest-Specific Protein 2 Domain. GROWTH-ARREST-SPECIFIC PROTEIN 2 Domain.</t>
  </si>
  <si>
    <t xml:space="preserve"> AgamP4_2R:45720884-45740127(-) </t>
  </si>
  <si>
    <t xml:space="preserve">2 | 419    PLKTSRR|SV  0.530 *ProP*  | 826    IVERVRR|LV  0.561 *ProP*  | </t>
  </si>
  <si>
    <t>AGAP004873-RB</t>
  </si>
  <si>
    <t>Rac1 GTPase effector FHOS - 10 OH-glycosylation sites</t>
  </si>
  <si>
    <t>AGAP004873-PB</t>
  </si>
  <si>
    <t xml:space="preserve"> rac1 gtpase effector fhos - 10 OH-glycosylation sites</t>
  </si>
  <si>
    <t>ExpAA=0.39 First60=0.20 PredHel=0 Topology=o</t>
  </si>
  <si>
    <t>FH2 2e-082| FH2 6e-047| FAP 6e-007| GGN 1e-006| PRK14950 1e-006| PHA03247 2e-006| DUF1421 2e-006| Mito_fiss_reg 2e-006| PLN02983 4e-006| SOBP 2e-005|</t>
  </si>
  <si>
    <t>KOG1925, KOG1925, KOG1925, Rac1 GTPase effector FHOS [Signal transduction mechanisms, Cytoskeleton].</t>
  </si>
  <si>
    <t xml:space="preserve"> AgamP4_2L:4769361-4800301(-) </t>
  </si>
  <si>
    <t>ExpAA=0.47 First60=0.27 PredHel=0 Topology=o</t>
  </si>
  <si>
    <t>AGAP011571-RA</t>
  </si>
  <si>
    <t>AGAP011571-PA</t>
  </si>
  <si>
    <t>ExpAA=18.53 First60=18.53 PredHel=1 Topology=i5-24o</t>
  </si>
  <si>
    <t>PRK04926, dgt, deoxyguanosinetriphosphate triphosphohydrolase; Provisional.</t>
  </si>
  <si>
    <t>dgt | Radical_SAM_domain_protein | Glyco_hydro_49 | PBP1_LuxPQ_Quorum_Sensing | PLN00175 | PRK04960 | Lipocalin_5 | UspB |</t>
  </si>
  <si>
    <t>KOG1515, KOG1515, KOG1515, Arylacetamide deacetylase [Defense mechanisms].</t>
  </si>
  <si>
    <t>pfam03718, Glyco_hydro_49, Glycosyl hydrolase family 49.  Family of dextranase (EC 3.2.1.11) and isopullulanase (EC 3.2.1.57). Dextranase hydrolyses alpha-1,6-glycosidic bonds in dextran polymers.</t>
  </si>
  <si>
    <t>smart00832, C8, This domain contains 8 conserved cysteine residues. Not all of the conserved cysteines have been included in the alignment model. It is found in disease-related proteins including von Willebrand factor, Alpha tectorin, Zonadhesin and Mucin.</t>
  </si>
  <si>
    <t xml:space="preserve"> AgamP4_3L:27960415-27963900(-) </t>
  </si>
  <si>
    <t xml:space="preserve">1 | 40    VLSRGER|SV  0.636 *ProP*  | </t>
  </si>
  <si>
    <t>C(3.8)</t>
  </si>
  <si>
    <t>AGAP006776-RB</t>
  </si>
  <si>
    <t>phd finger protein - 34 OH-glycosylation sites -  34 NetOglyc sites</t>
  </si>
  <si>
    <t>AGAP006776-PB</t>
  </si>
  <si>
    <t xml:space="preserve"> ring e3 ubiquitin transferase - 34 OH-glycosylation sites -  34 NetOglyc sites</t>
  </si>
  <si>
    <t>ExpAA=9.58 First60=0.00 PredHel=0 Topology=o</t>
  </si>
  <si>
    <t>cd15671, ePHD_JADE, Extended PHD finger found in protein Jade-1, Jade-2, Jade-3 and similar proteins.  The extended plant homeodomain (ePHD) zinc finger is characterized as Cys2HisCys5HisCys2His. This model includes the ePHD finger of Jade-1 (PHF17), Jade-2 (PHF15), and Jade-3 (PHF16); each of these proteins is required for ING4 and ING5 to associate with histone acetyltransferase (HAT) HBO1 and EAF6 to form a HBO1 complex that has a histone H4-specific acetyltransferase activity, has reduced activity toward histone H3, and is responsible for the bulk of histone H4 acetylation in vivo. This family also contains Drosophila melanogaster PHD finger protein rhinoceros (RNO). It is a novel plant homeodomain (PHD)-containing nuclear protein that may function as a transcription factor that antagonizes Ras signaling by regulating transcription of key EGFR/Ras pathway regulators in the Drosophila eye. All Jade proteins contain a canonical PHD finger followed by this non-canonical ePHD finger, both of which are zinc-binding motifs.</t>
  </si>
  <si>
    <t>ePHD_JADE 1e-065| ePHD_RNO 2e-065| COG5141 1e-063| ePHD_JADE1 2e-049| ePHD_JADE3 2e-048| ePHD_JADE2 7e-046| ePHD_BRPF 4e-042| zf-HC5HC2H_2 9e-042| ePHD 8e-036| zf-HC5HC2H 4e-035|</t>
  </si>
  <si>
    <t>KOG0954, KOG0954, KOG0954, PHD finger protein [General function prediction only].</t>
  </si>
  <si>
    <t>pfam13832, zf-HC5HC2H_2, PHD-zinc-finger like domain.</t>
  </si>
  <si>
    <t xml:space="preserve"> AgamP4_2L:38134186-38148003(-) </t>
  </si>
  <si>
    <t>AGAP007774.R743</t>
  </si>
  <si>
    <t>VectorBase: AGAP007774</t>
  </si>
  <si>
    <t>AGAP001606-RA</t>
  </si>
  <si>
    <t xml:space="preserve">5-oxoprolinase (ATP-hydrolysing) [Source:UniProtKB/TrEMBL;Acc:Q8T5H1] </t>
  </si>
  <si>
    <t>5-oxoprolinase (ATP-hydrolysing)</t>
  </si>
  <si>
    <t>Oxoprolinase</t>
  </si>
  <si>
    <t>AGAP001606-PA</t>
  </si>
  <si>
    <t>PLN02666, PLN02666, 5-oxoprolinase.</t>
  </si>
  <si>
    <t>PLN02666 | Hydantoinase_B | HyuB | HyuA e-145| Hydantoinase_A 2e-094| Hydant_A_N 1e-052| HflC 0.073| PTZ00135 | alaS | SPFH_HflK |</t>
  </si>
  <si>
    <t>pfam02538, Hydantoinase_B, Hydantoinase B/oxoprolinase.  This family includes N-methylhydaintoinase B which converts hydantoin to N-carbamyl-amino acids, and 5-oxoprolinase EC:3.5.2.9 which catalyzes the formation of L-glutamate from 5-oxo-L-proline. These enzymes are part of the oxoprolinase family and are related to pfam01968.</t>
  </si>
  <si>
    <t>AGAP007819.R198</t>
  </si>
  <si>
    <t>CID domain-containing protein [Source:UniProtKB/TrEMBL;Acc:A0A1S4GX33]</t>
  </si>
  <si>
    <t>VectorBase: AGAP007819</t>
  </si>
  <si>
    <t>AGAP011123-RA</t>
  </si>
  <si>
    <t>Tsc2: tuberous sclerosis 2</t>
  </si>
  <si>
    <t>Tuberin - Rap/ran-GTPase-activating protein - probable fragment - 16 OH-glycosylation sites -  16 NetOglyc sites</t>
  </si>
  <si>
    <t>AGAP011123-PA</t>
  </si>
  <si>
    <t xml:space="preserve"> tuberin - 16 OH-glycosylation sites -  16 NetOglyc sites</t>
  </si>
  <si>
    <t>ExpAA=33.32 First60=0.00 PredHel=0 Topology=o</t>
  </si>
  <si>
    <t>pfam03542, Tuberin, Tuberin.  Tuberous sclerosis complex (TSC) is an autosomal dominant disorder and is characterized by the presence of hamartomas in many organs, such as brain, skin, heart, lung, and kidney. It is caused by mutation either TSC1 or TSC2 tumor suppressor gene. The TSC2 gene codes for tuberin and interacts with hamartin pfam04388, containing two coiled-coil regions, which have been shown to mediate binding to tuberin. These two proteins function within the same pathway(s) regulating cell cycle, cell growth, adhesion, and vesicular trafficking.</t>
  </si>
  <si>
    <t>Tuberin e-143| DUF3384 e-112| Rap_GAP 1e-051| CDC45 3e-004| PHA03247 5e-004| NOA36 0.001| TAF61 0.007| PHA03307 0.014| MPH1 0.015| eIF-3_zeta 0.017|</t>
  </si>
  <si>
    <t>KOG3687, KOG3687, KOG3687, Tuberin - Rap/ran-GTPase-activating protein [Cell cycle control, cell division, chromosome partitioning, Signal transduction mechanisms].</t>
  </si>
  <si>
    <t xml:space="preserve">Cell cycle control, cell division, chromosome partitioning, Signal transduction mechanisms </t>
  </si>
  <si>
    <t xml:space="preserve"> AgamP4_3L:17413088-17420987(-) </t>
  </si>
  <si>
    <t xml:space="preserve">1 | 1277    ASNRFFR|QG  0.534 *ProP*  | </t>
  </si>
  <si>
    <t>ExpAA=33.22 First60=0.00 PredHel=0 Topology=o</t>
  </si>
  <si>
    <t>AGAP006576-RB</t>
  </si>
  <si>
    <t xml:space="preserve">malate/L-lactate dehydrogenase </t>
  </si>
  <si>
    <t>malate/L-lactate dehydrogenase</t>
  </si>
  <si>
    <t>Malate dehydrogenase</t>
  </si>
  <si>
    <t>AGAP006576-PB</t>
  </si>
  <si>
    <t>ExpAA=2.13 First60=0.01 PredHel=0 Topology=o</t>
  </si>
  <si>
    <t>Pyrococcus abyssi (strain GE5 / Orsay)</t>
  </si>
  <si>
    <t>pfam02615, Ldh_2, Malate/L-lactate dehydrogenase.  This family consists of bacterial and archaeal Malate/L-lactate dehydrogenase. L-lactate dehydrogenase, EC:1.1.1.27, catalyzes the reaction (S)-lactate + NAD(+) &lt;===&gt;  pyruvate + NADH. Malate dehydrogenase, EC:1.1.1.37 and EC:1.1.1.82, catalyzes the reactions: (S)-malate + NAD(+) &lt;===&gt;  oxaloacetate + NADH, and (S)-malate + NADP(+) &lt;===&gt;  oxaloacetate + NADPH respectively.</t>
  </si>
  <si>
    <t>Ldh_2 e-111| COG2055 3e-085| PRK15025 4e-046| PLN00105 8e-046| AllD 9e-042| PRK13260 4e-030| PRK10098 2e-029| COG1480 | PAS_like | TAF61 |</t>
  </si>
  <si>
    <t xml:space="preserve"> AgamP4_2L:34221311-34223619(-) </t>
  </si>
  <si>
    <t>AGAP000633-RA</t>
  </si>
  <si>
    <t>SOK1 kinase belonging to the STE20/SPS1/GC kinase family - probable fragment</t>
  </si>
  <si>
    <t>AGAP000633-PA</t>
  </si>
  <si>
    <t xml:space="preserve"> gnlcdd229920</t>
  </si>
  <si>
    <t>pfam05794, Tcp11, T-complex protein 11.  This family consists of several eukaryotic T-complex protein 11 (Tcp11) related sequences. Tcp11 is only expressed in fertile adult mammalian testes and is thought to be important in sperm function and fertility. The family also contains the yeast Sok1 protein which is known to suppress cyclic AMP-dependent protein kinase mutants.</t>
  </si>
  <si>
    <t>Tcp11 2e-076| MCRS_N | MopB_PHLH | RPN6 | PRK11705 | catalase_like | PBP2_NikA_DppA_OppA_like_1 | COG3342 | COG1204 |</t>
  </si>
  <si>
    <t>KOG1981, KOG1981, KOG1981, SOK1 kinase belonging to the STE20/SPS1/GC kinase family [Signal transduction mechanisms].</t>
  </si>
  <si>
    <t xml:space="preserve"> AgamP4_X:11371154-11372758(+) </t>
  </si>
  <si>
    <t>AGAP004494-RA</t>
  </si>
  <si>
    <t>E93 protein involved in programmed cell death transcription regulator - probable fragment - 21 OH-glycosylation sites -  21 NetOglyc sites</t>
  </si>
  <si>
    <t>AGAP004494-PA</t>
  </si>
  <si>
    <t xml:space="preserve"> e93 protein involved in programmed cell death - 21 OH-glycosylation sites -  21 NetOglyc sites</t>
  </si>
  <si>
    <t>ExpAA=8.33 First60=0.01 PredHel=0 Topology=o</t>
  </si>
  <si>
    <t>pfam05225, HTH_psq, helix-turn-helix, Psq domain.  This DNA-binding motif is found in four copies in the pipsqueak protein of Drosophila melanogaster. In pipsqueak this domain binds to GAGA sequence.</t>
  </si>
  <si>
    <t>HTH_psq 1e-007| kgd 2e-005| PRK07003 2e-004| PRK13875 3e-004| PRK12323 5e-004| PHA03247 6e-004| PRK14971 0.001| PRK14951 0.014| PHA03413 0.038| PHA02682 0.071|</t>
  </si>
  <si>
    <t>KOG4565, KOG4565, KOG4565, E93 protein involved in programmed cell death, putative transcription regulator [Transcription].</t>
  </si>
  <si>
    <t xml:space="preserve"> AgamP4_2R:56976106-57042214(+) </t>
  </si>
  <si>
    <t>AGAP002575-RA</t>
  </si>
  <si>
    <t>Leucine-rich repeat (LRR) protein associated with apoptosis in muscle tissue</t>
  </si>
  <si>
    <t>AGAP002575-PA</t>
  </si>
  <si>
    <t xml:space="preserve"> gnlcdd232507 leucine-rich repeat lrr protein associated</t>
  </si>
  <si>
    <t>LRR_RI 6e-014| LRR_1 9e-013| PLN00113 1e-006| COG4886 2e-006| LRR_8 7e-005| PLN03150 0.006| LRR_RI 0.012| PRK15370 0.035| LRR_9 0.092| PTZ00265 |</t>
  </si>
  <si>
    <t>KOG4579, KOG4579, KOG4579, Leucine-rich repeat (LRR) protein associated with apoptosis in muscle tissue [General function prediction only].</t>
  </si>
  <si>
    <t xml:space="preserve"> AgamP4_2R:23096757-23106994(-) </t>
  </si>
  <si>
    <t>AGAP000029.R704</t>
  </si>
  <si>
    <t>E1A/CREB-binding protein</t>
  </si>
  <si>
    <t>VectorBase: AGAP000029</t>
  </si>
  <si>
    <t>AGAP012316-RA</t>
  </si>
  <si>
    <t>agap012316-pa - 16 OH-glycosylation sites - Membrane anchor detected -  16 NetOglyc sites - 2 predicted membrane helices</t>
  </si>
  <si>
    <t>AGAP012316-PA</t>
  </si>
  <si>
    <t>hypothetical protein - 16 OH-glycosylation sites - Membrane anchor detected -  16 NetOglyc sites - 2 predicted membrane helices</t>
  </si>
  <si>
    <t>ExpAA=46.24 First60=22.57 PredHel=2 Topology=i38-60o65-87i</t>
  </si>
  <si>
    <t>pfam09972, DUF2207, Predicted membrane protein (DUF2207).  This domain, found in various hypothetical bacterial proteins, has no known function.</t>
  </si>
  <si>
    <t>DUF2207 0.033| DUF4381 | UbiA | EcsB | PulF | EcsB | Nitrate_red_gam | NADH-quinone_oxidoreductase_subunit_N | Flagellar_biosynthesis_protein_FlhA | flhA |</t>
  </si>
  <si>
    <t xml:space="preserve"> AgamP4_3L:40151715-40160476(-) </t>
  </si>
  <si>
    <t>AGAP012644-RA</t>
  </si>
  <si>
    <t>Eukaryotic cytochrome b - 6 predicted membrane helices</t>
  </si>
  <si>
    <t>AGAP012644-PA</t>
  </si>
  <si>
    <t xml:space="preserve"> cytochrome b6 domain-containing protein os-coluzzii ox-834 pe-4 sv - 6 predicted membrane helices</t>
  </si>
  <si>
    <t>ExpAA=133.11 First60=22.69 PredHel=6 Topology=i31-53o63-85i97-119o134-156i169-191o206-228i</t>
  </si>
  <si>
    <t>cd08761, Cyt_b561_CYB561D2_like, Eukaryotic cytochrome b(561), including the CYB561D2 gene product.  Cytochrome b(561), as found in eukaryotes, similar to and including the human CYB561D2 gene product. CYB561D2 is a candidate tumor suppressor. The protein might act as a ferric-chelate reductase, catalyzing the reduction of Fe(3+) to Fe(2+), such as associated with the transport of iron from the endosome to the cytoplasm. It is assumed that this protein uses ascorbate as the electron donor. Belongs to the cytochrome b(561) family, which are secretory vesicle-specific electron transport proteins. Cytochromes b(561) are integral membrane proteins that bind two heme groups non-covalently, and may have six alpha-helical trans-membrane segments.</t>
  </si>
  <si>
    <t>Cyt_b561_CYB561D2_like 1e-035| Cytochrom_B561 1e-033| B561 2e-014| Cyt_b561 4e-013| Cyt_b561_FRRS1_like 6e-007| Cyt_b561_ACYB-1_like 8e-005| Cyt_b561_CYBRD1 0.003| Cyt_b561_CG1275_like 0.006| PLN02810 | COG3336 |</t>
  </si>
  <si>
    <t>KOG1619, KOG1619, KOG1619, Cytochrome b [Energy production and conversion].</t>
  </si>
  <si>
    <t>pfam03188, Cytochrom_B561, Eukaryotic cytochrome b561.  Cytochrome b561 is a secretory vesicle-specific electron transport protein. It is an integral membrane protein, that binds two heme groups non-covalently. This is a eukaryotic family. Members of the 'prokaryotic cytochrome b561' family can be found in Pfam: PF01292.</t>
  </si>
  <si>
    <t>smart00665, B561, Cytochrome b-561 / ferric reductase transmembrane domain.  Cytochrome b-561 recycles ascorbate for the generation of norepinephrine by dopamine-beta-hydroxylase in the chromaffin vesicles of the adrenal gland. It is a transmembrane heme protein with the two heme groups being bound to conserved histidine residues. A cytochrome b-561 homologue, termed Dcytb, is an iron-regulated ferric reductase in the duodenal mucosa. Other homologues of these are also likely to be ferric reductases. SDR2 is proposed to be important in regulating the metabolism of iron in the onset of neurodegenerative disorders.</t>
  </si>
  <si>
    <t xml:space="preserve"> AgamP4_UNKN:22154460-22155268(+) </t>
  </si>
  <si>
    <t>AGAP005944-RA</t>
  </si>
  <si>
    <t xml:space="preserve">purine nucleoside phosphorylase I, inosine and guanosine-specific family protein </t>
  </si>
  <si>
    <t>purine nucleoside phosphorylase I, inosine and guanosine-specific family protein</t>
  </si>
  <si>
    <t>Purine nucleoside phosphorylase</t>
  </si>
  <si>
    <t>AGAP005944-PA</t>
  </si>
  <si>
    <t>ExpAA=9.60 First60=0.12 PredHel=0 Topology=o</t>
  </si>
  <si>
    <t>PRK08202, PRK08202, purine nucleoside phosphorylase; Provisional.</t>
  </si>
  <si>
    <t>PRK08202 4e-093| Purine_nucleoside_phosphorylase_1 5e-084| purine-nucleoside_phosphorylase 3e-082| Pnp 5e-056| Purine_nucleoside_phosphorylase_2 4e-049| Purine_nucleoside_phosphorylase 4e-048| PNP_UDP_1 4e-041| PRK08666 9e-012| S-methyl-5'-thioadenosine_phosphorylas...    63   1e-010 1e-010| PRK08931 4e-007|</t>
  </si>
  <si>
    <t>KOG3984, KOG3984, KOG3984, Purine nucleoside phosphorylase [Nucleotide transport and metabolism].</t>
  </si>
  <si>
    <t>pfam01048, PNP_UDP_1, Phosphorylase superfamily.  Members of this family include: purine nucleoside phosphorylase (PNP) Uridine phosphorylase (UdRPase) 5'-methylthioadenosine phosphorylase (MTA phosphorylase).</t>
  </si>
  <si>
    <t>smart00079, PBPe, Eukaryotic homologues of bacterial periplasmic substrate binding proteins.  Prokaryotic homologues are represented by a separate alignment: PBPb.</t>
  </si>
  <si>
    <t xml:space="preserve"> AgamP4_2L:23951581-23953832(-) </t>
  </si>
  <si>
    <t xml:space="preserve">1 | 140    MPVRVMR|LV  0.508 *ProP*  | </t>
  </si>
  <si>
    <t>AGAP000209-RA</t>
  </si>
  <si>
    <t xml:space="preserve">glutamate receptor binding protein </t>
  </si>
  <si>
    <t>glutamate receptor binding protein</t>
  </si>
  <si>
    <t>glutamate receptor-interacting protein 2-like</t>
  </si>
  <si>
    <t>AGAP000209-PA</t>
  </si>
  <si>
    <t xml:space="preserve"> tra0as4g88a0as4g88 anoga glutamate receptor binding protein os-ox-76 pe-4 sv</t>
  </si>
  <si>
    <t>cd00992, PDZ_signaling, PDZ domain found in a variety of Eumetazoan signaling molecules, often in tandem arrangements. May be responsible for specific protein-protein interactions, as most PDZ domains bind C-terminal polypeptides, and binding to internal (non-C-terminal) polypeptides and even to lipids has been demonstrated. In this subfamily of PDZ domains an N-terminal beta-strand forms the peptide-binding groove base, a circular permutation with respect to PDZ domains found in proteases.</t>
  </si>
  <si>
    <t>PDZ_signaling 4e-013| PDZ 3e-012| PDZ 9e-007| PDZ 2e-006| PDZ_metalloprotease 1e-005| Probable_periplasmic_serine_protease_d...    47   5e-005 5e-005| PDZ_CTP_protease 1e-004| Prc 5e-004| PDZ_serine_protease 6e-004| PRK10779 8e-004|</t>
  </si>
  <si>
    <t>KOG3209, KOG3209, KOG3209, WW domain-containing protein [General function prediction only].</t>
  </si>
  <si>
    <t xml:space="preserve"> AgamP4_X:3463792-3475668(+) </t>
  </si>
  <si>
    <t>AGAP011967-RA</t>
  </si>
  <si>
    <t xml:space="preserve">IQ motif containing with AAA domain 1-like </t>
  </si>
  <si>
    <t>IQ motif containing with AAA domain 1-like</t>
  </si>
  <si>
    <t>Dynein regulatory complex protein 11</t>
  </si>
  <si>
    <t>AGAP011967-PA</t>
  </si>
  <si>
    <t xml:space="preserve"> dynein regulatory complex protein 11-like isoform x1</t>
  </si>
  <si>
    <t>COG0464, SpoVK, ATPases of the AAA+ class [Posttranslational modification, protein turnover, chaperones].</t>
  </si>
  <si>
    <t>SpoVK 1e-012| AAA 4e-007| Cell_division_cycle_protein_48_homolog...    48   1e-005 1e-005| AAA 5e-004| PRK04195 0.027| Proteasome-activating_nucleotidase 0.030| chromosome_segregation_protein_related...    37   0.031 0.031| COG1223 | F-BAR_Fes_Fer | SMC_N |</t>
  </si>
  <si>
    <t>KOG0740, KOG0740, KOG0740, AAA+-type ATPase [Posttranslational modification, protein turnover, chaperones].</t>
  </si>
  <si>
    <t xml:space="preserve"> AgamP4_3L:35682479-35684898(+) </t>
  </si>
  <si>
    <t>AGAP005563-RB</t>
  </si>
  <si>
    <t xml:space="preserve">facilitated trehalose transporter Tret1 </t>
  </si>
  <si>
    <t>Tret1: facilitated trehalose transporter Tret1</t>
  </si>
  <si>
    <t>AGAP005563-PB</t>
  </si>
  <si>
    <t>ExpAA=241.89 First60=0.29 PredHel=12 Topology=i340-362o392-414i421-443o448-465i477-496o501-523i588-610o625-644i651-673o683-705i718-738o753-772i</t>
  </si>
  <si>
    <t>Sugar_tr 2e-085| Membrane_transporter 2e-081| xylE 6e-062| organic_anion_transporter 5e-023| MFS_1 6e-021| MFS 2e-020| Putative_metabolite_transport_protein 2e-016| transport_protein 2e-014| ProP 9e-010| Probable_glucarate_transporter 8e-009|</t>
  </si>
  <si>
    <t xml:space="preserve"> AgamP4_2L:17067212-17080334(+) </t>
  </si>
  <si>
    <t xml:space="preserve">1 | 793    MMGRVRR|MS  0.637 *ProP*  | </t>
  </si>
  <si>
    <t>AGAP011377-RA</t>
  </si>
  <si>
    <t>mucin-2-like - 39 OH-glycosylation sites - signalP detected</t>
  </si>
  <si>
    <t>AGAP011377-PA</t>
  </si>
  <si>
    <t>ExpAA=19.63 First60=19.62 PredHel=1 Topology=i7-26o</t>
  </si>
  <si>
    <t>COG3889, COG3889, Predicted solute binding protein [General function prediction only].</t>
  </si>
  <si>
    <t>COG3889 5e-007| ChtBD2 2e-006| CBM_14 6e-006| Lamp 8e-006| PRK11907 2e-005| halo_surf_glyco 2e-005| UV_excision_repair_protein_RAD23_homol...    43   1e-004 1e-004| PTZ00046 1e-004| Med3 3e-004| SSP160 0.002|</t>
  </si>
  <si>
    <t>KOG2196, KOG2196, KOG2196, Nuclear porin [Nuclear structure].</t>
  </si>
  <si>
    <t xml:space="preserve">Nuclear structure </t>
  </si>
  <si>
    <t>pfam01607, CBM_14, Chitin binding Peritrophin-A domain.  This domain is called the Peritrophin-A domain and is found in chitin binding proteins particularly peritrophic matrix proteins of insects and animal chitinases. Copies of the domain are also found in some baculoviruses. Relevant references that describe proteins with this domain include. It is an extracellular domain that contains six conserved cysteines that probably form three disulphide bridges. Chitin binding has been demonstrated for a protein containing only two of these domains.</t>
  </si>
  <si>
    <t xml:space="preserve"> AgamP4_3L:22492660-22493390(-) </t>
  </si>
  <si>
    <t>C(4.23)T(3.78)</t>
  </si>
  <si>
    <t>AGAP006063-RA</t>
  </si>
  <si>
    <t>bromodomain-containing protein 4 - 2 predicted membrane helices</t>
  </si>
  <si>
    <t>AGAP006063-PA</t>
  </si>
  <si>
    <t xml:space="preserve"> mediator of rna polymerase ii transcription subunit 12 - 2 predicted membrane helices</t>
  </si>
  <si>
    <t>ExpAA=22.28 First60=16.61 PredHel=1 Topology=i46-68o</t>
  </si>
  <si>
    <t>PAT1 5e-007| PHA03247 2e-004| Med15 3e-004| PRK03427 0.002| PRK10263 0.003| PRK14971 0.003| Polyadenylate-binding_protein_3 0.003| PHA03378 0.010| DUF1421 0.032| FAM222A 0.075|</t>
  </si>
  <si>
    <t xml:space="preserve"> AgamP4_2L:25950356-25974749(+) </t>
  </si>
  <si>
    <t>AGAP028471-RA</t>
  </si>
  <si>
    <t>Serine protease gd N-terminus</t>
  </si>
  <si>
    <t>AGAP028471-PA</t>
  </si>
  <si>
    <t xml:space="preserve"> serine protease gd n-terminus</t>
  </si>
  <si>
    <t>pfam16030, GD_N, Serine protease gd N-terminus.  This domain is found at the N-terminus of the serine protease gd (gastrulation defective) in insects.</t>
  </si>
  <si>
    <t>GD_N 2e-020| PRK11598 | CAD | sucA | PRK14897 | GPI8 | YfhO | COG1649 | rimI | CNOT1_HEAT_N |</t>
  </si>
  <si>
    <t>KOG1005, KOG1005, KOG1005, Telomerase catalytic subunit/reverse transcriptase TERT [Replication, recombination and repair, Chromatin structure and dynamics].</t>
  </si>
  <si>
    <t xml:space="preserve">Replication, recombination and repair, Chromatin structure and dynamics </t>
  </si>
  <si>
    <t>smart00797, AHS2, Allophanate hydrolase subunit 2.  This domain represents subunit 2 of allophanate hydrolase (AHS2).</t>
  </si>
  <si>
    <t xml:space="preserve"> AgamP4_2R:8835942-8837228(+) </t>
  </si>
  <si>
    <t>AGAP003623-RB</t>
  </si>
  <si>
    <t xml:space="preserve">long-chain acyl-CoA synthetase </t>
  </si>
  <si>
    <t>long-chain acyl-CoA synthetase</t>
  </si>
  <si>
    <t>AGAP003623-PB</t>
  </si>
  <si>
    <t>ExpAA=21.54 First60=21.34 PredHel=1 Topology=i13-35o</t>
  </si>
  <si>
    <t>LC-FACS_euk | PLN02387 | PLN02736 e-124| FAA1 e-124| PTZ00216 e-116| PLN02430 1e-098| PLN02861 8e-096| VL_LC_FACS_like 2e-088| PLN02614 8e-084| AMP-binding 1e-079|</t>
  </si>
  <si>
    <t>KOG1180, KOG1180, KOG1180, Acyl-CoA synthetase [Lipid transport and metabolism].</t>
  </si>
  <si>
    <t>smart01086, ClpB_D2-small, C-terminal, D2-small domain, of ClpB protein.  This is the C-terminal domain of ClpB protein, referred to as the D2-small domain, and is a mixed alpha-beta structure. Compared with the D1-small domain (included in AAA) it lacks the long coiled-coil insertion, and instead of helix C4 contains a beta-strand (e3) that is part of a three stranded beta-pleated sheet. In Thermophilus the whole protein forms a hexamer with the D1-small and D2-small domains located on the outside of the hexamer, with the long coiled-coil being exposed on the surface. The D2-small domain is essential for oligomerisation, forming a tight interface with the D2-large domain of a neighbouring subunit and thereby providing enough binding energy to stabilise the functional assembly. The domain is associated with two Clp_N at the N-terminus as well as AAA and AAA_2.</t>
  </si>
  <si>
    <t xml:space="preserve"> AgamP4_2R:40614634-40619388(+) </t>
  </si>
  <si>
    <t>AGAP000865-RA</t>
  </si>
  <si>
    <t>Rho GTPase-activating protein - probable fragment - 11 OH-glycosylation sites -  11 NetOglyc sites</t>
  </si>
  <si>
    <t>AGAP000865-PA</t>
  </si>
  <si>
    <t xml:space="preserve"> non-specific serine/threonine protein kinase - 11 OH-glycosylation sites -  11 NetOglyc sites</t>
  </si>
  <si>
    <t>cd13368, PH_BCR_arthropod, Breakpoint Cluster Region-related pleckstrin homology (PH) domain.  The BCR gene is one of the two genes in the BCR-ABL complex, which is associated with the Philadelphia chromosome, a product of a reciprocal translocation between chromosomes 22 and 9. BCR is a GTPase-activating protein (GAP) for RAC1 (primarily) and CDC42. The Dbl region of BCR has the most RhoGEF activity for Cdc42, and less activity towards Rac and Rho. Since BCR possesses both GAP and GEF activities, it may function to temporally regulate the activity of these GTPases. It also displays serine/threonine kinase activity. The BCR protein contains multiple domains including an N-terminal kinase domain, a RhoGEF domain, a PH domain, a C1 domain, a C2 domain, and a C-terminal RhoGAP domain. This hierarchy is composed of arthropod BCRs. PH domains have diverse functions, but in general are involved in targeting proteins to the appropriate cellular location or in the interaction with a binding partner. They share little sequence conservation, but all have a common fold, which is electrostatically polarized. Less than 10% of PH domains bind phosphoinositide phosphates (PIPs) with high affinity and specificity. PH domains are distinguished from other PIP-binding domains by their specific high-affinity binding to PIPs with two vicinal phosphate groups: PtdIns(3,4)P2, PtdIns(4,5)P2 or PtdIns(3,4,5)P3 which results in targeting some PH domain proteins to the plasma membrane. A few display strong specificity in lipid binding. Any specificity is usually determined by loop regions or insertions in the N-terminus of the domain, which are not conserved across all PH domains. PH domains are found in cellular signaling proteins such as serine/threonine kinase, tyrosine kinases, regulators of G-proteins, endocytotic GTPases, adaptors, as well as cytoskeletal associated molecules and in lipid associated enzymes.</t>
  </si>
  <si>
    <t>PH_BCR_arthropod 4e-084| PH_BCR-related 7e-055| RhoGAP_Bcr 2e-048| RhoGAP 9e-047| RhoGAP 2e-044| RhoGAP 2e-040| RhoGAP_fRGD1 7e-034| RhoGAP_chimaerin 6e-032| RhoGAP_GMIP_PARG1 2e-031| RhoGAP_ARHGAP27_15_12_9 3e-031|</t>
  </si>
  <si>
    <t>KOG4269, KOG4269, KOG4269, Rac GTPase-activating protein BCR/ABR [Signal transduction mechanisms].</t>
  </si>
  <si>
    <t>pfam00620, RhoGAP, RhoGAP domain.  GTPase activator proteins towards Rho/Rac/Cdc42-like small GTPases.</t>
  </si>
  <si>
    <t>smart00324, RhoGAP, GTPase-activator protein for Rho-like GTPases. GTPase activator proteins towards Rho/Rac/Cdc42-like small GTPases. etter domain limits and outliers.</t>
  </si>
  <si>
    <t xml:space="preserve"> AgamP4_X:16104446-16129416(-) </t>
  </si>
  <si>
    <t xml:space="preserve">1 | 1257    VIKREKR|DI  0.601 *ProP*  | </t>
  </si>
  <si>
    <t>AGAP003581-RA</t>
  </si>
  <si>
    <t xml:space="preserve">D-xylulose reductase A </t>
  </si>
  <si>
    <t>D-xylulose reductase A</t>
  </si>
  <si>
    <t>Alcohol dehydrogenase class V - 2 predicted membrane helices</t>
  </si>
  <si>
    <t>detox membrane</t>
  </si>
  <si>
    <t>AGAP003581-PA</t>
  </si>
  <si>
    <t xml:space="preserve"> protein - 2 predicted membrane helices</t>
  </si>
  <si>
    <t>ExpAA=19.49 First60=0.00 PredHel=1 Topology=i173-195o</t>
  </si>
  <si>
    <t>cd05285, sorbitol_DH, Sorbitol dehydrogenase.  Sorbitol and aldose reductase are NAD(+) binding proteins of the polyol pathway, which interconverts glucose and fructose. Sorbitol dehydrogenase is tetrameric and has a single catalytic zinc per subunit. Aldose reductase catalyzes the NADP(H)-dependent conversion of glucose to sorbital, and SDH uses NAD(H) in the conversion of sorbitol to fructose.  NAD(P)(H)-dependent oxidoreductases are the major enzymes in the interconversion of alcohols and aldehydes, or ketones. The medium chain alcohol dehydrogenase family (MDR) have a NAD(P)(H)-binding domain in a Rossmann fold of a beta-alpha form. The N-terminal region typically has an all-beta catalytic domain. These proteins typically form dimers (typically higher plants, mammals) or tetramers (yeast, bacteria), and have 2 tightly bound zinc atoms per subunit.</t>
  </si>
  <si>
    <t>sorbitol_DH e-133| PLN02702 5e-087| butanediol_DH_like 6e-076| idonate-5-DH 2e-075| threonine_DH_like 8e-075| iditol_2_DH_like 2e-072| sugar_DH 6e-072| Tdh 7e-066| Zn_ADH7 4e-060| Zn_ADH4 8e-060|</t>
  </si>
  <si>
    <t>KOG0024, KOG0024, KOG0024, Sorbitol dehydrogenase [Secondary metabolites biosynthesis, transport and catabolism].</t>
  </si>
  <si>
    <t>pfam08240, ADH_N, Alcohol dehydrogenase GroES-like domain.  This is the catalytic domain of alcohol dehydrogenases. Many of them contain an inserted zinc binding domain. This domain has a GroES-like structure.</t>
  </si>
  <si>
    <t xml:space="preserve"> AgamP4_2R:40335765-40336933(-) </t>
  </si>
  <si>
    <t>AGAP029488-RA</t>
  </si>
  <si>
    <t>mucin-5AC-like isoform X1 - 22 OH-glycosylation sites -  22 NetOglyc sites</t>
  </si>
  <si>
    <t>AGAP029488-PA</t>
  </si>
  <si>
    <t xml:space="preserve"> tra0a43yzt6a0a43yzt6 anoga calponin-similarity ch domain-containing protein - 23 OH-glycosylation sites -  23 NetOglyc sites</t>
  </si>
  <si>
    <t>cd00014, CH, Calponin homology domain; actin-binding domain which may be present as a single copy or in tandem repeats (which increases binding affinity). The CH domain is found in cytoskeletal and signal transduction proteins, including actin-binding proteins like spectrin, alpha-actinin, dystrophin, utrophin, and fimbrin, proteins essential for regulation of cell shape (cortexillins), and signaling proteins (Vav).</t>
  </si>
  <si>
    <t>CH 1e-024| CH 2e-024| CH 3e-022| SAC6 1e-016| Smoothelin 2e-007| PTZ00121 5e-006| CAMSAP_CH 1e-004| PHA03247 3e-004| PHA03307 4e-004| valS 0.016|</t>
  </si>
  <si>
    <t>KOG0517, KOG0517, KOG0517, Beta-spectrin [Cytoskeleton].</t>
  </si>
  <si>
    <t>pfam00307, CH, Calponin homology (CH) domain.  The CH domain is found in both cytoskeletal proteins and signal transduction proteins. The CH domain is involved in actin binding in some members of the family. However in calponins there is evidence that the CH domain is not involved in its actin binding activity. Most member proteins have from two to four copies of the CH domain, however some proteins such as calponin have only a single copy.</t>
  </si>
  <si>
    <t xml:space="preserve"> AgamP4_X:17063220-17105902(+) </t>
  </si>
  <si>
    <t xml:space="preserve">4 | 424    SFARSLR|SV  0.720 *ProP*  | 436    GSVRSMR|SN  0.511 *ProP*  | 1269    FASRMTR|AV  0.544 *ProP*  | 1946    GPAVGKR|ST  0.513 *ProP*  | </t>
  </si>
  <si>
    <t>AGAP011976-RA</t>
  </si>
  <si>
    <t>Conserved secreted protein precursor - GPI anchored</t>
  </si>
  <si>
    <t>ucs/gpi/gpi</t>
  </si>
  <si>
    <t>AGAP011976-PA</t>
  </si>
  <si>
    <t>s/ucs/gpi</t>
  </si>
  <si>
    <t>ExpAA=15.86 First60=5.43 PredHel=0 Topology=o</t>
  </si>
  <si>
    <t>Pectobacterium carotovorum subsp. carotovorum</t>
  </si>
  <si>
    <t>smart00636, Glyco_18, Glyco_18 domain.</t>
  </si>
  <si>
    <t>Glyco_18 4e-006| CBM_14 1e-004| Glyco_hydro_18 2e-004| ChtBD2 0.007| GH18_chitinase 0.012| Flot 0.031| GH18_chitolectin_chitotriosidase 0.034| PRK14541 | GH18_chitinase-like | Asp_Ala_antiprt |</t>
  </si>
  <si>
    <t>KOG2806, KOG2806, KOG2806, Chitinase [Carbohydrate transport and metabolism].</t>
  </si>
  <si>
    <t xml:space="preserve"> AgamP4_3L:35726987-35728695(+) </t>
  </si>
  <si>
    <t>AGAP013301-RB</t>
  </si>
  <si>
    <t>mucin-5AC isoform X2 - 76 OH-glycosylation sites -  76 NetOglyc sites</t>
  </si>
  <si>
    <t>AGAP013301-PB</t>
  </si>
  <si>
    <t xml:space="preserve"> mucin-5ac-like isoform x2 - 76 OH-glycosylation sites -  76 NetOglyc sites</t>
  </si>
  <si>
    <t>cd00083, HLH, Helix-loop-helix domain, found in specific DNA- binding proteins that act as transcription factors; 60-100 amino acids long. A DNA-binding basic region is followed by two alpha-helices separated by a variable loop region; HLH forms homo- and heterodimers, dimerization creates a parallel, left-handed, four helix bundle; the basic region N-terminal to the first amphipathic helix mediates high-affinity DNA-binding; there are several groups of HLH proteins: those (E12/E47) which bind specific hexanucleotide sequences such as E-box (5-CANNTG-3) or StRE 5-ATCACCCCAC-3), those lacking the basic domain (Emc, Id) function as negative regulators since they fail to bind DNA, those (hairy, E(spl), deadpan) which repress transcription although they can bind specific hexanucleotide sequences such as N-box (5-CACGc/aG-3), those which have a COE domain (Collier/Olf-1/EBF) which is involved in both in dimerization and in DNA binding, and those which bind pentanucleotides ACGTG or GCGTG and have a PAS domain which allows the dimerization between PAS proteins, the binding of small molecules (e.g., dioxin), and interactions with non-PAS proteins.</t>
  </si>
  <si>
    <t>HLH 1e-011| HLH 4e-011| HLH 2e-009| PHA03247 3e-007| Macoilin 9e-007| PRK07764 2e-006| KAR9 9e-005| PRK12323 4e-004| PRK07003 5e-004| PRK12688 0.004|</t>
  </si>
  <si>
    <t>KOG2483, KOG2483, KOG2483, Upstream transcription factor 2/L-myc-2 protein [Transcription].</t>
  </si>
  <si>
    <t>pfam00010, HLH, Helix-loop-helix DNA-binding domain.</t>
  </si>
  <si>
    <t xml:space="preserve"> AgamP4_2R:30228170-30243938(+) </t>
  </si>
  <si>
    <t>AGAP008141-RA</t>
  </si>
  <si>
    <t xml:space="preserve">argininosuccinate lyase </t>
  </si>
  <si>
    <t>argininosuccinate lyase</t>
  </si>
  <si>
    <t>Argininosuccinate lyase</t>
  </si>
  <si>
    <t>AGAP008141-PA</t>
  </si>
  <si>
    <t>cd01359, Argininosuccinate_lyase, Argininosuccinate lyase (argininosuccinase, ASAL).  This group contains ASAL and related proteins. It is a member of the Lyase class I family. Members of this family for the most part catalyze similar beta-elimination reactions in which a C-N or C-O bond is cleaved with the release of fumarate as one of the products. These proteins are active as tetramers. The four active sites of the homotetrameric enzyme are each formed by residues from three different subunits. ASAL is a cytosolic enzyme which catalyzes the reversible breakdown of argininosuccinate to arginine and fumarate during arginine biosynthesis. In ureotelic species ASAL also catalyzes a reaction involved in the production of urea. Included in this group are the major soluble avian eye lens proteins from duck, delta 1 and delta 2 crystallin. Of these two isoforms only delta 2 has retained ASAL activity. These crystallins may have evolved by, gene recruitment of ASAL followed by gene duplication. In humans, mutations in ASAL result in the autosomal recessive disorder argininosuccinic aciduria.</t>
  </si>
  <si>
    <t>Argininosuccinate_lyase | PRK00855 e-167| ArgH e-163| PLN02646 e-161| Argininosuccinate_lyase e-158| PRK04833 e-136| PRK12308 e-118| Lyase_I 2e-099| Lyase_1 2e-080| PRK06705 1e-044|</t>
  </si>
  <si>
    <t>KOG1316, KOG1316, KOG1316, Argininosuccinate lyase [Amino acid transport and metabolism].</t>
  </si>
  <si>
    <t>pfam00206, Lyase_1, Lyase.</t>
  </si>
  <si>
    <t>smart00229, RasGEFN, Guanine nucleotide exchange factor for Ras-like GTPases; N-terminal motif.  A subset of guanine nucleotide exchange factor for Ras-like small GTPases appear to possess this domain N-terminal to the RasGef (Cdc25-like) domain. The recent crystal structureof Sos shows that this domain is alpha-helical and plays a "purely structural role" (Nature 394, 337-343).</t>
  </si>
  <si>
    <t xml:space="preserve"> AgamP4_3R:6123739-6125285(+) </t>
  </si>
  <si>
    <t xml:space="preserve">1 | 7    MSNRNNR|IV  0.735 *ProP*  | </t>
  </si>
  <si>
    <t>AGAP009871-RA</t>
  </si>
  <si>
    <t xml:space="preserve">cuticular protein RR-1 family 75 </t>
  </si>
  <si>
    <t>CPR75: cuticular protein RR-1 family 75</t>
  </si>
  <si>
    <t>cuticular protein 75 RR-1 family - signalP detected</t>
  </si>
  <si>
    <t>AGAP009871-PA</t>
  </si>
  <si>
    <t xml:space="preserve"> endocuticle structural glycoprotein abd-4 - signalP detected</t>
  </si>
  <si>
    <t>Theileria equi</t>
  </si>
  <si>
    <t>pfam00379, Chitin_bind_4, Insect cuticle protein.  Many insect cuticular proteins include a 35-36 amino acid motif known as the R&amp;R consensus. The extensive conservation of this region led to the suggestion that it functions to bind chitin. Provocatively, it has no sequence similarity to the well-known cysteine-containing chitin-binding domain found in chitinases and some peritrophic membrane proteins. Chitin binding has been shown experimentally for this region. Thus arthropods have two distinct classes of chitin binding proteins, those with the chitin-binding domain found in lectins, chitinases and peritrophic membranes (cysCBD) and those with the cuticular protein chitin-binding domain (non-cysCBD).</t>
  </si>
  <si>
    <t>Chitin_bind_4 5e-012| Arabino_trans_C | Pellino | PRK10629 | M14-like_1 | TIGR00303 | PRK05853 | DNA_polymerase_alpha_catalytic_subunit...    27   3.2   | PRK13013 | RseB |</t>
  </si>
  <si>
    <t>KOG1914, KOG1914, KOG1914, mRNA cleavage and polyadenylation factor I complex, subunit RNA14 [RNA processing and modification].</t>
  </si>
  <si>
    <t xml:space="preserve"> AgamP4_3R:44607075-44608893(-) </t>
  </si>
  <si>
    <t>AGAP013005-RA</t>
  </si>
  <si>
    <t>Glycine-rich cell wall structural protein 1.8 - probable fragment - 13 OH-glycosylation sites - signalP detected</t>
  </si>
  <si>
    <t>AGAP013005-PA</t>
  </si>
  <si>
    <t>ExpAA=0.61 First60=0.61 PredHel=0 Topology=o</t>
  </si>
  <si>
    <t>PRK13263, ureE, urease accessory protein UreE; Provisional.</t>
  </si>
  <si>
    <t>ureE 0.003| PRK09565 0.074| TrbL | SelP_N | AF-4 | Med15 | PRK13735 |</t>
  </si>
  <si>
    <t>KOG3571, KOG3571, KOG3571, Dishevelled 3 and related proteins [General function prediction only].</t>
  </si>
  <si>
    <t>pfam03326, Herpes_TAF50, Herpesvirus transcription activation factor (transactivator).  This family includes EBV BRLF1 and similar ORF 50 proteins from other herpesviruses.</t>
  </si>
  <si>
    <t xml:space="preserve"> AgamP4_2R:5723884-5724933(-) </t>
  </si>
  <si>
    <t>G(3.2)H(4.17)</t>
  </si>
  <si>
    <t>AGAP006524-RA</t>
  </si>
  <si>
    <t>AGAP006524-PA</t>
  </si>
  <si>
    <t>ExpAA=16.12 First60=16.12 PredHel=1 Topology=i5-24o</t>
  </si>
  <si>
    <t>PRK10263, PRK10263, DNA translocase FtsK; Provisional.</t>
  </si>
  <si>
    <t>PRK10263 0.022|</t>
  </si>
  <si>
    <t>KOG4289, KOG4289, KOG4289, Cadherin EGF LAG seven-pass G-type receptor [Signal transduction mechanisms].</t>
  </si>
  <si>
    <t>pfam11018, Cuticle_3, Pupal cuticle protein C1.  Insect cuticles are composite structures whose mechanical properties are optimized for biological function. The major components are the chitin filament system and the cuticular proteins, and the cuticle's properties are determined largely by the interactions between these two sets of molecules. The proteins can be ordered by species.</t>
  </si>
  <si>
    <t>smart01088, Col_cuticle_N, Nematode cuticle collagen N-terminal domain.  The function of this domain is unknown. It is found in the N-terminal region of nematode cuticle collagens. Cuticle is a tough elastic structure secreted by hypodermal cells and is primarily composed of collagen proteins.</t>
  </si>
  <si>
    <t xml:space="preserve"> AgamP4_2L:33840297-33841604(-) </t>
  </si>
  <si>
    <t>C(9.28)</t>
  </si>
  <si>
    <t>AGAP029660-RA</t>
  </si>
  <si>
    <t xml:space="preserve">odorant-binding protein 38 </t>
  </si>
  <si>
    <t>Obp38: odorant-binding protein 38</t>
  </si>
  <si>
    <t>General odorant-binding protein 45 - 11 OH-glycosylation sites - signalP detected OBP</t>
  </si>
  <si>
    <t>s/OBP</t>
  </si>
  <si>
    <t>AGAP029660-PA</t>
  </si>
  <si>
    <t xml:space="preserve"> tra0a43z0ca0a43z0c anoga odorant-binding protein 38 os-ox-76 pe-4 sv - 11 OH-glycosylation sites - signalP detected OBP</t>
  </si>
  <si>
    <t>ExpAA=19.38 First60=19.37 PredHel=1 Topology=i7-29o</t>
  </si>
  <si>
    <t>pfam01395, PBP_GOBP, PBP/GOBP family.  The olfactory receptors of terrestrial animals exist in an aqueous environment, yet detect odorants that are primarily hydrophobic. The aqueous solubility of hydrophobic odorants is thought to be greatly enhanced via odorant binding proteins which exist in the extracellular fluid surrounding the odorant receptors. This family is composed of pheromone binding proteins (PBP), which are male-specific and associate with pheromone-sensitive neurons and general-odorant binding proteins (GOBP).</t>
  </si>
  <si>
    <t>PBP_GOBP 3e-007| PTZ00108 0.001| PTZ00449 0.012| MDN1 0.022| PLN03237 0.026| PRK13108 0.041| PRK14949 0.044| PRK08581 0.070| DnaJ-like_protein_MG200_homolog | PHA03169 |</t>
  </si>
  <si>
    <t>KOG2312, KOG2312, KOG2312, Predicted transcriptional regulator, contains ARID domain [Transcription].</t>
  </si>
  <si>
    <t xml:space="preserve">smart00708, PhBP, Insect pheromone/odorant binding protein domains. </t>
  </si>
  <si>
    <t xml:space="preserve"> AgamP4_X:10205844-10208562(+) </t>
  </si>
  <si>
    <t xml:space="preserve">1 | 440    EPARFVR|DV  0.700 *ProP*  | </t>
  </si>
  <si>
    <t>AGAP008138-RA</t>
  </si>
  <si>
    <t>AGAP008138-PA</t>
  </si>
  <si>
    <t>ExpAA=1.98 First60=0.05 PredHel=0 Topology=o</t>
  </si>
  <si>
    <t>Lactococcus lactis subsp. lactis (strain IL1403)</t>
  </si>
  <si>
    <t>TIGR01760, COG5283:_Phage-related_tail_protein, phage tail tape measure protein, TP901 family, core region.  This model represents a reasonably well conserved core region of a family of phage tail proteins. The member from phage TP901-1 was characterized as a tail length tape measure protein in that a shortened form of the protein leads to phage with proportionately shorter tails. [Mobile and extrachromosomal element functions, Prophage functions].</t>
  </si>
  <si>
    <t>COG5283:_Phage-related_tail_protein 0.028| PhageMin_Tail | PRK09039 | Sec3_C | MltA | 2-phosphosulfolactate_phosphatase | BLYB | Hyphal_reg_CWP | KR_1_SDR_x |</t>
  </si>
  <si>
    <t>KOG2284, KOG2284, KOG2284, E3 ubiquitin ligase, Cullin 2 component [Posttranslational modification, protein turnover, chaperones].</t>
  </si>
  <si>
    <t>pfam10145, PhageMin_Tail, Phage-related minor tail protein. Members of this family are found in putative phage tail tape measure proteins.</t>
  </si>
  <si>
    <t xml:space="preserve"> AgamP4_3R:6092088-6093806(-) </t>
  </si>
  <si>
    <t>AGAP006275-RA</t>
  </si>
  <si>
    <t>AGAP006275-PA</t>
  </si>
  <si>
    <t>ExpAA=3.87 First60=3.72 PredHel=0 Topology=o</t>
  </si>
  <si>
    <t>pfam07165, DUF1397, Protein of unknown function (DUF1397).  This family consists of several insect specific proteins. A member from Manduca sexta is annotated as being a haemolymph glycoprotein precursor. The function of this family is unknown.</t>
  </si>
  <si>
    <t>DUF1397 5e-060| PRK11131 | MMTV_SAg | CDC6 | COG1323 | tufA | HTH-type_transcriptional_regulator_Tre...    28   5.2   | PRK13697 | Pex24p |</t>
  </si>
  <si>
    <t xml:space="preserve"> AgamP4_2L:29082599-29083773(+) </t>
  </si>
  <si>
    <t xml:space="preserve">1 | 26    ASPRFAR|DA  0.588 *ProP*  | </t>
  </si>
  <si>
    <t>AGAP000017-RB</t>
  </si>
  <si>
    <t>AGAP000017-PB</t>
  </si>
  <si>
    <t>Beach e-163| Beach e-155| Beach e-138| DUF4704 e-117| DUF1088 9e-078| PH_BEACH 6e-035| PH_BEACH 3e-028| WD40 4e-019| 7WD40 6e-017| COG2319 2e-012|</t>
  </si>
  <si>
    <t xml:space="preserve">1 | 2384    DARRRKR|MV  0.760 *ProP*  | </t>
  </si>
  <si>
    <t>AGAP011167-RA</t>
  </si>
  <si>
    <t>Haemolymph juvenile hormone binding protein - signalP detected</t>
  </si>
  <si>
    <t>AGAP011167-PA</t>
  </si>
  <si>
    <t xml:space="preserve"> hemolymph juvenile hormone binding protein - signalP detected</t>
  </si>
  <si>
    <t>s/hormone</t>
  </si>
  <si>
    <t>ExpAA=15.27 First60=15.25 PredHel=1 Topology=i2-24o</t>
  </si>
  <si>
    <t>pfam06585, JHBP, Haemolymph juvenile hormone binding protein (JHBP).  This family consists of several insect-specific haemolymph juvenile hormone binding proteins (JHBP). Juvenile hormone regulates embryogenesis, maintains the status quo of larval development and stimulates reproductive maturation in the adult insect. JH is transported from the sites of its synthesis to target tissues by a haemolymph carrier called juvenile hormone-binding protein (JHBP). JHBP protects the JH molecules from hydrolysis by non-specific esterases present in the insect haemolymph. The crystal structure of the JHBP from Galleria mellonella shows an unusual fold consisting of a long alpha-helix wrapped in a much curved antiparallel beta-sheet. The folding pattern for this structure closely resembles that found in some tandem-repeat mammalian lipid-binding and bactericidal permeability-increasing proteins, with a similar organisation of the major cavity and a disulfide bond linking the long helix and the beta-sheet. It would appear that JHBP forms two cavities, only one of which, the one near the N- and C-termini, binds the hormone; binding induces a conformational change, of unknown significance. This family now includes DUF233, pfam03027.</t>
  </si>
  <si>
    <t>JHBP 4e-067| JHBP 3e-046| PRK05096 | T7_EssCb_Firm | COG1817 | PRK06753 | PRK07064 | PBP1_ABC_transporter_GCPR_C_like | HSD3 | EzrA |</t>
  </si>
  <si>
    <t>smart00700, JHBP, Juvenile hormone binding protein domains in insects.  The juvenile hormone exerts pleiotropic functions during insect life cycles and its binding proteins regulate these functions.</t>
  </si>
  <si>
    <t xml:space="preserve"> AgamP4_3L:18204156-18205162(+) </t>
  </si>
  <si>
    <t>AGAP010968-RA</t>
  </si>
  <si>
    <t>CLIPA9: CLIP-domain serine protease</t>
  </si>
  <si>
    <t>AGAP010968-PA</t>
  </si>
  <si>
    <t>ExpAA=0.06 First60=0.05 PredHel=0 Topology=o</t>
  </si>
  <si>
    <t>Holotrichia diomphalia</t>
  </si>
  <si>
    <t>Tryp_SPc 8e-055| Tryp_SPc 1e-050| Trypsin 6e-039| COG5640 5e-011| CENP-N | PRK14342 | PRK12575 | COG2867 | putative_cyclase |</t>
  </si>
  <si>
    <t xml:space="preserve"> AgamP4_3L:14000012-14001312(+) </t>
  </si>
  <si>
    <t>AGAP001826-RA</t>
  </si>
  <si>
    <t xml:space="preserve">lipophorin </t>
  </si>
  <si>
    <t>Lp: lipophorin</t>
  </si>
  <si>
    <t>apolipophorins - signalP detected</t>
  </si>
  <si>
    <t>AGAP001826-PA</t>
  </si>
  <si>
    <t xml:space="preserve"> tra0as4gd9a0as4gd9 anoga lipophorin os-ox-76 pe-4 sv - signalP detected</t>
  </si>
  <si>
    <t>storage/</t>
  </si>
  <si>
    <t>ExpAA=0.60 First60=0.59 PredHel=0 Topology=o</t>
  </si>
  <si>
    <t>Plasmodium vinckei vinckei</t>
  </si>
  <si>
    <t>LPD_N 9e-073| Vitellogenin_N 4e-072| DUF1943 5e-058| VWD 2e-017| VWD 4e-013| HEAT_2 0.009| PRK03918 0.023| CTP_synthase | Smc | JMY |</t>
  </si>
  <si>
    <t>KOG4338, KOG4338, KOG4338, Predicted lipoprotein [Lipid transport and metabolism].</t>
  </si>
  <si>
    <t xml:space="preserve"> AgamP4_2R:11117036-11129147(-) </t>
  </si>
  <si>
    <t xml:space="preserve">2 | 714    AKERFRR|GI  0.573 *ProP*  | 1558    QPGGKKR|SV  0.740 *ProP*  | </t>
  </si>
  <si>
    <t>AGAP004064-RB</t>
  </si>
  <si>
    <t xml:space="preserve">RNA-binding protein Nob1 </t>
  </si>
  <si>
    <t>RNA-binding protein Nob1</t>
  </si>
  <si>
    <t>RNA-binding protein Nob1p involved in 26S proteasome assembly</t>
  </si>
  <si>
    <t>AGAP004064-PB</t>
  </si>
  <si>
    <t xml:space="preserve"> rna-binding protein nob1</t>
  </si>
  <si>
    <t>cd09876, PIN_Nob1, PIN domain of eukaryotic ribosome assembly factor Nob1 and archaeal UPF0129 protein Ta0041-like homologs.  PIN (PilT N terminus) domain of the Saccharomyces cerevisiae ribosome assembly factor, Nob1 (Nin one binding) protein, the Thermoplasma acidophilum DSM 1728, UPF0129 protein Ta0041, and similar eukaryotic and archaeal homologs are included in this family.  The Nob1 PIN domain binds the single-stranded cleavage site D at the 3#end of 18S rRNA. Recombinant Nob1 binds as a tetramer to pre-18S rRNA fragments containing cleavage site D and believed to cleave at this site. These PIN domains are homologs of flap endonuclease-1 (FEN1)-like PIN domains, but lack the extensive arch/clamp region and the H3TH (helix-3-turn-helix) domain, an atypical helix-hairpin-helix-2-like region, seen in FEN1-like PIN domains.  PIN domains within this subgroup contain three highly conserved acidic residues (putative metal-binding, active site residues).</t>
  </si>
  <si>
    <t>PIN_Nob1 5e-035| PIN_6 1e-032| NOB1_Zn_bind 2e-027| COG1439 3e-017| PRK12496 6e-009| Nop14 3e-006| DUF2457 4e-004| CDC45 5e-004| Mpp10 8e-004| NOA36 0.001|</t>
  </si>
  <si>
    <t>KOG2463, KOG2463, KOG2463, Predicted RNA-binding protein Nob1p involved in 26S proteasome assembly [Posttranslational modification, protein turnover, chaperones].</t>
  </si>
  <si>
    <t>pfam17146, PIN_6, PIN domain of ribonuclease.  This is a PIN domain found largely in eukaryotes.</t>
  </si>
  <si>
    <t xml:space="preserve"> AgamP4_2R:49279419-49282808(+) </t>
  </si>
  <si>
    <t xml:space="preserve">Comments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</si>
</sst>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color rgb="FF3F3F76"/>
      <name val="Aptos Narrow"/>
      <family val="2"/>
      <scheme val="minor"/>
    </font>
    <font>
      <u/>
      <sz val="11"/>
      <color theme="10"/>
      <name val="Aptos Narrow"/>
      <family val="2"/>
      <scheme val="minor"/>
    </font>
    <font>
      <b/>
      <sz val="12"/>
      <color theme="1"/>
      <name val="Aptos Narrow"/>
      <family val="2"/>
      <scheme val="minor"/>
    </font>
    <font>
      <b/>
      <sz val="11"/>
      <color rgb="FF3176C9"/>
      <name val="Aptos Narrow"/>
      <family val="2"/>
      <scheme val="minor"/>
    </font>
    <font>
      <b/>
      <sz val="12"/>
      <color rgb="FF3F3F76"/>
      <name val="Aptos Narrow"/>
      <family val="2"/>
      <scheme val="minor"/>
    </font>
    <font>
      <sz val="11"/>
      <name val="Aptos Narrow"/>
      <family val="2"/>
      <scheme val="minor"/>
    </font>
  </fonts>
  <fills count="4">
    <fill>
      <patternFill patternType="none"/>
    </fill>
    <fill>
      <patternFill patternType="gray125"/>
    </fill>
    <fill>
      <patternFill patternType="solid">
        <fgColor rgb="FFFFCC99"/>
      </patternFill>
    </fill>
    <fill>
      <patternFill patternType="solid">
        <fgColor rgb="FFFFFFCC"/>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2" applyNumberFormat="0" applyFont="0" applyAlignment="0" applyProtection="0"/>
    <xf numFmtId="0" fontId="3" fillId="0" borderId="0" applyNumberFormat="0" applyFill="0" applyBorder="0" applyAlignment="0" applyProtection="0"/>
  </cellStyleXfs>
  <cellXfs count="16">
    <xf numFmtId="0" fontId="0" fillId="0" borderId="0" xfId="0"/>
    <xf numFmtId="0" fontId="4" fillId="0" borderId="2" xfId="2" applyFont="1" applyFill="1" applyAlignment="1"/>
    <xf numFmtId="0" fontId="0" fillId="0" borderId="0" xfId="0" applyFill="1"/>
    <xf numFmtId="0" fontId="5" fillId="0" borderId="3" xfId="0" applyFont="1" applyFill="1" applyBorder="1" applyAlignment="1">
      <alignment horizontal="center" wrapText="1"/>
    </xf>
    <xf numFmtId="0" fontId="5" fillId="0" borderId="4" xfId="0" applyFont="1" applyFill="1" applyBorder="1" applyAlignment="1">
      <alignment horizontal="center" wrapText="1"/>
    </xf>
    <xf numFmtId="0" fontId="6" fillId="0" borderId="1" xfId="1" applyFont="1" applyFill="1" applyAlignment="1"/>
    <xf numFmtId="0" fontId="5" fillId="0" borderId="5" xfId="0" applyFont="1" applyFill="1" applyBorder="1" applyAlignment="1">
      <alignment horizontal="center" wrapText="1"/>
    </xf>
    <xf numFmtId="0" fontId="4" fillId="0" borderId="2" xfId="2" applyFont="1" applyFill="1" applyAlignment="1">
      <alignment horizontal="center"/>
    </xf>
    <xf numFmtId="0" fontId="3" fillId="0" borderId="0" xfId="3" applyFill="1"/>
    <xf numFmtId="0" fontId="0" fillId="0" borderId="6" xfId="0" applyFill="1" applyBorder="1"/>
    <xf numFmtId="0" fontId="7" fillId="0" borderId="1" xfId="1" applyFont="1" applyFill="1"/>
    <xf numFmtId="0" fontId="0" fillId="0" borderId="7" xfId="0" applyFill="1" applyBorder="1"/>
    <xf numFmtId="0" fontId="0" fillId="0" borderId="0" xfId="0" applyFill="1" applyAlignment="1">
      <alignment horizontal="center"/>
    </xf>
    <xf numFmtId="0" fontId="0" fillId="0" borderId="6" xfId="0" applyFill="1" applyBorder="1" applyAlignment="1">
      <alignment horizontal="center"/>
    </xf>
    <xf numFmtId="0" fontId="0" fillId="0" borderId="7" xfId="0" applyFill="1" applyBorder="1" applyAlignment="1">
      <alignment horizontal="center"/>
    </xf>
    <xf numFmtId="11" fontId="0" fillId="0" borderId="0" xfId="0" applyNumberFormat="1" applyFill="1"/>
  </cellXfs>
  <cellStyles count="4">
    <cellStyle name="Hyperlink" xfId="3" builtinId="8"/>
    <cellStyle name="Input" xfId="1" builtinId="20"/>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vectorbase.org/vectorbase/app/search?q=AGAP005583" TargetMode="External"/><Relationship Id="rId21" Type="http://schemas.openxmlformats.org/officeDocument/2006/relationships/hyperlink" Target="https://vectorbase.org/vectorbase/app/search?q=AGAP004772" TargetMode="External"/><Relationship Id="rId42" Type="http://schemas.openxmlformats.org/officeDocument/2006/relationships/hyperlink" Target="https://vectorbase.org/vectorbase/app/search?q=AGAP013009" TargetMode="External"/><Relationship Id="rId47" Type="http://schemas.openxmlformats.org/officeDocument/2006/relationships/hyperlink" Target="https://vectorbase.org/vectorbase/app/search?q=AGAP000043" TargetMode="External"/><Relationship Id="rId63" Type="http://schemas.openxmlformats.org/officeDocument/2006/relationships/hyperlink" Target="https://vectorbase.org/vectorbase/app/search?q=AGAP004656" TargetMode="External"/><Relationship Id="rId68" Type="http://schemas.openxmlformats.org/officeDocument/2006/relationships/hyperlink" Target="https://vectorbase.org/vectorbase/app/search?q=AGAP004912" TargetMode="External"/><Relationship Id="rId84" Type="http://schemas.openxmlformats.org/officeDocument/2006/relationships/hyperlink" Target="https://vectorbase.org/vectorbase/app/search?q=AGAP010389" TargetMode="External"/><Relationship Id="rId89" Type="http://schemas.openxmlformats.org/officeDocument/2006/relationships/hyperlink" Target="https://vectorbase.org/vectorbase/app/search?q=AGAP029635" TargetMode="External"/><Relationship Id="rId16" Type="http://schemas.openxmlformats.org/officeDocument/2006/relationships/hyperlink" Target="https://vectorbase.org/vectorbase/app/search?q=AGAP003268" TargetMode="External"/><Relationship Id="rId11" Type="http://schemas.openxmlformats.org/officeDocument/2006/relationships/hyperlink" Target="https://vectorbase.org/vectorbase/app/search?q=AGAP001330" TargetMode="External"/><Relationship Id="rId32" Type="http://schemas.openxmlformats.org/officeDocument/2006/relationships/hyperlink" Target="https://vectorbase.org/vectorbase/app/search?q=AGAP009303" TargetMode="External"/><Relationship Id="rId37" Type="http://schemas.openxmlformats.org/officeDocument/2006/relationships/hyperlink" Target="https://vectorbase.org/vectorbase/app/search?q=AGAP010373" TargetMode="External"/><Relationship Id="rId53" Type="http://schemas.openxmlformats.org/officeDocument/2006/relationships/hyperlink" Target="https://vectorbase.org/vectorbase/app/search?q=AGAP001099" TargetMode="External"/><Relationship Id="rId58" Type="http://schemas.openxmlformats.org/officeDocument/2006/relationships/hyperlink" Target="https://vectorbase.org/vectorbase/app/search?q=AGAP001451" TargetMode="External"/><Relationship Id="rId74" Type="http://schemas.openxmlformats.org/officeDocument/2006/relationships/hyperlink" Target="https://vectorbase.org/vectorbase/app/search?q=AGAP007803" TargetMode="External"/><Relationship Id="rId79" Type="http://schemas.openxmlformats.org/officeDocument/2006/relationships/hyperlink" Target="https://vectorbase.org/vectorbase/app/search?q=AGAP010335" TargetMode="External"/><Relationship Id="rId5" Type="http://schemas.openxmlformats.org/officeDocument/2006/relationships/hyperlink" Target="https://vectorbase.org/vectorbase/app/search?q=AGAP000708" TargetMode="External"/><Relationship Id="rId90" Type="http://schemas.openxmlformats.org/officeDocument/2006/relationships/hyperlink" Target="https://vectorbase.org/vectorbase/app/search?q=AGAP029976" TargetMode="External"/><Relationship Id="rId14" Type="http://schemas.openxmlformats.org/officeDocument/2006/relationships/hyperlink" Target="https://vectorbase.org/vectorbase/app/search?q=AGAP001464" TargetMode="External"/><Relationship Id="rId22" Type="http://schemas.openxmlformats.org/officeDocument/2006/relationships/hyperlink" Target="https://vectorbase.org/vectorbase/app/search?q=AGAP004904" TargetMode="External"/><Relationship Id="rId27" Type="http://schemas.openxmlformats.org/officeDocument/2006/relationships/hyperlink" Target="https://vectorbase.org/vectorbase/app/search?q=AGAP005583" TargetMode="External"/><Relationship Id="rId30" Type="http://schemas.openxmlformats.org/officeDocument/2006/relationships/hyperlink" Target="https://vectorbase.org/vectorbase/app/search?q=AGAP007819" TargetMode="External"/><Relationship Id="rId35" Type="http://schemas.openxmlformats.org/officeDocument/2006/relationships/hyperlink" Target="https://vectorbase.org/vectorbase/app/search?q=AGAP010335" TargetMode="External"/><Relationship Id="rId43" Type="http://schemas.openxmlformats.org/officeDocument/2006/relationships/hyperlink" Target="https://vectorbase.org/vectorbase/app/search?q=AGAP028653" TargetMode="External"/><Relationship Id="rId48" Type="http://schemas.openxmlformats.org/officeDocument/2006/relationships/hyperlink" Target="https://vectorbase.org/vectorbase/app/search?q=AGAP000124" TargetMode="External"/><Relationship Id="rId56" Type="http://schemas.openxmlformats.org/officeDocument/2006/relationships/hyperlink" Target="https://vectorbase.org/vectorbase/app/search?q=AGAP001330" TargetMode="External"/><Relationship Id="rId64" Type="http://schemas.openxmlformats.org/officeDocument/2006/relationships/hyperlink" Target="https://vectorbase.org/vectorbase/app/search?q=AGAP004667" TargetMode="External"/><Relationship Id="rId69" Type="http://schemas.openxmlformats.org/officeDocument/2006/relationships/hyperlink" Target="https://vectorbase.org/vectorbase/app/search?q=AGAP005183" TargetMode="External"/><Relationship Id="rId77" Type="http://schemas.openxmlformats.org/officeDocument/2006/relationships/hyperlink" Target="https://vectorbase.org/vectorbase/app/search?q=AGAP009303" TargetMode="External"/><Relationship Id="rId8" Type="http://schemas.openxmlformats.org/officeDocument/2006/relationships/hyperlink" Target="https://vectorbase.org/vectorbase/app/search?q=AGAP001099" TargetMode="External"/><Relationship Id="rId51" Type="http://schemas.openxmlformats.org/officeDocument/2006/relationships/hyperlink" Target="https://vectorbase.org/vectorbase/app/search?q=AGAP000868" TargetMode="External"/><Relationship Id="rId72" Type="http://schemas.openxmlformats.org/officeDocument/2006/relationships/hyperlink" Target="https://vectorbase.org/vectorbase/app/search?q=AGAP005583" TargetMode="External"/><Relationship Id="rId80" Type="http://schemas.openxmlformats.org/officeDocument/2006/relationships/hyperlink" Target="https://vectorbase.org/vectorbase/app/search?q=AGAP010335" TargetMode="External"/><Relationship Id="rId85" Type="http://schemas.openxmlformats.org/officeDocument/2006/relationships/hyperlink" Target="https://vectorbase.org/vectorbase/app/search?q=AGAP010462" TargetMode="External"/><Relationship Id="rId3" Type="http://schemas.openxmlformats.org/officeDocument/2006/relationships/hyperlink" Target="https://vectorbase.org/vectorbase/app/search?q=AGAP000124" TargetMode="External"/><Relationship Id="rId12" Type="http://schemas.openxmlformats.org/officeDocument/2006/relationships/hyperlink" Target="https://vectorbase.org/vectorbase/app/search?q=AGAP001438" TargetMode="External"/><Relationship Id="rId17" Type="http://schemas.openxmlformats.org/officeDocument/2006/relationships/hyperlink" Target="https://vectorbase.org/vectorbase/app/search?q=AGAP004593" TargetMode="External"/><Relationship Id="rId25" Type="http://schemas.openxmlformats.org/officeDocument/2006/relationships/hyperlink" Target="https://vectorbase.org/vectorbase/app/search?q=AGAP005244" TargetMode="External"/><Relationship Id="rId33" Type="http://schemas.openxmlformats.org/officeDocument/2006/relationships/hyperlink" Target="https://vectorbase.org/vectorbase/app/search?q=AGAP010324" TargetMode="External"/><Relationship Id="rId38" Type="http://schemas.openxmlformats.org/officeDocument/2006/relationships/hyperlink" Target="https://vectorbase.org/vectorbase/app/search?q=AGAP010373" TargetMode="External"/><Relationship Id="rId46" Type="http://schemas.openxmlformats.org/officeDocument/2006/relationships/hyperlink" Target="https://vectorbase.org/vectorbase/app/search?q=AGAP000029" TargetMode="External"/><Relationship Id="rId59" Type="http://schemas.openxmlformats.org/officeDocument/2006/relationships/hyperlink" Target="https://vectorbase.org/vectorbase/app/search?q=AGAP001464" TargetMode="External"/><Relationship Id="rId67" Type="http://schemas.openxmlformats.org/officeDocument/2006/relationships/hyperlink" Target="https://vectorbase.org/vectorbase/app/search?q=AGAP004904" TargetMode="External"/><Relationship Id="rId20" Type="http://schemas.openxmlformats.org/officeDocument/2006/relationships/hyperlink" Target="https://vectorbase.org/vectorbase/app/search?q=AGAP004671" TargetMode="External"/><Relationship Id="rId41" Type="http://schemas.openxmlformats.org/officeDocument/2006/relationships/hyperlink" Target="https://vectorbase.org/vectorbase/app/search?q=AGAP010585" TargetMode="External"/><Relationship Id="rId54" Type="http://schemas.openxmlformats.org/officeDocument/2006/relationships/hyperlink" Target="https://vectorbase.org/vectorbase/app/search?q=AGAP001109" TargetMode="External"/><Relationship Id="rId62" Type="http://schemas.openxmlformats.org/officeDocument/2006/relationships/hyperlink" Target="https://vectorbase.org/vectorbase/app/search?q=AGAP004593" TargetMode="External"/><Relationship Id="rId70" Type="http://schemas.openxmlformats.org/officeDocument/2006/relationships/hyperlink" Target="https://vectorbase.org/vectorbase/app/search?q=AGAP005244" TargetMode="External"/><Relationship Id="rId75" Type="http://schemas.openxmlformats.org/officeDocument/2006/relationships/hyperlink" Target="https://vectorbase.org/vectorbase/app/search?q=AGAP007819" TargetMode="External"/><Relationship Id="rId83" Type="http://schemas.openxmlformats.org/officeDocument/2006/relationships/hyperlink" Target="https://vectorbase.org/vectorbase/app/search?q=AGAP010373" TargetMode="External"/><Relationship Id="rId88" Type="http://schemas.openxmlformats.org/officeDocument/2006/relationships/hyperlink" Target="https://vectorbase.org/vectorbase/app/search?q=AGAP028653" TargetMode="External"/><Relationship Id="rId1" Type="http://schemas.openxmlformats.org/officeDocument/2006/relationships/hyperlink" Target="https://vectorbase.org/vectorbase/app/search?q=AGAP000029" TargetMode="External"/><Relationship Id="rId6" Type="http://schemas.openxmlformats.org/officeDocument/2006/relationships/hyperlink" Target="https://vectorbase.org/vectorbase/app/search?q=AGAP000868" TargetMode="External"/><Relationship Id="rId15" Type="http://schemas.openxmlformats.org/officeDocument/2006/relationships/hyperlink" Target="https://vectorbase.org/vectorbase/app/search?q=AGAP001609" TargetMode="External"/><Relationship Id="rId23" Type="http://schemas.openxmlformats.org/officeDocument/2006/relationships/hyperlink" Target="https://vectorbase.org/vectorbase/app/search?q=AGAP004912" TargetMode="External"/><Relationship Id="rId28" Type="http://schemas.openxmlformats.org/officeDocument/2006/relationships/hyperlink" Target="https://vectorbase.org/vectorbase/app/search?q=AGAP007774" TargetMode="External"/><Relationship Id="rId36" Type="http://schemas.openxmlformats.org/officeDocument/2006/relationships/hyperlink" Target="https://vectorbase.org/vectorbase/app/search?q=AGAP010342" TargetMode="External"/><Relationship Id="rId49" Type="http://schemas.openxmlformats.org/officeDocument/2006/relationships/hyperlink" Target="https://vectorbase.org/vectorbase/app/search?q=AGAP000659" TargetMode="External"/><Relationship Id="rId57" Type="http://schemas.openxmlformats.org/officeDocument/2006/relationships/hyperlink" Target="https://vectorbase.org/vectorbase/app/search?q=AGAP001438" TargetMode="External"/><Relationship Id="rId10" Type="http://schemas.openxmlformats.org/officeDocument/2006/relationships/hyperlink" Target="https://vectorbase.org/vectorbase/app/search?q=AGAP001328" TargetMode="External"/><Relationship Id="rId31" Type="http://schemas.openxmlformats.org/officeDocument/2006/relationships/hyperlink" Target="https://vectorbase.org/vectorbase/app/search?q=AGAP008488" TargetMode="External"/><Relationship Id="rId44" Type="http://schemas.openxmlformats.org/officeDocument/2006/relationships/hyperlink" Target="https://vectorbase.org/vectorbase/app/search?q=AGAP029635" TargetMode="External"/><Relationship Id="rId52" Type="http://schemas.openxmlformats.org/officeDocument/2006/relationships/hyperlink" Target="https://vectorbase.org/vectorbase/app/search?q=AGAP000973" TargetMode="External"/><Relationship Id="rId60" Type="http://schemas.openxmlformats.org/officeDocument/2006/relationships/hyperlink" Target="https://vectorbase.org/vectorbase/app/search?q=AGAP001609" TargetMode="External"/><Relationship Id="rId65" Type="http://schemas.openxmlformats.org/officeDocument/2006/relationships/hyperlink" Target="https://vectorbase.org/vectorbase/app/search?q=AGAP004671" TargetMode="External"/><Relationship Id="rId73" Type="http://schemas.openxmlformats.org/officeDocument/2006/relationships/hyperlink" Target="https://vectorbase.org/vectorbase/app/search?q=AGAP007774" TargetMode="External"/><Relationship Id="rId78" Type="http://schemas.openxmlformats.org/officeDocument/2006/relationships/hyperlink" Target="https://vectorbase.org/vectorbase/app/search?q=AGAP010324" TargetMode="External"/><Relationship Id="rId81" Type="http://schemas.openxmlformats.org/officeDocument/2006/relationships/hyperlink" Target="https://vectorbase.org/vectorbase/app/search?q=AGAP010342" TargetMode="External"/><Relationship Id="rId86" Type="http://schemas.openxmlformats.org/officeDocument/2006/relationships/hyperlink" Target="https://vectorbase.org/vectorbase/app/search?q=AGAP010585" TargetMode="External"/><Relationship Id="rId4" Type="http://schemas.openxmlformats.org/officeDocument/2006/relationships/hyperlink" Target="https://vectorbase.org/vectorbase/app/search?q=AGAP000659" TargetMode="External"/><Relationship Id="rId9" Type="http://schemas.openxmlformats.org/officeDocument/2006/relationships/hyperlink" Target="https://vectorbase.org/vectorbase/app/search?q=AGAP001109" TargetMode="External"/><Relationship Id="rId13" Type="http://schemas.openxmlformats.org/officeDocument/2006/relationships/hyperlink" Target="https://vectorbase.org/vectorbase/app/search?q=AGAP001451" TargetMode="External"/><Relationship Id="rId18" Type="http://schemas.openxmlformats.org/officeDocument/2006/relationships/hyperlink" Target="https://vectorbase.org/vectorbase/app/search?q=AGAP004656" TargetMode="External"/><Relationship Id="rId39" Type="http://schemas.openxmlformats.org/officeDocument/2006/relationships/hyperlink" Target="https://vectorbase.org/vectorbase/app/search?q=AGAP010389" TargetMode="External"/><Relationship Id="rId34" Type="http://schemas.openxmlformats.org/officeDocument/2006/relationships/hyperlink" Target="https://vectorbase.org/vectorbase/app/search?q=AGAP010335" TargetMode="External"/><Relationship Id="rId50" Type="http://schemas.openxmlformats.org/officeDocument/2006/relationships/hyperlink" Target="https://vectorbase.org/vectorbase/app/search?q=AGAP000708" TargetMode="External"/><Relationship Id="rId55" Type="http://schemas.openxmlformats.org/officeDocument/2006/relationships/hyperlink" Target="https://vectorbase.org/vectorbase/app/search?q=AGAP001328" TargetMode="External"/><Relationship Id="rId76" Type="http://schemas.openxmlformats.org/officeDocument/2006/relationships/hyperlink" Target="https://vectorbase.org/vectorbase/app/search?q=AGAP008488" TargetMode="External"/><Relationship Id="rId7" Type="http://schemas.openxmlformats.org/officeDocument/2006/relationships/hyperlink" Target="https://vectorbase.org/vectorbase/app/search?q=AGAP000973" TargetMode="External"/><Relationship Id="rId71" Type="http://schemas.openxmlformats.org/officeDocument/2006/relationships/hyperlink" Target="https://vectorbase.org/vectorbase/app/search?q=AGAP005583" TargetMode="External"/><Relationship Id="rId2" Type="http://schemas.openxmlformats.org/officeDocument/2006/relationships/hyperlink" Target="https://vectorbase.org/vectorbase/app/search?q=AGAP000043" TargetMode="External"/><Relationship Id="rId29" Type="http://schemas.openxmlformats.org/officeDocument/2006/relationships/hyperlink" Target="https://vectorbase.org/vectorbase/app/search?q=AGAP007803" TargetMode="External"/><Relationship Id="rId24" Type="http://schemas.openxmlformats.org/officeDocument/2006/relationships/hyperlink" Target="https://vectorbase.org/vectorbase/app/search?q=AGAP005183" TargetMode="External"/><Relationship Id="rId40" Type="http://schemas.openxmlformats.org/officeDocument/2006/relationships/hyperlink" Target="https://vectorbase.org/vectorbase/app/search?q=AGAP010462" TargetMode="External"/><Relationship Id="rId45" Type="http://schemas.openxmlformats.org/officeDocument/2006/relationships/hyperlink" Target="https://vectorbase.org/vectorbase/app/search?q=AGAP029976" TargetMode="External"/><Relationship Id="rId66" Type="http://schemas.openxmlformats.org/officeDocument/2006/relationships/hyperlink" Target="https://vectorbase.org/vectorbase/app/search?q=AGAP004772" TargetMode="External"/><Relationship Id="rId87" Type="http://schemas.openxmlformats.org/officeDocument/2006/relationships/hyperlink" Target="https://vectorbase.org/vectorbase/app/search?q=AGAP013009" TargetMode="External"/><Relationship Id="rId61" Type="http://schemas.openxmlformats.org/officeDocument/2006/relationships/hyperlink" Target="https://vectorbase.org/vectorbase/app/search?q=AGAP003268" TargetMode="External"/><Relationship Id="rId82" Type="http://schemas.openxmlformats.org/officeDocument/2006/relationships/hyperlink" Target="https://vectorbase.org/vectorbase/app/search?q=AGAP010373" TargetMode="External"/><Relationship Id="rId19" Type="http://schemas.openxmlformats.org/officeDocument/2006/relationships/hyperlink" Target="https://vectorbase.org/vectorbase/app/search?q=AGAP0046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430AC-7918-49CE-93A9-A461CED1E20A}">
  <dimension ref="A1:EZ590"/>
  <sheetViews>
    <sheetView tabSelected="1" workbookViewId="0">
      <selection sqref="A1:XFD1048576"/>
    </sheetView>
  </sheetViews>
  <sheetFormatPr defaultRowHeight="15" x14ac:dyDescent="0.25"/>
  <cols>
    <col min="1" max="1" width="20.42578125" style="2" customWidth="1"/>
    <col min="2" max="16384" width="9.140625" style="2"/>
  </cols>
  <sheetData>
    <row r="1" spans="1:156" ht="105" x14ac:dyDescent="0.25">
      <c r="A1" s="1" t="s">
        <v>0</v>
      </c>
      <c r="B1" s="2" t="s">
        <v>1</v>
      </c>
      <c r="C1" s="2" t="s">
        <v>2</v>
      </c>
      <c r="D1" s="2" t="s">
        <v>3</v>
      </c>
      <c r="E1" s="2" t="s">
        <v>4</v>
      </c>
      <c r="F1" s="2" t="s">
        <v>5</v>
      </c>
      <c r="G1" s="2" t="s">
        <v>6</v>
      </c>
      <c r="H1" s="1" t="s">
        <v>7</v>
      </c>
      <c r="I1" s="1" t="s">
        <v>8</v>
      </c>
      <c r="J1" s="1" t="s">
        <v>9</v>
      </c>
      <c r="K1" s="3" t="s">
        <v>10</v>
      </c>
      <c r="L1" s="3" t="s">
        <v>11</v>
      </c>
      <c r="M1" s="3" t="s">
        <v>12</v>
      </c>
      <c r="N1" s="3" t="s">
        <v>13</v>
      </c>
      <c r="O1" s="3" t="s">
        <v>14</v>
      </c>
      <c r="P1" s="3" t="s">
        <v>59</v>
      </c>
      <c r="Q1" s="3" t="s">
        <v>6020</v>
      </c>
      <c r="R1" s="4" t="s">
        <v>15</v>
      </c>
      <c r="S1" s="3" t="s">
        <v>16</v>
      </c>
      <c r="T1" s="3" t="s">
        <v>17</v>
      </c>
      <c r="U1" s="3" t="s">
        <v>18</v>
      </c>
      <c r="V1" s="5" t="s">
        <v>19</v>
      </c>
      <c r="W1" s="5" t="s">
        <v>20</v>
      </c>
      <c r="X1" s="5" t="s">
        <v>21</v>
      </c>
      <c r="Y1" s="5" t="s">
        <v>22</v>
      </c>
      <c r="Z1" s="5" t="s">
        <v>17</v>
      </c>
      <c r="AA1" s="5" t="s">
        <v>23</v>
      </c>
      <c r="AB1" s="3" t="s">
        <v>24</v>
      </c>
      <c r="AC1" s="3" t="s">
        <v>25</v>
      </c>
      <c r="AD1" s="4" t="s">
        <v>26</v>
      </c>
      <c r="AE1" s="3" t="s">
        <v>27</v>
      </c>
      <c r="AF1" s="3" t="s">
        <v>28</v>
      </c>
      <c r="AG1" s="3" t="s">
        <v>29</v>
      </c>
      <c r="AH1" s="3" t="s">
        <v>30</v>
      </c>
      <c r="AI1" s="3" t="s">
        <v>31</v>
      </c>
      <c r="AJ1" s="3" t="s">
        <v>32</v>
      </c>
      <c r="AK1" s="3" t="s">
        <v>33</v>
      </c>
      <c r="AL1" s="3" t="s">
        <v>34</v>
      </c>
      <c r="AM1" s="6" t="s">
        <v>35</v>
      </c>
      <c r="AN1" s="3" t="s">
        <v>36</v>
      </c>
      <c r="AO1" s="4" t="str">
        <f>HYPERLINK("http://www.cbs.dtu.dk/services/NetOGlyc/","No. potential glyc sites")</f>
        <v>No. potential glyc sites</v>
      </c>
      <c r="AP1" s="3" t="s">
        <v>37</v>
      </c>
      <c r="AQ1" s="3" t="s">
        <v>38</v>
      </c>
      <c r="AR1" s="3" t="s">
        <v>39</v>
      </c>
      <c r="AS1" s="3" t="s">
        <v>40</v>
      </c>
      <c r="AT1" s="3" t="s">
        <v>41</v>
      </c>
      <c r="AU1" s="4" t="s">
        <v>42</v>
      </c>
      <c r="AV1" s="3" t="s">
        <v>43</v>
      </c>
      <c r="AW1" s="3" t="s">
        <v>44</v>
      </c>
      <c r="AX1" s="3" t="s">
        <v>45</v>
      </c>
      <c r="AY1" s="3" t="s">
        <v>18</v>
      </c>
      <c r="AZ1" s="6" t="s">
        <v>46</v>
      </c>
      <c r="BA1" s="3" t="s">
        <v>47</v>
      </c>
      <c r="BB1" s="4" t="s">
        <v>42</v>
      </c>
      <c r="BC1" s="3" t="s">
        <v>43</v>
      </c>
      <c r="BD1" s="3" t="s">
        <v>44</v>
      </c>
      <c r="BE1" s="3" t="s">
        <v>45</v>
      </c>
      <c r="BF1" s="3" t="s">
        <v>18</v>
      </c>
      <c r="BG1" s="6" t="s">
        <v>46</v>
      </c>
      <c r="BH1" s="3" t="s">
        <v>48</v>
      </c>
      <c r="BI1" s="4" t="s">
        <v>42</v>
      </c>
      <c r="BJ1" s="3" t="s">
        <v>43</v>
      </c>
      <c r="BK1" s="3" t="s">
        <v>44</v>
      </c>
      <c r="BL1" s="3" t="s">
        <v>45</v>
      </c>
      <c r="BM1" s="3" t="s">
        <v>18</v>
      </c>
      <c r="BN1" s="6" t="s">
        <v>46</v>
      </c>
      <c r="BO1" s="3" t="s">
        <v>49</v>
      </c>
      <c r="BP1" s="4" t="s">
        <v>42</v>
      </c>
      <c r="BQ1" s="3" t="s">
        <v>43</v>
      </c>
      <c r="BR1" s="3" t="s">
        <v>44</v>
      </c>
      <c r="BS1" s="3" t="s">
        <v>45</v>
      </c>
      <c r="BT1" s="3" t="s">
        <v>18</v>
      </c>
      <c r="BU1" s="6" t="s">
        <v>46</v>
      </c>
      <c r="BV1" s="3" t="s">
        <v>50</v>
      </c>
      <c r="BW1" s="4" t="s">
        <v>51</v>
      </c>
      <c r="BX1" s="3" t="s">
        <v>52</v>
      </c>
      <c r="BY1" s="3" t="s">
        <v>44</v>
      </c>
      <c r="BZ1" s="3" t="s">
        <v>45</v>
      </c>
      <c r="CA1" s="3" t="s">
        <v>18</v>
      </c>
      <c r="CB1" s="3" t="s">
        <v>53</v>
      </c>
      <c r="CC1" s="4" t="s">
        <v>42</v>
      </c>
      <c r="CD1" s="3" t="s">
        <v>54</v>
      </c>
      <c r="CE1" s="3" t="s">
        <v>55</v>
      </c>
      <c r="CF1" s="6" t="s">
        <v>56</v>
      </c>
      <c r="CG1" s="3" t="s">
        <v>57</v>
      </c>
      <c r="CH1" s="4" t="s">
        <v>42</v>
      </c>
      <c r="CI1" s="3" t="s">
        <v>54</v>
      </c>
      <c r="CJ1" s="3" t="s">
        <v>55</v>
      </c>
      <c r="CK1" s="6" t="s">
        <v>21</v>
      </c>
      <c r="CL1" s="3" t="s">
        <v>58</v>
      </c>
      <c r="CM1" s="4" t="s">
        <v>42</v>
      </c>
      <c r="CN1" s="3" t="s">
        <v>54</v>
      </c>
      <c r="CO1" s="6" t="s">
        <v>59</v>
      </c>
      <c r="CP1" s="3" t="s">
        <v>60</v>
      </c>
      <c r="CQ1" s="4" t="s">
        <v>42</v>
      </c>
      <c r="CR1" s="3" t="s">
        <v>54</v>
      </c>
      <c r="CS1" s="6" t="s">
        <v>59</v>
      </c>
      <c r="CT1" s="6" t="s">
        <v>61</v>
      </c>
      <c r="CU1" s="6" t="s">
        <v>62</v>
      </c>
      <c r="CV1" s="1" t="s">
        <v>63</v>
      </c>
      <c r="CW1" s="1" t="s">
        <v>63</v>
      </c>
      <c r="CX1" s="1" t="s">
        <v>54</v>
      </c>
      <c r="CY1" s="1" t="s">
        <v>12</v>
      </c>
      <c r="CZ1" s="1" t="s">
        <v>64</v>
      </c>
      <c r="DA1" s="1" t="s">
        <v>65</v>
      </c>
      <c r="DB1" s="1" t="s">
        <v>13</v>
      </c>
      <c r="DC1" s="1" t="s">
        <v>14</v>
      </c>
      <c r="DD1" s="1" t="s">
        <v>66</v>
      </c>
      <c r="DE1" s="1" t="s">
        <v>0</v>
      </c>
      <c r="DF1" s="1" t="s">
        <v>7</v>
      </c>
      <c r="DG1" s="1" t="s">
        <v>8</v>
      </c>
      <c r="DH1" s="1" t="s">
        <v>9</v>
      </c>
      <c r="DI1" s="1" t="s">
        <v>11</v>
      </c>
      <c r="DJ1" s="1" t="s">
        <v>12</v>
      </c>
      <c r="DK1" s="1" t="str">
        <f>HYPERLINK("http://www.cbs.dtu.dk/services/NetOGlyc/","No. potential glyc sites")</f>
        <v>No. potential glyc sites</v>
      </c>
      <c r="DL1" s="1" t="s">
        <v>37</v>
      </c>
      <c r="DM1" s="1" t="s">
        <v>38</v>
      </c>
      <c r="DN1" s="1" t="s">
        <v>39</v>
      </c>
      <c r="DO1" s="1" t="s">
        <v>40</v>
      </c>
      <c r="DP1" s="1" t="s">
        <v>67</v>
      </c>
      <c r="DQ1" s="1" t="s">
        <v>25</v>
      </c>
      <c r="DR1" s="1" t="s">
        <v>26</v>
      </c>
      <c r="DS1" s="1" t="s">
        <v>27</v>
      </c>
      <c r="DT1" s="1" t="s">
        <v>28</v>
      </c>
      <c r="DU1" s="1" t="s">
        <v>29</v>
      </c>
      <c r="DV1" s="1" t="s">
        <v>30</v>
      </c>
      <c r="DW1" s="1" t="s">
        <v>31</v>
      </c>
      <c r="DX1" s="1" t="s">
        <v>68</v>
      </c>
      <c r="DY1" s="7" t="s">
        <v>32</v>
      </c>
      <c r="DZ1" s="1" t="s">
        <v>33</v>
      </c>
      <c r="EA1" s="1" t="s">
        <v>34</v>
      </c>
      <c r="EB1" s="1" t="s">
        <v>35</v>
      </c>
      <c r="EC1" s="1" t="s">
        <v>69</v>
      </c>
      <c r="ED1" s="1" t="s">
        <v>70</v>
      </c>
      <c r="EE1" s="1" t="s">
        <v>71</v>
      </c>
      <c r="EF1" s="1" t="s">
        <v>72</v>
      </c>
      <c r="EG1" s="1" t="s">
        <v>24</v>
      </c>
      <c r="EH1" s="1" t="s">
        <v>73</v>
      </c>
      <c r="EI1" s="1" t="s">
        <v>74</v>
      </c>
      <c r="EJ1" s="1" t="s">
        <v>75</v>
      </c>
      <c r="EK1" s="1" t="s">
        <v>76</v>
      </c>
      <c r="EL1" s="1" t="s">
        <v>77</v>
      </c>
      <c r="EM1" s="1" t="s">
        <v>78</v>
      </c>
      <c r="EN1" s="1" t="s">
        <v>79</v>
      </c>
      <c r="EO1" s="1" t="s">
        <v>80</v>
      </c>
      <c r="EP1" s="1" t="s">
        <v>81</v>
      </c>
      <c r="EQ1" s="1" t="s">
        <v>82</v>
      </c>
      <c r="ER1" s="1" t="s">
        <v>83</v>
      </c>
      <c r="ES1" s="1" t="s">
        <v>84</v>
      </c>
      <c r="ET1" s="1" t="s">
        <v>47</v>
      </c>
      <c r="EU1" s="1" t="s">
        <v>42</v>
      </c>
      <c r="EV1" s="1" t="s">
        <v>43</v>
      </c>
      <c r="EW1" s="1" t="s">
        <v>44</v>
      </c>
      <c r="EX1" s="1" t="s">
        <v>45</v>
      </c>
      <c r="EY1" s="1" t="s">
        <v>18</v>
      </c>
      <c r="EZ1" s="1" t="s">
        <v>85</v>
      </c>
    </row>
    <row r="2" spans="1:156" x14ac:dyDescent="0.25">
      <c r="A2" s="2" t="s">
        <v>86</v>
      </c>
      <c r="B2" s="2">
        <v>9.8198598909557795</v>
      </c>
      <c r="C2" s="2">
        <f t="shared" ref="C2:C65" si="0">2^B2</f>
        <v>903.80009031900772</v>
      </c>
      <c r="D2" s="2">
        <v>1.77630494916674</v>
      </c>
      <c r="E2" s="2">
        <v>85.696992032454403</v>
      </c>
      <c r="F2" s="2">
        <v>2.0973169922660801E-20</v>
      </c>
      <c r="G2" s="2">
        <v>2.0669058958782201E-16</v>
      </c>
      <c r="H2" s="2" t="s">
        <v>87</v>
      </c>
      <c r="I2" s="2" t="s">
        <v>88</v>
      </c>
      <c r="J2" s="8" t="s">
        <v>89</v>
      </c>
      <c r="Q2" s="9"/>
      <c r="W2" s="10"/>
      <c r="AB2" s="9"/>
      <c r="AC2" s="9"/>
      <c r="AJ2" s="9"/>
      <c r="AN2" s="9"/>
      <c r="AO2" s="11"/>
      <c r="AP2" s="9"/>
      <c r="AT2" s="9"/>
      <c r="BA2" s="9"/>
      <c r="BH2" s="9"/>
      <c r="BO2" s="9"/>
      <c r="BV2" s="9"/>
      <c r="CB2" s="9"/>
      <c r="CG2" s="9"/>
      <c r="CL2" s="9"/>
      <c r="CP2" s="9"/>
      <c r="DE2" s="2" t="s">
        <v>86</v>
      </c>
      <c r="DF2" s="2" t="s">
        <v>87</v>
      </c>
      <c r="DG2" s="2" t="s">
        <v>88</v>
      </c>
      <c r="DH2" s="8" t="s">
        <v>89</v>
      </c>
      <c r="DI2" s="2" t="s">
        <v>90</v>
      </c>
      <c r="DJ2" s="2">
        <v>9239</v>
      </c>
      <c r="DQ2" s="2" t="s">
        <v>91</v>
      </c>
      <c r="DS2" s="2">
        <v>120633</v>
      </c>
      <c r="DT2" s="2">
        <v>6.72</v>
      </c>
      <c r="DX2" s="2">
        <v>1083</v>
      </c>
      <c r="DY2" s="12"/>
    </row>
    <row r="3" spans="1:156" x14ac:dyDescent="0.25">
      <c r="A3" s="2" t="s">
        <v>92</v>
      </c>
      <c r="B3" s="2">
        <v>6.9585231885712604</v>
      </c>
      <c r="C3" s="2">
        <f t="shared" si="0"/>
        <v>124.37245451013754</v>
      </c>
      <c r="D3" s="2">
        <v>-0.78740160324711705</v>
      </c>
      <c r="E3" s="2">
        <v>47.553813426380998</v>
      </c>
      <c r="F3" s="2">
        <v>5.3514556864893697E-12</v>
      </c>
      <c r="G3" s="2">
        <v>1.75795319301176E-8</v>
      </c>
      <c r="H3" s="2" t="s">
        <v>93</v>
      </c>
      <c r="I3" s="2" t="s">
        <v>94</v>
      </c>
      <c r="J3" s="2" t="str">
        <f>HYPERLINK("https://vectorbase.org/vectorbase/app/record/gene/AGAP001802","AGAP001802-RA")</f>
        <v>AGAP001802-RA</v>
      </c>
      <c r="K3" s="2" t="str">
        <f>HYPERLINK(".\links\pep\AGAP001802-PA-pep.txt","AGAP001802-PA")</f>
        <v>AGAP001802-PA</v>
      </c>
      <c r="L3" s="12" t="s">
        <v>95</v>
      </c>
      <c r="M3" s="2">
        <v>776</v>
      </c>
      <c r="N3" s="2">
        <v>0</v>
      </c>
      <c r="O3" s="2">
        <v>2</v>
      </c>
      <c r="P3" s="2" t="s">
        <v>96</v>
      </c>
      <c r="Q3" s="9" t="s">
        <v>97</v>
      </c>
      <c r="R3" s="2" t="s">
        <v>98</v>
      </c>
      <c r="S3" s="2" t="str">
        <f>HYPERLINK(".\links\REFSEQ-INVERTEBRATE\AGAP001802-PA-REFSEQ-INVERTEBRATE.txt","REFSEQ-INVERTEBRATE")</f>
        <v>REFSEQ-INVERTEBRATE</v>
      </c>
      <c r="T3" s="2">
        <v>0</v>
      </c>
      <c r="U3" s="2">
        <v>100</v>
      </c>
      <c r="V3" s="2" t="s">
        <v>99</v>
      </c>
      <c r="W3" s="10" t="s">
        <v>100</v>
      </c>
      <c r="X3" s="2" t="s">
        <v>101</v>
      </c>
      <c r="Y3" s="2" t="str">
        <f>HYPERLINK(".\links\KOG\AGAP001802-PA-KOG.txt","KOG")</f>
        <v>KOG</v>
      </c>
      <c r="Z3" s="2">
        <v>0</v>
      </c>
      <c r="AA3" s="2">
        <v>99.4</v>
      </c>
      <c r="AB3" s="13" t="str">
        <f>HYPERLINK(".\links\pep\AGAP001802-PA-sulf.txt","1")</f>
        <v>1</v>
      </c>
      <c r="AC3" s="13" t="str">
        <f>HYPERLINK(".\links\Sigp\AGAP001802-PA-SigP.txt","CYT")</f>
        <v>CYT</v>
      </c>
      <c r="AD3" s="2" t="s">
        <v>102</v>
      </c>
      <c r="AE3" s="2">
        <v>87.96</v>
      </c>
      <c r="AF3" s="2">
        <v>6.48</v>
      </c>
      <c r="AG3" s="2" t="s">
        <v>102</v>
      </c>
      <c r="AH3" s="2" t="s">
        <v>102</v>
      </c>
      <c r="AI3" s="2" t="s">
        <v>103</v>
      </c>
      <c r="AJ3" s="13" t="str">
        <f>HYPERLINK(".\links\tmhmm\AGAP001802-PA-tmhmm.txt","1")</f>
        <v>1</v>
      </c>
      <c r="AK3" s="2">
        <v>2.4</v>
      </c>
      <c r="AL3" s="2">
        <v>83.5</v>
      </c>
      <c r="AM3" s="2">
        <v>14</v>
      </c>
      <c r="AN3" s="13" t="str">
        <f>HYPERLINK(".\links\gpi\AGAP001802-PA-gpi.txt","N")</f>
        <v>N</v>
      </c>
      <c r="AO3" s="14" t="str">
        <f>HYPERLINK(".\links\netoglyc\AGAP001802-PA-netoglyc.txt","0")</f>
        <v>0</v>
      </c>
      <c r="AP3" s="13">
        <v>13.3</v>
      </c>
      <c r="AQ3" s="2">
        <v>3.7</v>
      </c>
      <c r="AR3" s="2">
        <v>2.2999999999999998</v>
      </c>
      <c r="AS3" s="2" t="s">
        <v>104</v>
      </c>
      <c r="AT3" s="9" t="str">
        <f>HYPERLINK(".\links\NR-LIGHT\AGAP001802-PA-NR-LIGHT.txt","AGAP001802-PA")</f>
        <v>AGAP001802-PA</v>
      </c>
      <c r="AU3" s="2" t="str">
        <f>HYPERLINK("http://www.ncbi.nlm.nih.gov/sutils/blink.cgi?pid=XP_321258.5","0.0")</f>
        <v>0.0</v>
      </c>
      <c r="AV3" s="2" t="str">
        <f>HYPERLINK("http://www.ncbi.nlm.nih.gov/protein/XP_321258.5","XP_321258.5")</f>
        <v>XP_321258.5</v>
      </c>
      <c r="AW3" s="2">
        <v>100</v>
      </c>
      <c r="AX3" s="2">
        <v>100</v>
      </c>
      <c r="AY3" s="2">
        <v>100</v>
      </c>
      <c r="AZ3" s="2" t="s">
        <v>105</v>
      </c>
      <c r="BA3" s="9" t="str">
        <f>HYPERLINK(".\links\REFSEQ-INVERTEBRATE\AGAP001802-PA-REFSEQ-INVERTEBRATE.txt","AGAP001802-PB")</f>
        <v>AGAP001802-PB</v>
      </c>
      <c r="BB3" s="2" t="str">
        <f>HYPERLINK("http://www.ncbi.nlm.nih.gov/sutils/blink.cgi?pid=XP_003435949.1","0.0")</f>
        <v>0.0</v>
      </c>
      <c r="BC3" s="2" t="str">
        <f>HYPERLINK("http://www.ncbi.nlm.nih.gov/protein/XP_003435949.1","XP_003435949.1")</f>
        <v>XP_003435949.1</v>
      </c>
      <c r="BD3" s="2">
        <v>100</v>
      </c>
      <c r="BE3" s="2">
        <v>100</v>
      </c>
      <c r="BF3" s="2">
        <v>100</v>
      </c>
      <c r="BG3" s="2" t="s">
        <v>105</v>
      </c>
      <c r="BH3" s="9" t="str">
        <f>HYPERLINK(".\links\REFSEQ-PROTOZOA\AGAP001802-PA-REFSEQ-PROTOZOA.txt","transmembrane GTPase Marf")</f>
        <v>transmembrane GTPase Marf</v>
      </c>
      <c r="BI3" s="2" t="str">
        <f>HYPERLINK("http://www.ncbi.nlm.nih.gov/sutils/blink.cgi?pid=XP_004365821.1","5E-096")</f>
        <v>5E-096</v>
      </c>
      <c r="BJ3" s="2" t="str">
        <f>HYPERLINK("http://www.ncbi.nlm.nih.gov/protein/XP_004365821.1","XP_004365821.1")</f>
        <v>XP_004365821.1</v>
      </c>
      <c r="BK3" s="2">
        <v>31</v>
      </c>
      <c r="BL3" s="2">
        <v>48</v>
      </c>
      <c r="BM3" s="2">
        <v>99</v>
      </c>
      <c r="BN3" s="2" t="s">
        <v>106</v>
      </c>
      <c r="BO3" s="9" t="str">
        <f>HYPERLINK(".\links\SWISSP\AGAP001802-PA-SWISSP.txt","Transmembrane GTPase Marf")</f>
        <v>Transmembrane GTPase Marf</v>
      </c>
      <c r="BP3" s="2" t="str">
        <f>HYPERLINK("http://www.uniprot.org/uniprot/Q7YU24","0.0")</f>
        <v>0.0</v>
      </c>
      <c r="BQ3" s="2" t="str">
        <f>HYPERLINK("http://www.uniprot.org/uniprot/Q7YU24#expression","Q7YU24")</f>
        <v>Q7YU24</v>
      </c>
      <c r="BR3" s="2">
        <v>70</v>
      </c>
      <c r="BS3" s="2">
        <v>82</v>
      </c>
      <c r="BT3" s="2">
        <v>100</v>
      </c>
      <c r="BU3" s="2" t="s">
        <v>107</v>
      </c>
      <c r="BV3" s="9" t="str">
        <f>HYPERLINK(".\links\FLYBASE\AGAP001802-PA-FLYBASE.txt","FBpp0089221")</f>
        <v>FBpp0089221</v>
      </c>
      <c r="BW3" s="2" t="str">
        <f>HYPERLINK("http://flybase.org/reports/FBgn0029870#alliance_summary_container","0.0")</f>
        <v>0.0</v>
      </c>
      <c r="BX3" s="2">
        <v>810</v>
      </c>
      <c r="BY3" s="2">
        <v>70</v>
      </c>
      <c r="BZ3" s="2">
        <v>82</v>
      </c>
      <c r="CA3" s="2">
        <v>100</v>
      </c>
      <c r="CB3" s="9" t="str">
        <f>HYPERLINK(".\links\CDD\AGAP001802-PA-CDD.txt","Fzo_mitofusin, fzo-like conserved region")</f>
        <v>Fzo_mitofusin, fzo-like conserved region</v>
      </c>
      <c r="CC3" s="15">
        <v>3.9999999999999998E-67</v>
      </c>
      <c r="CD3" s="2">
        <v>100</v>
      </c>
      <c r="CE3" s="2" t="s">
        <v>108</v>
      </c>
      <c r="CF3" s="2" t="s">
        <v>109</v>
      </c>
      <c r="CG3" s="9" t="str">
        <f>HYPERLINK(".\links\KOG\AGAP001802-PA-KOG.txt","involved in mitochondrila biogenesis")</f>
        <v>involved in mitochondrila biogenesis</v>
      </c>
      <c r="CH3" s="15">
        <v>0</v>
      </c>
      <c r="CI3" s="2">
        <v>101.7</v>
      </c>
      <c r="CJ3" s="2" t="s">
        <v>110</v>
      </c>
      <c r="CK3" s="2" t="s">
        <v>111</v>
      </c>
      <c r="CL3" s="9" t="str">
        <f>HYPERLINK(".\links\PFAM\AGAP001802-PA-PFAM.txt","Fzo_mitofusin, fzo-like conserved region")</f>
        <v>Fzo_mitofusin, fzo-like conserved region</v>
      </c>
      <c r="CM3" s="15">
        <v>8.0000000000000005E-68</v>
      </c>
      <c r="CN3" s="2">
        <v>100</v>
      </c>
      <c r="CO3" s="2" t="s">
        <v>108</v>
      </c>
      <c r="CP3" s="9" t="str">
        <f>HYPERLINK(".\links\SMART\AGAP001802-PA-SMART.txt","DYNc, Dynamin, GTPase")</f>
        <v>DYNc, Dynamin, GTPase</v>
      </c>
      <c r="CQ3" s="15">
        <v>0.12</v>
      </c>
      <c r="CR3" s="2">
        <v>20</v>
      </c>
      <c r="CS3" s="2" t="s">
        <v>112</v>
      </c>
      <c r="CT3" s="2" t="s">
        <v>99</v>
      </c>
      <c r="CU3" s="2" t="s">
        <v>99</v>
      </c>
      <c r="CV3" s="2" t="s">
        <v>99</v>
      </c>
      <c r="CW3" s="2" t="str">
        <f>HYPERLINK(".\links\pep\AGAP001802-PA-pep.txt","AGAP001802-PA")</f>
        <v>AGAP001802-PA</v>
      </c>
      <c r="CX3" s="2" t="s">
        <v>95</v>
      </c>
      <c r="CY3" s="2">
        <v>778</v>
      </c>
      <c r="CZ3" s="2" t="s">
        <v>113</v>
      </c>
      <c r="DA3" s="2" t="s">
        <v>114</v>
      </c>
      <c r="DB3" s="2">
        <v>0</v>
      </c>
      <c r="DC3" s="2">
        <v>2</v>
      </c>
      <c r="DD3" s="2" t="str">
        <f>HYPERLINK("https://www.kegg.jp/kegg-bin/search_pathway_text?map=aga&amp;keyword=AGAP001802&amp;mode=1&amp;viewImage=true","AGAP001802")</f>
        <v>AGAP001802</v>
      </c>
      <c r="DE3" s="2" t="s">
        <v>92</v>
      </c>
      <c r="DF3" s="2" t="s">
        <v>93</v>
      </c>
      <c r="DG3" s="2" t="s">
        <v>94</v>
      </c>
      <c r="DH3" s="2" t="str">
        <f>HYPERLINK("https://vectorbase.org/vectorbase/app/record/gene/AGAP001802","AGAP001802-RA")</f>
        <v>AGAP001802-RA</v>
      </c>
      <c r="DI3" s="2" t="s">
        <v>115</v>
      </c>
      <c r="DJ3" s="2">
        <v>4365</v>
      </c>
      <c r="DK3" s="2" t="str">
        <f>HYPERLINK(".\links\netoglyc\AGAP001802-PA-netoglyc.txt","0")</f>
        <v>0</v>
      </c>
      <c r="DL3" s="2">
        <v>13.1</v>
      </c>
      <c r="DM3" s="2">
        <v>3.7</v>
      </c>
      <c r="DN3" s="2">
        <v>2.2999999999999998</v>
      </c>
      <c r="DO3" s="2" t="s">
        <v>104</v>
      </c>
      <c r="DP3" s="2" t="s">
        <v>102</v>
      </c>
      <c r="DQ3" s="2" t="str">
        <f>HYPERLINK(".\links\Sigp\AGAP001802-PA-SigP.txt","CYT")</f>
        <v>CYT</v>
      </c>
      <c r="DR3" s="2" t="s">
        <v>102</v>
      </c>
      <c r="DS3" s="2">
        <v>88.289000000000001</v>
      </c>
      <c r="DT3" s="2">
        <v>6.49</v>
      </c>
      <c r="DU3" s="2" t="s">
        <v>102</v>
      </c>
      <c r="DV3" s="2" t="s">
        <v>102</v>
      </c>
      <c r="DW3" s="2" t="s">
        <v>116</v>
      </c>
      <c r="DX3" s="2">
        <v>778</v>
      </c>
      <c r="DY3" s="12" t="str">
        <f>HYPERLINK(".\links\tmhmm\AGAP001802-PA-tmhmm.txt","1")</f>
        <v>1</v>
      </c>
      <c r="DZ3" s="2">
        <v>2.4</v>
      </c>
      <c r="EA3" s="2">
        <v>83.5</v>
      </c>
      <c r="EB3" s="2">
        <v>14</v>
      </c>
      <c r="EC3" s="2" t="str">
        <f>HYPERLINK(".\links\gpi\AGAP001802-PA-gpi.txt","Y-NoSP")</f>
        <v>Y-NoSP</v>
      </c>
      <c r="ED3" s="2">
        <v>0.21</v>
      </c>
      <c r="EF3" s="2">
        <v>13</v>
      </c>
      <c r="EG3" s="2" t="str">
        <f>HYPERLINK(".\links\pep\AGAP001802-PA-sulf.txt","1")</f>
        <v>1</v>
      </c>
      <c r="EH3" s="2" t="s">
        <v>102</v>
      </c>
      <c r="EI3" s="2">
        <v>13.110539845758399</v>
      </c>
      <c r="EJ3" s="2">
        <v>2.3136246786632402</v>
      </c>
      <c r="EK3" s="2">
        <v>3.72750642673522</v>
      </c>
      <c r="EL3" s="2">
        <v>6.0411311053984598</v>
      </c>
      <c r="EM3" s="2" t="s">
        <v>102</v>
      </c>
      <c r="EN3" s="2" t="s">
        <v>102</v>
      </c>
      <c r="EO3" s="2">
        <v>1</v>
      </c>
      <c r="EP3" s="2" t="s">
        <v>102</v>
      </c>
      <c r="EQ3" s="2" t="s">
        <v>102</v>
      </c>
      <c r="ER3" s="2" t="s">
        <v>102</v>
      </c>
      <c r="ES3" s="2" t="s">
        <v>102</v>
      </c>
      <c r="ET3" s="2" t="str">
        <f>HYPERLINK(".\links\REFSEQ-INVERTEBRATE\AGAP001802-PA-REFSEQ-INVERTEBRATE.txt","AGAP001802-PB")</f>
        <v>AGAP001802-PB</v>
      </c>
      <c r="EU3" s="2" t="str">
        <f>HYPERLINK("http://www.ncbi.nlm.nih.gov/sutils/blink.cgi?pid=XP_003435949.1","0.0")</f>
        <v>0.0</v>
      </c>
      <c r="EV3" s="2" t="str">
        <f>HYPERLINK("http://www.ncbi.nlm.nih.gov/protein/XP_003435949.1","XP_003435949.1")</f>
        <v>XP_003435949.1</v>
      </c>
      <c r="EW3" s="2">
        <v>98</v>
      </c>
      <c r="EX3" s="2">
        <v>98</v>
      </c>
      <c r="EY3" s="2">
        <v>101</v>
      </c>
      <c r="EZ3" s="2" t="s">
        <v>105</v>
      </c>
    </row>
    <row r="4" spans="1:156" x14ac:dyDescent="0.25">
      <c r="A4" s="2" t="s">
        <v>117</v>
      </c>
      <c r="B4" s="2">
        <v>4.91079575143754</v>
      </c>
      <c r="C4" s="2">
        <f t="shared" si="0"/>
        <v>30.08131543718018</v>
      </c>
      <c r="D4" s="2">
        <v>4.3884949881300397</v>
      </c>
      <c r="E4" s="2">
        <v>9.0131271260627397</v>
      </c>
      <c r="F4" s="2">
        <v>2.6804741238519599E-3</v>
      </c>
      <c r="G4" s="2">
        <v>4.7682441318702203E-2</v>
      </c>
      <c r="H4" s="2" t="s">
        <v>93</v>
      </c>
      <c r="I4" s="2" t="s">
        <v>94</v>
      </c>
      <c r="J4" s="2" t="str">
        <f>HYPERLINK("https://vectorbase.org/vectorbase/app/record/gene/AGAP008696","AGAP008696-RA")</f>
        <v>AGAP008696-RA</v>
      </c>
      <c r="K4" s="2" t="str">
        <f>HYPERLINK(".\links\pep\AGAP008696-PA-pep.txt","AGAP008696-PA")</f>
        <v>AGAP008696-PA</v>
      </c>
      <c r="L4" s="12" t="s">
        <v>118</v>
      </c>
      <c r="M4" s="2">
        <v>272</v>
      </c>
      <c r="N4" s="2">
        <v>0</v>
      </c>
      <c r="O4" s="2">
        <v>0</v>
      </c>
      <c r="P4" s="2" t="s">
        <v>102</v>
      </c>
      <c r="Q4" s="9" t="s">
        <v>119</v>
      </c>
      <c r="R4" s="2" t="s">
        <v>120</v>
      </c>
      <c r="S4" s="2" t="str">
        <f>HYPERLINK(".\links\NR-LIGHT\AGAP008696-PA-NR-LIGHT.txt","NR-LIGHT")</f>
        <v>NR-LIGHT</v>
      </c>
      <c r="T4" s="2">
        <v>1.9999999999999998E-21</v>
      </c>
      <c r="U4" s="2">
        <v>41.5</v>
      </c>
      <c r="V4" s="2" t="s">
        <v>121</v>
      </c>
      <c r="W4" s="10" t="s">
        <v>122</v>
      </c>
      <c r="X4" s="2" t="s">
        <v>123</v>
      </c>
      <c r="Y4" s="2" t="str">
        <f>HYPERLINK(".\links\REFSEQ-INVERTEBRATE\AGAP008696-PA-REFSEQ-INVERTEBRATE.txt","REFSEQ-INVERTEBRATE")</f>
        <v>REFSEQ-INVERTEBRATE</v>
      </c>
      <c r="Z4" s="15">
        <v>0</v>
      </c>
      <c r="AA4" s="2">
        <v>100</v>
      </c>
      <c r="AB4" s="13" t="s">
        <v>102</v>
      </c>
      <c r="AC4" s="13" t="str">
        <f>HYPERLINK(".\links\Sigp\AGAP008696-PA-SigP.txt","ANC")</f>
        <v>ANC</v>
      </c>
      <c r="AD4" s="2" t="s">
        <v>102</v>
      </c>
      <c r="AE4" s="2">
        <v>30.713000000000001</v>
      </c>
      <c r="AF4" s="2">
        <v>12.42</v>
      </c>
      <c r="AG4" s="2">
        <v>27.849</v>
      </c>
      <c r="AH4" s="2">
        <v>12.49</v>
      </c>
      <c r="AI4" s="2" t="s">
        <v>124</v>
      </c>
      <c r="AJ4" s="13">
        <v>0</v>
      </c>
      <c r="AK4" s="2" t="s">
        <v>102</v>
      </c>
      <c r="AL4" s="2" t="s">
        <v>102</v>
      </c>
      <c r="AM4" s="2" t="s">
        <v>102</v>
      </c>
      <c r="AN4" s="13" t="str">
        <f>HYPERLINK(".\links\gpi\AGAP008696-PA-gpi.txt","N")</f>
        <v>N</v>
      </c>
      <c r="AO4" s="14" t="str">
        <f>HYPERLINK(".\links\netoglyc\AGAP008696-PA-netoglyc.txt","69")</f>
        <v>69</v>
      </c>
      <c r="AP4" s="13">
        <v>29.8</v>
      </c>
      <c r="AQ4" s="2" t="s">
        <v>125</v>
      </c>
      <c r="AR4" s="2">
        <v>19.899999999999999</v>
      </c>
      <c r="AS4" s="2" t="s">
        <v>104</v>
      </c>
      <c r="AT4" s="9" t="str">
        <f>HYPERLINK(".\links\NR-LIGHT\AGAP008696-PA-NR-LIGHT.txt","AGAP008696-PA, partial")</f>
        <v>AGAP008696-PA, partial</v>
      </c>
      <c r="AU4" s="2" t="str">
        <f>HYPERLINK("http://www.ncbi.nlm.nih.gov/sutils/blink.cgi?pid=XP_001688592.1","1E-161")</f>
        <v>1E-161</v>
      </c>
      <c r="AV4" s="2" t="str">
        <f>HYPERLINK("http://www.ncbi.nlm.nih.gov/protein/XP_001688592.1","XP_001688592.1")</f>
        <v>XP_001688592.1</v>
      </c>
      <c r="AW4" s="2">
        <v>100</v>
      </c>
      <c r="AX4" s="2">
        <v>100</v>
      </c>
      <c r="AY4" s="2">
        <v>100</v>
      </c>
      <c r="AZ4" s="2" t="s">
        <v>105</v>
      </c>
      <c r="BA4" s="9" t="str">
        <f>HYPERLINK(".\links\REFSEQ-INVERTEBRATE\AGAP008696-PA-REFSEQ-INVERTEBRATE.txt","AGAP008696-PA, partial")</f>
        <v>AGAP008696-PA, partial</v>
      </c>
      <c r="BB4" s="2" t="str">
        <f>HYPERLINK("http://www.ncbi.nlm.nih.gov/sutils/blink.cgi?pid=XP_001688592.1","1E-161")</f>
        <v>1E-161</v>
      </c>
      <c r="BC4" s="2" t="str">
        <f>HYPERLINK("http://www.ncbi.nlm.nih.gov/protein/XP_001688592.1","XP_001688592.1")</f>
        <v>XP_001688592.1</v>
      </c>
      <c r="BD4" s="2">
        <v>100</v>
      </c>
      <c r="BE4" s="2">
        <v>100</v>
      </c>
      <c r="BF4" s="2">
        <v>100</v>
      </c>
      <c r="BG4" s="2" t="s">
        <v>105</v>
      </c>
      <c r="BH4" s="9" t="str">
        <f>HYPERLINK(".\links\REFSEQ-PROTOZOA\AGAP008696-PA-REFSEQ-PROTOZOA.txt","similar to hedgehog protein")</f>
        <v>similar to hedgehog protein</v>
      </c>
      <c r="BI4" s="2" t="str">
        <f>HYPERLINK("http://www.ncbi.nlm.nih.gov/sutils/blink.cgi?pid=XP_005535996.1","6E-019")</f>
        <v>6E-019</v>
      </c>
      <c r="BJ4" s="2" t="str">
        <f>HYPERLINK("http://www.ncbi.nlm.nih.gov/protein/XP_005535996.1","XP_005535996.1")</f>
        <v>XP_005535996.1</v>
      </c>
      <c r="BK4" s="2">
        <v>31</v>
      </c>
      <c r="BL4" s="2">
        <v>37</v>
      </c>
      <c r="BM4" s="2">
        <v>25</v>
      </c>
      <c r="BN4" s="2" t="s">
        <v>126</v>
      </c>
      <c r="BO4" s="9" t="str">
        <f>HYPERLINK(".\links\SWISSP\AGAP008696-PA-SWISSP.txt","Mucin-2")</f>
        <v>Mucin-2</v>
      </c>
      <c r="BP4" s="2" t="str">
        <f>HYPERLINK("http://www.uniprot.org/uniprot/Q02817","3E-021")</f>
        <v>3E-021</v>
      </c>
      <c r="BQ4" s="2" t="str">
        <f>HYPERLINK("http://www.uniprot.org/uniprot/Q02817#expression","Q02817")</f>
        <v>Q02817</v>
      </c>
      <c r="BR4" s="2">
        <v>32</v>
      </c>
      <c r="BS4" s="2">
        <v>37</v>
      </c>
      <c r="BT4" s="2">
        <v>5</v>
      </c>
      <c r="BU4" s="2" t="s">
        <v>127</v>
      </c>
      <c r="BV4" s="9"/>
      <c r="CB4" s="9" t="str">
        <f>HYPERLINK(".\links\CDD\AGAP008696-PA-CDD.txt","PHA03247, large tegument protein UL36")</f>
        <v>PHA03247, large tegument protein UL36</v>
      </c>
      <c r="CC4" s="15">
        <v>2.9999999999999999E-7</v>
      </c>
      <c r="CD4" s="2">
        <v>8.6</v>
      </c>
      <c r="CE4" s="2" t="s">
        <v>128</v>
      </c>
      <c r="CF4" s="2" t="s">
        <v>129</v>
      </c>
      <c r="CG4" s="9" t="str">
        <f>HYPERLINK(".\links\KOG\AGAP008696-PA-KOG.txt","Myosin class I heavy chain")</f>
        <v>Myosin class I heavy chain</v>
      </c>
      <c r="CH4" s="15">
        <v>1E-4</v>
      </c>
      <c r="CI4" s="2">
        <v>11.8</v>
      </c>
      <c r="CJ4" s="2" t="s">
        <v>130</v>
      </c>
      <c r="CK4" s="2" t="s">
        <v>131</v>
      </c>
      <c r="CL4" s="9" t="str">
        <f>HYPERLINK(".\links\PFAM\AGAP008696-PA-PFAM.txt","Hamartin, Hamartin protein")</f>
        <v>Hamartin, Hamartin protein</v>
      </c>
      <c r="CM4" s="15">
        <v>8.0000000000000004E-4</v>
      </c>
      <c r="CN4" s="2">
        <v>17.399999999999999</v>
      </c>
      <c r="CO4" s="2" t="s">
        <v>132</v>
      </c>
      <c r="CP4" s="9" t="str">
        <f>HYPERLINK(".\links\SMART\AGAP008696-PA-SMART.txt","CDC37_N, Cdc37 N terminal kinase binding")</f>
        <v>CDC37_N, Cdc37 N terminal kinase binding</v>
      </c>
      <c r="CQ4" s="15">
        <v>2.9</v>
      </c>
      <c r="CR4" s="2">
        <v>13</v>
      </c>
      <c r="CS4" s="2" t="s">
        <v>133</v>
      </c>
      <c r="CT4" s="2" t="s">
        <v>121</v>
      </c>
      <c r="CU4" s="2" t="s">
        <v>121</v>
      </c>
      <c r="CV4" s="2" t="s">
        <v>121</v>
      </c>
      <c r="CW4" s="2" t="str">
        <f>HYPERLINK(".\links\pep\AGAP008696-PA-pep.txt","AGAP008696-PA")</f>
        <v>AGAP008696-PA</v>
      </c>
      <c r="CX4" s="2" t="s">
        <v>118</v>
      </c>
      <c r="CY4" s="2">
        <v>272</v>
      </c>
      <c r="CZ4" s="2" t="s">
        <v>113</v>
      </c>
      <c r="DA4" s="2" t="s">
        <v>134</v>
      </c>
      <c r="DB4" s="2">
        <v>0</v>
      </c>
      <c r="DC4" s="2">
        <v>0</v>
      </c>
      <c r="DD4" s="2" t="str">
        <f>HYPERLINK("https://www.kegg.jp/kegg-bin/search_pathway_text?map=aga&amp;keyword=AGAP008696&amp;mode=1&amp;viewImage=true","AGAP008696")</f>
        <v>AGAP008696</v>
      </c>
      <c r="DE4" s="2" t="s">
        <v>117</v>
      </c>
      <c r="DF4" s="2" t="s">
        <v>93</v>
      </c>
      <c r="DG4" s="2" t="s">
        <v>94</v>
      </c>
      <c r="DH4" s="2" t="str">
        <f>HYPERLINK("https://vectorbase.org/vectorbase/app/record/gene/AGAP008696","AGAP008696-RA")</f>
        <v>AGAP008696-RA</v>
      </c>
      <c r="DI4" s="2" t="s">
        <v>135</v>
      </c>
      <c r="DJ4" s="2">
        <v>816</v>
      </c>
      <c r="DK4" s="2" t="str">
        <f>HYPERLINK(".\links\netoglyc\AGAP008696-PA-netoglyc.txt","69")</f>
        <v>69</v>
      </c>
      <c r="DL4" s="2">
        <v>29.8</v>
      </c>
      <c r="DM4" s="2" t="s">
        <v>125</v>
      </c>
      <c r="DN4" s="2">
        <v>19.899999999999999</v>
      </c>
      <c r="DO4" s="2" t="s">
        <v>104</v>
      </c>
      <c r="DP4" s="2" t="s">
        <v>136</v>
      </c>
      <c r="DQ4" s="2" t="str">
        <f>HYPERLINK(".\links\Sigp\AGAP008696-PA-SigP.txt","ANC")</f>
        <v>ANC</v>
      </c>
      <c r="DR4" s="2" t="s">
        <v>102</v>
      </c>
      <c r="DS4" s="2">
        <v>30.713000000000001</v>
      </c>
      <c r="DT4" s="2">
        <v>12.42</v>
      </c>
      <c r="DU4" s="2">
        <v>27.849</v>
      </c>
      <c r="DV4" s="2">
        <v>12.49</v>
      </c>
      <c r="DW4" s="2" t="s">
        <v>124</v>
      </c>
      <c r="DX4" s="2">
        <v>272</v>
      </c>
      <c r="DY4" s="12">
        <v>0</v>
      </c>
      <c r="DZ4" s="2" t="s">
        <v>102</v>
      </c>
      <c r="EA4" s="2" t="s">
        <v>102</v>
      </c>
      <c r="EB4" s="2" t="s">
        <v>102</v>
      </c>
      <c r="EC4" s="2" t="str">
        <f>HYPERLINK(".\links\gpi\AGAP008696-PA-gpi.txt","N")</f>
        <v>N</v>
      </c>
      <c r="ED4" s="2">
        <v>0.89</v>
      </c>
      <c r="EE4" s="2" t="s">
        <v>137</v>
      </c>
      <c r="EF4" s="2">
        <v>6</v>
      </c>
      <c r="EG4" s="2" t="s">
        <v>102</v>
      </c>
      <c r="EH4" s="2" t="s">
        <v>102</v>
      </c>
      <c r="EI4" s="2">
        <v>29.779411764705898</v>
      </c>
      <c r="EJ4" s="2">
        <v>19.852941176470601</v>
      </c>
      <c r="EK4" s="2">
        <v>0</v>
      </c>
      <c r="EL4" s="2">
        <v>19.852941176470601</v>
      </c>
      <c r="EM4" s="2" t="s">
        <v>102</v>
      </c>
      <c r="EN4" s="2" t="s">
        <v>102</v>
      </c>
      <c r="EO4" s="2" t="s">
        <v>102</v>
      </c>
      <c r="EP4" s="2" t="s">
        <v>102</v>
      </c>
      <c r="EQ4" s="2" t="s">
        <v>102</v>
      </c>
      <c r="ER4" s="2" t="s">
        <v>102</v>
      </c>
      <c r="ES4" s="2" t="s">
        <v>102</v>
      </c>
      <c r="ET4" s="2" t="str">
        <f>HYPERLINK(".\links\REFSEQ-INVERTEBRATE\AGAP008696-PA-REFSEQ-INVERTEBRATE.txt","AGAP008696-PA, partial")</f>
        <v>AGAP008696-PA, partial</v>
      </c>
      <c r="EU4" s="2" t="str">
        <f>HYPERLINK("http://www.ncbi.nlm.nih.gov/sutils/blink.cgi?pid=XP_001688592.1","1E-165")</f>
        <v>1E-165</v>
      </c>
      <c r="EV4" s="2" t="str">
        <f>HYPERLINK("http://www.ncbi.nlm.nih.gov/protein/XP_001688592.1","XP_001688592.1")</f>
        <v>XP_001688592.1</v>
      </c>
      <c r="EW4" s="2">
        <v>100</v>
      </c>
      <c r="EX4" s="2">
        <v>100</v>
      </c>
      <c r="EY4" s="2">
        <v>100</v>
      </c>
      <c r="EZ4" s="2" t="s">
        <v>105</v>
      </c>
    </row>
    <row r="5" spans="1:156" x14ac:dyDescent="0.25">
      <c r="A5" s="2" t="s">
        <v>138</v>
      </c>
      <c r="B5" s="2">
        <v>3.7720675411072899</v>
      </c>
      <c r="C5" s="2">
        <f t="shared" si="0"/>
        <v>13.661723001530364</v>
      </c>
      <c r="D5" s="2">
        <v>1.4047867091178201</v>
      </c>
      <c r="E5" s="2">
        <v>15.9308967870845</v>
      </c>
      <c r="F5" s="2">
        <v>6.5697474600056905E-5</v>
      </c>
      <c r="G5" s="2">
        <v>8.7458876960918395E-3</v>
      </c>
      <c r="H5" s="2" t="s">
        <v>139</v>
      </c>
      <c r="I5" s="2" t="s">
        <v>140</v>
      </c>
      <c r="J5" s="2" t="str">
        <f>HYPERLINK("https://vectorbase.org/vectorbase/app/record/gene/AGAP028815","AGAP028815-RA")</f>
        <v>AGAP028815-RA</v>
      </c>
      <c r="Q5" s="9"/>
      <c r="W5" s="10"/>
      <c r="AB5" s="9"/>
      <c r="AC5" s="9"/>
      <c r="AJ5" s="9"/>
      <c r="AN5" s="9"/>
      <c r="AO5" s="11"/>
      <c r="AP5" s="9"/>
      <c r="AT5" s="9"/>
      <c r="BA5" s="9"/>
      <c r="BH5" s="9"/>
      <c r="BO5" s="9"/>
      <c r="BV5" s="9"/>
      <c r="CB5" s="9"/>
      <c r="CG5" s="9"/>
      <c r="CL5" s="9"/>
      <c r="CP5" s="9"/>
      <c r="DE5" s="2" t="s">
        <v>138</v>
      </c>
      <c r="DF5" s="2" t="s">
        <v>139</v>
      </c>
      <c r="DG5" s="2" t="s">
        <v>140</v>
      </c>
      <c r="DH5" s="2" t="str">
        <f>HYPERLINK("https://vectorbase.org/vectorbase/app/record/gene/AGAP028815","AGAP028815-RA")</f>
        <v>AGAP028815-RA</v>
      </c>
      <c r="DI5" s="2" t="s">
        <v>135</v>
      </c>
      <c r="DJ5" s="2">
        <v>158</v>
      </c>
      <c r="DQ5" s="2" t="s">
        <v>141</v>
      </c>
      <c r="DS5" s="2" t="s">
        <v>142</v>
      </c>
      <c r="DT5" s="2" t="s">
        <v>142</v>
      </c>
      <c r="DX5" s="2" t="s">
        <v>142</v>
      </c>
      <c r="DY5" s="12"/>
    </row>
    <row r="6" spans="1:156" x14ac:dyDescent="0.25">
      <c r="A6" s="2" t="s">
        <v>143</v>
      </c>
      <c r="B6" s="2">
        <v>2.2869034644709298</v>
      </c>
      <c r="C6" s="2">
        <f t="shared" si="0"/>
        <v>4.8800754880630635</v>
      </c>
      <c r="D6" s="2">
        <v>2.7470454744555601</v>
      </c>
      <c r="E6" s="2">
        <v>10.5353682822238</v>
      </c>
      <c r="F6" s="2">
        <v>1.1711154337604699E-3</v>
      </c>
      <c r="G6" s="2">
        <v>3.4451768954356601E-2</v>
      </c>
      <c r="H6" s="2" t="s">
        <v>144</v>
      </c>
      <c r="I6" s="2" t="s">
        <v>140</v>
      </c>
      <c r="J6" s="2" t="str">
        <f>HYPERLINK("https://vectorbase.org/vectorbase/app/record/gene/AGAP029039","AGAP029039-RA")</f>
        <v>AGAP029039-RA</v>
      </c>
      <c r="Q6" s="9"/>
      <c r="W6" s="10"/>
      <c r="AB6" s="9"/>
      <c r="AC6" s="9"/>
      <c r="AJ6" s="9"/>
      <c r="AN6" s="9"/>
      <c r="AO6" s="11"/>
      <c r="AP6" s="9"/>
      <c r="AT6" s="9"/>
      <c r="BA6" s="9"/>
      <c r="BH6" s="9"/>
      <c r="BO6" s="9"/>
      <c r="BV6" s="9"/>
      <c r="CB6" s="9"/>
      <c r="CG6" s="9"/>
      <c r="CL6" s="9"/>
      <c r="CP6" s="9"/>
      <c r="DE6" s="2" t="s">
        <v>143</v>
      </c>
      <c r="DF6" s="2" t="s">
        <v>144</v>
      </c>
      <c r="DG6" s="2" t="s">
        <v>140</v>
      </c>
      <c r="DH6" s="2" t="str">
        <f>HYPERLINK("https://vectorbase.org/vectorbase/app/record/gene/AGAP029039","AGAP029039-RA")</f>
        <v>AGAP029039-RA</v>
      </c>
      <c r="DI6" s="2" t="s">
        <v>135</v>
      </c>
      <c r="DJ6" s="2">
        <v>297</v>
      </c>
      <c r="DQ6" s="2" t="s">
        <v>141</v>
      </c>
      <c r="DS6" s="2" t="s">
        <v>142</v>
      </c>
      <c r="DT6" s="2" t="s">
        <v>142</v>
      </c>
      <c r="DX6" s="2" t="s">
        <v>142</v>
      </c>
      <c r="DY6" s="12"/>
    </row>
    <row r="7" spans="1:156" x14ac:dyDescent="0.25">
      <c r="A7" s="2" t="s">
        <v>145</v>
      </c>
      <c r="B7" s="2">
        <v>2.2041673875993402</v>
      </c>
      <c r="C7" s="2">
        <f t="shared" si="0"/>
        <v>4.6080851879759832</v>
      </c>
      <c r="D7" s="2">
        <v>0.90401632189276004</v>
      </c>
      <c r="E7" s="2">
        <v>10.7582657649869</v>
      </c>
      <c r="F7" s="2">
        <v>1.0381461605377599E-3</v>
      </c>
      <c r="G7" s="2">
        <v>3.2534084598393097E-2</v>
      </c>
      <c r="H7" s="2" t="s">
        <v>93</v>
      </c>
      <c r="I7" s="2" t="s">
        <v>94</v>
      </c>
      <c r="J7" s="2" t="str">
        <f>HYPERLINK("https://vectorbase.org/vectorbase/app/record/gene/AGAP000468","AGAP000468-RA")</f>
        <v>AGAP000468-RA</v>
      </c>
      <c r="K7" s="2" t="str">
        <f>HYPERLINK(".\links\pep\AGAP000468-PA-pep.txt","AGAP000468-PA")</f>
        <v>AGAP000468-PA</v>
      </c>
      <c r="L7" s="12" t="s">
        <v>95</v>
      </c>
      <c r="M7" s="2">
        <v>866</v>
      </c>
      <c r="N7" s="2">
        <v>0</v>
      </c>
      <c r="O7" s="2">
        <v>0</v>
      </c>
      <c r="P7" s="2" t="s">
        <v>102</v>
      </c>
      <c r="Q7" s="9" t="s">
        <v>146</v>
      </c>
      <c r="R7" s="2" t="s">
        <v>147</v>
      </c>
      <c r="S7" s="2" t="str">
        <f>HYPERLINK(".\links\netoglyc\AGAP000468-PA-netoglyc.txt","netoglyc")</f>
        <v>netoglyc</v>
      </c>
      <c r="V7" s="2" t="s">
        <v>148</v>
      </c>
      <c r="W7" s="10" t="s">
        <v>149</v>
      </c>
      <c r="X7" s="2" t="s">
        <v>147</v>
      </c>
      <c r="Y7" s="2" t="str">
        <f>HYPERLINK(".\links\REFSEQ-INVERTEBRATE\AGAP000468-PA-REFSEQ-INVERTEBRATE.txt","REFSEQ-INVERTEBRATE")</f>
        <v>REFSEQ-INVERTEBRATE</v>
      </c>
      <c r="Z7" s="15">
        <v>3.9999999999999999E-72</v>
      </c>
      <c r="AA7" s="2">
        <v>33.200000000000003</v>
      </c>
      <c r="AB7" s="13" t="s">
        <v>102</v>
      </c>
      <c r="AC7" s="13" t="str">
        <f>HYPERLINK(".\links\Sigp\AGAP000468-PA-SigP.txt","SIG")</f>
        <v>SIG</v>
      </c>
      <c r="AD7" s="2" t="s">
        <v>150</v>
      </c>
      <c r="AE7" s="2">
        <v>88.72</v>
      </c>
      <c r="AF7" s="2">
        <v>4.46</v>
      </c>
      <c r="AG7" s="2">
        <v>86.346999999999994</v>
      </c>
      <c r="AH7" s="2">
        <v>4.4000000000000004</v>
      </c>
      <c r="AI7" s="2" t="s">
        <v>151</v>
      </c>
      <c r="AJ7" s="13">
        <v>0</v>
      </c>
      <c r="AK7" s="2" t="s">
        <v>102</v>
      </c>
      <c r="AL7" s="2" t="s">
        <v>102</v>
      </c>
      <c r="AM7" s="2" t="s">
        <v>102</v>
      </c>
      <c r="AN7" s="13" t="str">
        <f>HYPERLINK(".\links\gpi\AGAP000468-PA-gpi.txt","N")</f>
        <v>N</v>
      </c>
      <c r="AO7" s="14" t="str">
        <f>HYPERLINK(".\links\netoglyc\AGAP000468-PA-netoglyc.txt","180")</f>
        <v>180</v>
      </c>
      <c r="AP7" s="13">
        <v>30.1</v>
      </c>
      <c r="AQ7" s="2">
        <v>6.6</v>
      </c>
      <c r="AR7" s="2">
        <v>15.4</v>
      </c>
      <c r="AS7" s="2" t="s">
        <v>104</v>
      </c>
      <c r="AT7" s="9" t="str">
        <f>HYPERLINK(".\links\NR-LIGHT\AGAP000468-PA-NR-LIGHT.txt","AGAP000468-PA")</f>
        <v>AGAP000468-PA</v>
      </c>
      <c r="AU7" s="2" t="str">
        <f>HYPERLINK("http://www.ncbi.nlm.nih.gov/sutils/blink.cgi?pid=XP_310626.5","0.0")</f>
        <v>0.0</v>
      </c>
      <c r="AV7" s="2" t="str">
        <f>HYPERLINK("http://www.ncbi.nlm.nih.gov/protein/XP_310626.5","XP_310626.5")</f>
        <v>XP_310626.5</v>
      </c>
      <c r="AW7" s="2">
        <v>100</v>
      </c>
      <c r="AX7" s="2">
        <v>100</v>
      </c>
      <c r="AY7" s="2">
        <v>100</v>
      </c>
      <c r="AZ7" s="2" t="s">
        <v>105</v>
      </c>
      <c r="BA7" s="9" t="str">
        <f>HYPERLINK(".\links\REFSEQ-INVERTEBRATE\AGAP000468-PA-REFSEQ-INVERTEBRATE.txt","AGAP000468-PA")</f>
        <v>AGAP000468-PA</v>
      </c>
      <c r="BB7" s="2" t="str">
        <f>HYPERLINK("http://www.ncbi.nlm.nih.gov/sutils/blink.cgi?pid=XP_310626.5","0.0")</f>
        <v>0.0</v>
      </c>
      <c r="BC7" s="2" t="str">
        <f>HYPERLINK("http://www.ncbi.nlm.nih.gov/protein/XP_310626.5","XP_310626.5")</f>
        <v>XP_310626.5</v>
      </c>
      <c r="BD7" s="2">
        <v>100</v>
      </c>
      <c r="BE7" s="2">
        <v>100</v>
      </c>
      <c r="BF7" s="2">
        <v>100</v>
      </c>
      <c r="BG7" s="2" t="s">
        <v>105</v>
      </c>
      <c r="BH7" s="9" t="str">
        <f>HYPERLINK(".\links\REFSEQ-PROTOZOA\AGAP000468-PA-REFSEQ-PROTOZOA.txt","similar to hedgehog protein")</f>
        <v>similar to hedgehog protein</v>
      </c>
      <c r="BI7" s="2" t="str">
        <f>HYPERLINK("http://www.ncbi.nlm.nih.gov/sutils/blink.cgi?pid=XP_005535823.1","7E-066")</f>
        <v>7E-066</v>
      </c>
      <c r="BJ7" s="2" t="str">
        <f>HYPERLINK("http://www.ncbi.nlm.nih.gov/protein/XP_005535823.1","XP_005535823.1")</f>
        <v>XP_005535823.1</v>
      </c>
      <c r="BK7" s="2">
        <v>37</v>
      </c>
      <c r="BL7" s="2">
        <v>42</v>
      </c>
      <c r="BM7" s="2">
        <v>47</v>
      </c>
      <c r="BN7" s="2" t="s">
        <v>126</v>
      </c>
      <c r="BO7" s="9" t="str">
        <f>HYPERLINK(".\links\SWISSP\AGAP000468-PA-SWISSP.txt","Mucin-2")</f>
        <v>Mucin-2</v>
      </c>
      <c r="BP7" s="2" t="str">
        <f>HYPERLINK("http://www.uniprot.org/uniprot/Q02817","4E-071")</f>
        <v>4E-071</v>
      </c>
      <c r="BQ7" s="2" t="str">
        <f>HYPERLINK("http://www.uniprot.org/uniprot/Q02817#expression","Q02817")</f>
        <v>Q02817</v>
      </c>
      <c r="BR7" s="2">
        <v>32</v>
      </c>
      <c r="BS7" s="2">
        <v>40</v>
      </c>
      <c r="BT7" s="2">
        <v>15</v>
      </c>
      <c r="BU7" s="2" t="s">
        <v>127</v>
      </c>
      <c r="BV7" s="9" t="str">
        <f>HYPERLINK(".\links\FLYBASE\AGAP000468-PA-FLYBASE.txt","FBpp0292620")</f>
        <v>FBpp0292620</v>
      </c>
      <c r="BW7" s="2" t="str">
        <f>HYPERLINK("http://flybase.org/reports/FBgn0025390#alliance_summary_container","3E-07")</f>
        <v>3E-07</v>
      </c>
      <c r="BX7" s="2">
        <v>1144</v>
      </c>
      <c r="BY7" s="2">
        <v>25</v>
      </c>
      <c r="BZ7" s="2">
        <v>35</v>
      </c>
      <c r="CA7" s="2">
        <v>20</v>
      </c>
      <c r="CB7" s="9" t="str">
        <f>HYPERLINK(".\links\CDD\AGAP000468-PA-CDD.txt","PHA03247, large tegument protein UL36")</f>
        <v>PHA03247, large tegument protein UL36</v>
      </c>
      <c r="CC7" s="15">
        <v>1E-14</v>
      </c>
      <c r="CD7" s="2">
        <v>10.9</v>
      </c>
      <c r="CE7" s="2" t="s">
        <v>128</v>
      </c>
      <c r="CF7" s="2" t="s">
        <v>152</v>
      </c>
      <c r="CG7" s="9" t="str">
        <f>HYPERLINK(".\links\KOG\AGAP000468-PA-KOG.txt","4,5-triphosphate 5-phosphatase (synaptojanin), INP51/INP52/INP53 family")</f>
        <v>4,5-triphosphate 5-phosphatase (synaptojanin), INP51/INP52/INP53 family</v>
      </c>
      <c r="CH7" s="15">
        <v>8.9999999999999999E-11</v>
      </c>
      <c r="CI7" s="2">
        <v>22.1</v>
      </c>
      <c r="CJ7" s="2" t="s">
        <v>153</v>
      </c>
      <c r="CK7" s="2" t="s">
        <v>154</v>
      </c>
      <c r="CL7" s="9" t="str">
        <f>HYPERLINK(".\links\PFAM\AGAP000468-PA-PFAM.txt","Atrophin-1, Atrophin-1 family")</f>
        <v>Atrophin-1, Atrophin-1 family</v>
      </c>
      <c r="CM7" s="15">
        <v>4.0000000000000001E-8</v>
      </c>
      <c r="CN7" s="2">
        <v>33.799999999999997</v>
      </c>
      <c r="CO7" s="2" t="s">
        <v>155</v>
      </c>
      <c r="CP7" s="9" t="str">
        <f>HYPERLINK(".\links\SMART\AGAP000468-PA-SMART.txt","ChtBD2, Chitin-binding domain type 2")</f>
        <v>ChtBD2, Chitin-binding domain type 2</v>
      </c>
      <c r="CQ7" s="15">
        <v>5.0000000000000001E-4</v>
      </c>
      <c r="CR7" s="2">
        <v>106.1</v>
      </c>
      <c r="CS7" s="2" t="s">
        <v>156</v>
      </c>
      <c r="CT7" s="2" t="s">
        <v>148</v>
      </c>
      <c r="CU7" s="2" t="s">
        <v>148</v>
      </c>
      <c r="CV7" s="2" t="s">
        <v>148</v>
      </c>
      <c r="CW7" s="2" t="str">
        <f>HYPERLINK(".\links\pep\AGAP000468-PA-pep.txt","AGAP000468-PA")</f>
        <v>AGAP000468-PA</v>
      </c>
      <c r="CX7" s="2" t="s">
        <v>95</v>
      </c>
      <c r="CY7" s="2">
        <v>866</v>
      </c>
      <c r="CZ7" s="2" t="s">
        <v>113</v>
      </c>
      <c r="DA7" s="2" t="s">
        <v>157</v>
      </c>
      <c r="DB7" s="2">
        <v>0</v>
      </c>
      <c r="DC7" s="2">
        <v>0</v>
      </c>
      <c r="DD7" s="2" t="str">
        <f>HYPERLINK("https://www.kegg.jp/kegg-bin/search_pathway_text?map=aga&amp;keyword=AGAP000468&amp;mode=1&amp;viewImage=true","AGAP000468")</f>
        <v>AGAP000468</v>
      </c>
      <c r="DE7" s="2" t="s">
        <v>145</v>
      </c>
      <c r="DF7" s="2" t="s">
        <v>93</v>
      </c>
      <c r="DG7" s="2" t="s">
        <v>94</v>
      </c>
      <c r="DH7" s="2" t="str">
        <f>HYPERLINK("https://vectorbase.org/vectorbase/app/record/gene/AGAP000468","AGAP000468-RA")</f>
        <v>AGAP000468-RA</v>
      </c>
      <c r="DI7" s="2" t="s">
        <v>90</v>
      </c>
      <c r="DJ7" s="2">
        <v>2907</v>
      </c>
      <c r="DK7" s="2" t="str">
        <f>HYPERLINK(".\links\netoglyc\AGAP000468-PA-netoglyc.txt","180")</f>
        <v>180</v>
      </c>
      <c r="DL7" s="2">
        <v>30.1</v>
      </c>
      <c r="DM7" s="2">
        <v>6.6</v>
      </c>
      <c r="DN7" s="2">
        <v>15.4</v>
      </c>
      <c r="DO7" s="2" t="s">
        <v>104</v>
      </c>
      <c r="DP7" s="2" t="s">
        <v>102</v>
      </c>
      <c r="DQ7" s="2" t="str">
        <f>HYPERLINK(".\links\Sigp\AGAP000468-PA-SigP.txt","SIG")</f>
        <v>SIG</v>
      </c>
      <c r="DR7" s="2" t="s">
        <v>150</v>
      </c>
      <c r="DS7" s="2">
        <v>88.72</v>
      </c>
      <c r="DT7" s="2">
        <v>4.46</v>
      </c>
      <c r="DU7" s="2">
        <v>86.346999999999994</v>
      </c>
      <c r="DV7" s="2">
        <v>4.4000000000000004</v>
      </c>
      <c r="DW7" s="2" t="s">
        <v>151</v>
      </c>
      <c r="DX7" s="2">
        <v>866</v>
      </c>
      <c r="DY7" s="12">
        <v>0</v>
      </c>
      <c r="DZ7" s="2" t="s">
        <v>102</v>
      </c>
      <c r="EA7" s="2" t="s">
        <v>102</v>
      </c>
      <c r="EB7" s="2" t="s">
        <v>102</v>
      </c>
      <c r="EC7" s="2" t="str">
        <f>HYPERLINK(".\links\gpi\AGAP000468-PA-gpi.txt","N")</f>
        <v>N</v>
      </c>
      <c r="ED7" s="2">
        <v>0.56999999999999995</v>
      </c>
      <c r="EE7" s="2" t="s">
        <v>158</v>
      </c>
      <c r="EF7" s="2">
        <v>36</v>
      </c>
      <c r="EG7" s="2" t="s">
        <v>102</v>
      </c>
      <c r="EH7" s="2" t="s">
        <v>102</v>
      </c>
      <c r="EI7" s="2">
        <v>30.138568129330299</v>
      </c>
      <c r="EJ7" s="2">
        <v>15.357967667436499</v>
      </c>
      <c r="EK7" s="2">
        <v>6.5819861431870699</v>
      </c>
      <c r="EL7" s="2">
        <v>21.939953810623599</v>
      </c>
      <c r="EM7" s="2" t="s">
        <v>102</v>
      </c>
      <c r="EN7" s="2" t="s">
        <v>102</v>
      </c>
      <c r="EO7" s="2">
        <v>19</v>
      </c>
      <c r="EP7" s="2" t="s">
        <v>102</v>
      </c>
      <c r="EQ7" s="2" t="s">
        <v>102</v>
      </c>
      <c r="ER7" s="2" t="s">
        <v>102</v>
      </c>
      <c r="ES7" s="2" t="s">
        <v>102</v>
      </c>
      <c r="ET7" s="2" t="str">
        <f>HYPERLINK(".\links\REFSEQ-INVERTEBRATE\AGAP000468-PA-REFSEQ-INVERTEBRATE.txt","AGAP000468-PA")</f>
        <v>AGAP000468-PA</v>
      </c>
      <c r="EU7" s="2" t="str">
        <f>HYPERLINK("http://www.ncbi.nlm.nih.gov/sutils/blink.cgi?pid=XP_310626.5","0.0")</f>
        <v>0.0</v>
      </c>
      <c r="EV7" s="2" t="str">
        <f>HYPERLINK("http://www.ncbi.nlm.nih.gov/protein/XP_310626.5","XP_310626.5")</f>
        <v>XP_310626.5</v>
      </c>
      <c r="EW7" s="2">
        <v>100</v>
      </c>
      <c r="EX7" s="2">
        <v>100</v>
      </c>
      <c r="EY7" s="2">
        <v>100</v>
      </c>
      <c r="EZ7" s="2" t="s">
        <v>105</v>
      </c>
    </row>
    <row r="8" spans="1:156" x14ac:dyDescent="0.25">
      <c r="A8" s="2" t="s">
        <v>159</v>
      </c>
      <c r="B8" s="2">
        <v>2.08327322445593</v>
      </c>
      <c r="C8" s="2">
        <f t="shared" si="0"/>
        <v>4.2376758139672601</v>
      </c>
      <c r="D8" s="2">
        <v>2.5090075831098702</v>
      </c>
      <c r="E8" s="2">
        <v>10.644177803522499</v>
      </c>
      <c r="F8" s="2">
        <v>1.10417958909963E-3</v>
      </c>
      <c r="G8" s="2">
        <v>3.3690006379902E-2</v>
      </c>
      <c r="H8" s="2" t="s">
        <v>144</v>
      </c>
      <c r="I8" s="2" t="s">
        <v>140</v>
      </c>
      <c r="J8" s="2" t="str">
        <f>HYPERLINK("https://vectorbase.org/vectorbase/app/record/gene/AGAP013708","AGAP013708-RA")</f>
        <v>AGAP013708-RA</v>
      </c>
      <c r="Q8" s="9"/>
      <c r="W8" s="10"/>
      <c r="AB8" s="9"/>
      <c r="AC8" s="9"/>
      <c r="AJ8" s="9"/>
      <c r="AN8" s="9"/>
      <c r="AO8" s="11"/>
      <c r="AP8" s="9"/>
      <c r="AT8" s="9"/>
      <c r="BA8" s="9"/>
      <c r="BH8" s="9"/>
      <c r="BO8" s="9"/>
      <c r="BV8" s="9"/>
      <c r="CB8" s="9"/>
      <c r="CG8" s="9"/>
      <c r="CL8" s="9"/>
      <c r="CP8" s="9"/>
      <c r="DE8" s="2" t="s">
        <v>159</v>
      </c>
      <c r="DF8" s="2" t="s">
        <v>144</v>
      </c>
      <c r="DG8" s="2" t="s">
        <v>140</v>
      </c>
      <c r="DH8" s="2" t="str">
        <f>HYPERLINK("https://vectorbase.org/vectorbase/app/record/gene/AGAP013708","AGAP013708-RA")</f>
        <v>AGAP013708-RA</v>
      </c>
      <c r="DI8" s="2" t="s">
        <v>135</v>
      </c>
      <c r="DJ8" s="2">
        <v>297</v>
      </c>
      <c r="DQ8" s="2" t="s">
        <v>141</v>
      </c>
      <c r="DS8" s="2" t="s">
        <v>142</v>
      </c>
      <c r="DT8" s="2" t="s">
        <v>142</v>
      </c>
      <c r="DX8" s="2" t="s">
        <v>142</v>
      </c>
      <c r="DY8" s="12"/>
    </row>
    <row r="9" spans="1:156" x14ac:dyDescent="0.25">
      <c r="A9" s="2" t="s">
        <v>160</v>
      </c>
      <c r="B9" s="2">
        <v>1.8098305334128899</v>
      </c>
      <c r="C9" s="2">
        <f t="shared" si="0"/>
        <v>3.5060110264834163</v>
      </c>
      <c r="D9" s="2">
        <v>-0.22397054154519699</v>
      </c>
      <c r="E9" s="2">
        <v>13.6957759507027</v>
      </c>
      <c r="F9" s="2">
        <v>2.1493738256716101E-4</v>
      </c>
      <c r="G9" s="2">
        <v>1.6420216319375E-2</v>
      </c>
      <c r="H9" s="2" t="s">
        <v>161</v>
      </c>
      <c r="I9" s="2" t="s">
        <v>94</v>
      </c>
      <c r="J9" s="2" t="str">
        <f>HYPERLINK("https://vectorbase.org/vectorbase/app/record/gene/AGAP007367","AGAP007367-RA")</f>
        <v>AGAP007367-RA</v>
      </c>
      <c r="K9" s="2" t="str">
        <f>HYPERLINK(".\links\pep\AGAP007367-PA-pep.txt","AGAP007367-PA")</f>
        <v>AGAP007367-PA</v>
      </c>
      <c r="L9" s="12" t="s">
        <v>95</v>
      </c>
      <c r="M9" s="2">
        <v>675</v>
      </c>
      <c r="N9" s="2">
        <v>0</v>
      </c>
      <c r="O9" s="2">
        <v>1</v>
      </c>
      <c r="P9" s="2" t="s">
        <v>162</v>
      </c>
      <c r="Q9" s="9" t="s">
        <v>163</v>
      </c>
      <c r="R9" s="2" t="s">
        <v>164</v>
      </c>
      <c r="S9" s="2" t="str">
        <f>HYPERLINK(".\links\KOG\AGAP007367-PA-KOG.txt","KOG")</f>
        <v>KOG</v>
      </c>
      <c r="T9" s="2">
        <v>0</v>
      </c>
      <c r="U9" s="2">
        <v>90.4</v>
      </c>
      <c r="V9" s="2" t="s">
        <v>165</v>
      </c>
      <c r="W9" s="10" t="s">
        <v>166</v>
      </c>
      <c r="X9" s="2" t="s">
        <v>167</v>
      </c>
      <c r="Y9" s="2" t="str">
        <f>HYPERLINK(".\links\COG\AGAP007367-PA-COG.txt","COG")</f>
        <v>COG</v>
      </c>
      <c r="Z9" s="15">
        <v>2.0000000000000001E-42</v>
      </c>
      <c r="AA9" s="2">
        <v>114.8</v>
      </c>
      <c r="AB9" s="13" t="s">
        <v>102</v>
      </c>
      <c r="AC9" s="13" t="str">
        <f>HYPERLINK(".\links\Sigp\AGAP007367-PA-SigP.txt","CYT")</f>
        <v>CYT</v>
      </c>
      <c r="AD9" s="2" t="s">
        <v>102</v>
      </c>
      <c r="AE9" s="2">
        <v>74.153999999999996</v>
      </c>
      <c r="AF9" s="2">
        <v>5.1100000000000003</v>
      </c>
      <c r="AG9" s="2" t="s">
        <v>102</v>
      </c>
      <c r="AH9" s="2" t="s">
        <v>102</v>
      </c>
      <c r="AI9" s="2" t="s">
        <v>168</v>
      </c>
      <c r="AJ9" s="13" t="str">
        <f>HYPERLINK(".\links\tmhmm\AGAP007367-PA-tmhmm.txt","12")</f>
        <v>12</v>
      </c>
      <c r="AK9" s="2">
        <v>38.200000000000003</v>
      </c>
      <c r="AL9" s="2">
        <v>23.9</v>
      </c>
      <c r="AM9" s="2">
        <v>37.9</v>
      </c>
      <c r="AN9" s="13" t="str">
        <f>HYPERLINK(".\links\gpi\AGAP007367-PA-gpi.txt","N")</f>
        <v>N</v>
      </c>
      <c r="AO9" s="14" t="str">
        <f>HYPERLINK(".\links\netoglyc\AGAP007367-PA-netoglyc.txt","1")</f>
        <v>1</v>
      </c>
      <c r="AP9" s="13">
        <v>11.9</v>
      </c>
      <c r="AQ9" s="2">
        <v>10.1</v>
      </c>
      <c r="AR9" s="2">
        <v>3.9</v>
      </c>
      <c r="AS9" s="2" t="s">
        <v>104</v>
      </c>
      <c r="AT9" s="9" t="str">
        <f>HYPERLINK(".\links\NR-LIGHT\AGAP007367-PA-NR-LIGHT.txt","AGAP007367-PA")</f>
        <v>AGAP007367-PA</v>
      </c>
      <c r="AU9" s="2" t="str">
        <f>HYPERLINK("http://www.ncbi.nlm.nih.gov/sutils/blink.cgi?pid=XP_308462.4","0.0")</f>
        <v>0.0</v>
      </c>
      <c r="AV9" s="2" t="str">
        <f>HYPERLINK("http://www.ncbi.nlm.nih.gov/protein/XP_308462.4","XP_308462.4")</f>
        <v>XP_308462.4</v>
      </c>
      <c r="AW9" s="2">
        <v>99</v>
      </c>
      <c r="AX9" s="2">
        <v>99</v>
      </c>
      <c r="AY9" s="2">
        <v>98</v>
      </c>
      <c r="AZ9" s="2" t="s">
        <v>105</v>
      </c>
      <c r="BA9" s="9" t="str">
        <f>HYPERLINK(".\links\REFSEQ-INVERTEBRATE\AGAP007367-PA-REFSEQ-INVERTEBRATE.txt","AGAP007367-PA")</f>
        <v>AGAP007367-PA</v>
      </c>
      <c r="BB9" s="2" t="str">
        <f>HYPERLINK("http://www.ncbi.nlm.nih.gov/sutils/blink.cgi?pid=XP_308462.4","0.0")</f>
        <v>0.0</v>
      </c>
      <c r="BC9" s="2" t="str">
        <f>HYPERLINK("http://www.ncbi.nlm.nih.gov/protein/XP_308462.4","XP_308462.4")</f>
        <v>XP_308462.4</v>
      </c>
      <c r="BD9" s="2">
        <v>99</v>
      </c>
      <c r="BE9" s="2">
        <v>99</v>
      </c>
      <c r="BF9" s="2">
        <v>98</v>
      </c>
      <c r="BG9" s="2" t="s">
        <v>105</v>
      </c>
      <c r="BH9" s="9" t="str">
        <f>HYPERLINK(".\links\REFSEQ-PROTOZOA\AGAP007367-PA-REFSEQ-PROTOZOA.txt","hypothetical protein EMIHUDRAFT_470787")</f>
        <v>hypothetical protein EMIHUDRAFT_470787</v>
      </c>
      <c r="BI9" s="2" t="str">
        <f>HYPERLINK("http://www.ncbi.nlm.nih.gov/sutils/blink.cgi?pid=XP_005765413.1","1E-098")</f>
        <v>1E-098</v>
      </c>
      <c r="BJ9" s="2" t="str">
        <f>HYPERLINK("http://www.ncbi.nlm.nih.gov/protein/XP_005765413.1","XP_005765413.1")</f>
        <v>XP_005765413.1</v>
      </c>
      <c r="BK9" s="2">
        <v>35</v>
      </c>
      <c r="BL9" s="2">
        <v>52</v>
      </c>
      <c r="BM9" s="2">
        <v>91</v>
      </c>
      <c r="BN9" s="2" t="s">
        <v>169</v>
      </c>
      <c r="BO9" s="9" t="str">
        <f>HYPERLINK(".\links\SWISSP\AGAP007367-PA-SWISSP.txt","Sodium-dependent dopamine transporter")</f>
        <v>Sodium-dependent dopamine transporter</v>
      </c>
      <c r="BP9" s="2" t="str">
        <f>HYPERLINK("http://www.uniprot.org/uniprot/Q7K4Y6","0.0")</f>
        <v>0.0</v>
      </c>
      <c r="BQ9" s="2" t="str">
        <f>HYPERLINK("http://www.uniprot.org/uniprot/Q7K4Y6#expression","Q7K4Y6")</f>
        <v>Q7K4Y6</v>
      </c>
      <c r="BR9" s="2">
        <v>80</v>
      </c>
      <c r="BS9" s="2">
        <v>86</v>
      </c>
      <c r="BT9" s="2">
        <v>96</v>
      </c>
      <c r="BU9" s="2" t="s">
        <v>107</v>
      </c>
      <c r="BV9" s="9" t="str">
        <f>HYPERLINK(".\links\FLYBASE\AGAP007367-PA-FLYBASE.txt","FBpp0086271")</f>
        <v>FBpp0086271</v>
      </c>
      <c r="BW9" s="2" t="str">
        <f>HYPERLINK("http://flybase.org/reports/FBgn0034136#alliance_summary_container","0.0")</f>
        <v>0.0</v>
      </c>
      <c r="BX9" s="2">
        <v>631</v>
      </c>
      <c r="BY9" s="2">
        <v>80</v>
      </c>
      <c r="BZ9" s="2">
        <v>86</v>
      </c>
      <c r="CA9" s="2">
        <v>96</v>
      </c>
      <c r="CB9" s="9" t="str">
        <f>HYPERLINK(".\links\CDD\AGAP007367-PA-CDD.txt","SLC6sbd_SERT-like_u1, uncharacterized subgroup of the SERT-like Na(+)- and Cl(-)-dependent monoamine transporter subfamily")</f>
        <v>SLC6sbd_SERT-like_u1, uncharacterized subgroup of the SERT-like Na(+)- and Cl(-)-dependent monoamine transporter subfamily</v>
      </c>
      <c r="CC9" s="15">
        <v>0</v>
      </c>
      <c r="CD9" s="2">
        <v>100.7</v>
      </c>
      <c r="CE9" s="2" t="s">
        <v>170</v>
      </c>
      <c r="CF9" s="2" t="s">
        <v>171</v>
      </c>
      <c r="CG9" s="9" t="str">
        <f>HYPERLINK(".\links\KOG\AGAP007367-PA-KOG.txt","Sodium-neurotransmitter symporter")</f>
        <v>Sodium-neurotransmitter symporter</v>
      </c>
      <c r="CH9" s="15">
        <v>0</v>
      </c>
      <c r="CI9" s="2">
        <v>90.9</v>
      </c>
      <c r="CJ9" s="2" t="s">
        <v>172</v>
      </c>
      <c r="CK9" s="2" t="s">
        <v>173</v>
      </c>
      <c r="CL9" s="9" t="str">
        <f>HYPERLINK(".\links\PFAM\AGAP007367-PA-PFAM.txt","SNF, Sodium:neurotransmitter symporter family")</f>
        <v>SNF, Sodium:neurotransmitter symporter family</v>
      </c>
      <c r="CM9" s="15">
        <v>0</v>
      </c>
      <c r="CN9" s="2">
        <v>104.4</v>
      </c>
      <c r="CO9" s="2" t="s">
        <v>174</v>
      </c>
      <c r="CP9" s="9" t="str">
        <f>HYPERLINK(".\links\SMART\AGAP007367-PA-SMART.txt","BID_2, Bacterial Ig-like domain 2")</f>
        <v>BID_2, Bacterial Ig-like domain 2</v>
      </c>
      <c r="CQ9" s="15">
        <v>0.36</v>
      </c>
      <c r="CR9" s="2">
        <v>44.4</v>
      </c>
      <c r="CS9" s="2" t="s">
        <v>175</v>
      </c>
      <c r="CT9" s="2" t="s">
        <v>165</v>
      </c>
      <c r="CU9" s="2" t="s">
        <v>165</v>
      </c>
      <c r="CV9" s="2" t="s">
        <v>165</v>
      </c>
      <c r="CW9" s="2" t="str">
        <f>HYPERLINK(".\links\pep\AGAP007367-PA-pep.txt","AGAP007367-PA")</f>
        <v>AGAP007367-PA</v>
      </c>
      <c r="CX9" s="2" t="s">
        <v>95</v>
      </c>
      <c r="CY9" s="2">
        <v>675</v>
      </c>
      <c r="CZ9" s="2" t="s">
        <v>113</v>
      </c>
      <c r="DA9" s="2" t="s">
        <v>176</v>
      </c>
      <c r="DB9" s="2">
        <v>0</v>
      </c>
      <c r="DC9" s="2">
        <v>1</v>
      </c>
      <c r="DD9" s="2" t="str">
        <f>HYPERLINK("https://www.kegg.jp/kegg-bin/search_pathway_text?map=aga&amp;keyword=AGAP007367&amp;mode=1&amp;viewImage=true","AGAP007367")</f>
        <v>AGAP007367</v>
      </c>
      <c r="DE9" s="2" t="s">
        <v>160</v>
      </c>
      <c r="DF9" s="2" t="s">
        <v>161</v>
      </c>
      <c r="DG9" s="2" t="s">
        <v>94</v>
      </c>
      <c r="DH9" s="2" t="str">
        <f>HYPERLINK("https://vectorbase.org/vectorbase/app/record/gene/AGAP007367","AGAP007367-RA")</f>
        <v>AGAP007367-RA</v>
      </c>
      <c r="DI9" s="2" t="s">
        <v>135</v>
      </c>
      <c r="DJ9" s="2">
        <v>4503</v>
      </c>
      <c r="DK9" s="2" t="str">
        <f>HYPERLINK(".\links\netoglyc\AGAP007367-PA-netoglyc.txt","1")</f>
        <v>1</v>
      </c>
      <c r="DL9" s="2">
        <v>11.9</v>
      </c>
      <c r="DM9" s="2">
        <v>10.1</v>
      </c>
      <c r="DN9" s="2">
        <v>3.9</v>
      </c>
      <c r="DO9" s="2" t="s">
        <v>104</v>
      </c>
      <c r="DP9" s="2" t="s">
        <v>102</v>
      </c>
      <c r="DQ9" s="2" t="str">
        <f>HYPERLINK(".\links\Sigp\AGAP007367-PA-SigP.txt","CYT")</f>
        <v>CYT</v>
      </c>
      <c r="DR9" s="2" t="s">
        <v>102</v>
      </c>
      <c r="DS9" s="2">
        <v>74.153999999999996</v>
      </c>
      <c r="DT9" s="2">
        <v>5.1100000000000003</v>
      </c>
      <c r="DU9" s="2" t="s">
        <v>102</v>
      </c>
      <c r="DV9" s="2" t="s">
        <v>102</v>
      </c>
      <c r="DW9" s="2" t="s">
        <v>168</v>
      </c>
      <c r="DX9" s="2">
        <v>675</v>
      </c>
      <c r="DY9" s="12" t="str">
        <f>HYPERLINK(".\links\tmhmm\AGAP007367-PA-tmhmm.txt","12")</f>
        <v>12</v>
      </c>
      <c r="DZ9" s="2">
        <v>38.200000000000003</v>
      </c>
      <c r="EA9" s="2">
        <v>23.9</v>
      </c>
      <c r="EB9" s="2">
        <v>37.9</v>
      </c>
      <c r="EC9" s="2" t="str">
        <f>HYPERLINK(".\links\gpi\AGAP007367-PA-gpi.txt","N")</f>
        <v>N</v>
      </c>
      <c r="ED9" s="2">
        <v>0.35</v>
      </c>
      <c r="EF9" s="2">
        <v>11</v>
      </c>
      <c r="EG9" s="2" t="s">
        <v>102</v>
      </c>
      <c r="EH9" s="2" t="s">
        <v>102</v>
      </c>
      <c r="EI9" s="2">
        <v>11.851851851851899</v>
      </c>
      <c r="EJ9" s="2">
        <v>3.8518518518518499</v>
      </c>
      <c r="EK9" s="2">
        <v>10.074074074074099</v>
      </c>
      <c r="EL9" s="2">
        <v>13.925925925925901</v>
      </c>
      <c r="EM9" s="2">
        <v>4</v>
      </c>
      <c r="EN9" s="2">
        <v>4</v>
      </c>
      <c r="EO9" s="2">
        <v>10</v>
      </c>
      <c r="EP9" s="2" t="s">
        <v>102</v>
      </c>
      <c r="EQ9" s="2" t="s">
        <v>102</v>
      </c>
      <c r="ER9" s="2" t="s">
        <v>102</v>
      </c>
      <c r="ES9" s="2" t="s">
        <v>102</v>
      </c>
      <c r="ET9" s="2" t="str">
        <f>HYPERLINK(".\links\REFSEQ-INVERTEBRATE\AGAP007367-PA-REFSEQ-INVERTEBRATE.txt","AGAP007367-PA")</f>
        <v>AGAP007367-PA</v>
      </c>
      <c r="EU9" s="2" t="str">
        <f>HYPERLINK("http://www.ncbi.nlm.nih.gov/sutils/blink.cgi?pid=XP_308462.4","0.0")</f>
        <v>0.0</v>
      </c>
      <c r="EV9" s="2" t="str">
        <f>HYPERLINK("http://www.ncbi.nlm.nih.gov/protein/XP_308462.4","XP_308462.4")</f>
        <v>XP_308462.4</v>
      </c>
      <c r="EW9" s="2">
        <v>99</v>
      </c>
      <c r="EX9" s="2">
        <v>99</v>
      </c>
      <c r="EY9" s="2">
        <v>98</v>
      </c>
      <c r="EZ9" s="2" t="s">
        <v>105</v>
      </c>
    </row>
    <row r="10" spans="1:156" x14ac:dyDescent="0.25">
      <c r="A10" s="2" t="s">
        <v>177</v>
      </c>
      <c r="B10" s="2">
        <v>1.80792610065926</v>
      </c>
      <c r="C10" s="2">
        <f t="shared" si="0"/>
        <v>3.5013859622713071</v>
      </c>
      <c r="D10" s="2">
        <v>0.94880309716181999</v>
      </c>
      <c r="E10" s="2">
        <v>15.7515519137238</v>
      </c>
      <c r="F10" s="2">
        <v>7.2228661428028505E-5</v>
      </c>
      <c r="G10" s="2">
        <v>9.0326678001032799E-3</v>
      </c>
      <c r="H10" s="2" t="s">
        <v>178</v>
      </c>
      <c r="I10" s="2" t="s">
        <v>94</v>
      </c>
      <c r="J10" s="2" t="str">
        <f>HYPERLINK("https://vectorbase.org/vectorbase/app/record/gene/AGAP005834","AGAP005834-RA")</f>
        <v>AGAP005834-RA</v>
      </c>
      <c r="K10" s="2" t="str">
        <f>HYPERLINK(".\links\pep\AGAP005834-PA-pep.txt","AGAP005834-PA")</f>
        <v>AGAP005834-PA</v>
      </c>
      <c r="L10" s="12" t="s">
        <v>95</v>
      </c>
      <c r="M10" s="2">
        <v>597</v>
      </c>
      <c r="N10" s="2">
        <v>0</v>
      </c>
      <c r="O10" s="2">
        <v>3</v>
      </c>
      <c r="P10" s="2" t="s">
        <v>179</v>
      </c>
      <c r="Q10" s="9" t="s">
        <v>180</v>
      </c>
      <c r="R10" s="2" t="s">
        <v>181</v>
      </c>
      <c r="S10" s="2" t="str">
        <f>HYPERLINK(".\links\CDD\AGAP005834-PA-CDD.txt","CDD")</f>
        <v>CDD</v>
      </c>
      <c r="T10" s="2">
        <v>0</v>
      </c>
      <c r="U10" s="2">
        <v>99.5</v>
      </c>
      <c r="V10" s="2" t="s">
        <v>182</v>
      </c>
      <c r="W10" s="10" t="s">
        <v>183</v>
      </c>
      <c r="X10" s="2" t="s">
        <v>181</v>
      </c>
      <c r="Y10" s="2" t="str">
        <f>HYPERLINK(".\links\COG\AGAP005834-PA-COG.txt","COG")</f>
        <v>COG</v>
      </c>
      <c r="Z10" s="15">
        <v>8.0000000000000006E-43</v>
      </c>
      <c r="AA10" s="2">
        <v>41.9</v>
      </c>
      <c r="AB10" s="13" t="s">
        <v>102</v>
      </c>
      <c r="AC10" s="13" t="str">
        <f>HYPERLINK(".\links\Sigp\AGAP005834-PA-SigP.txt","BL")</f>
        <v>BL</v>
      </c>
      <c r="AD10" s="2" t="s">
        <v>184</v>
      </c>
      <c r="AE10" s="2">
        <v>66.290999999999997</v>
      </c>
      <c r="AF10" s="2">
        <v>5.14</v>
      </c>
      <c r="AG10" s="2">
        <v>63.652000000000001</v>
      </c>
      <c r="AH10" s="2">
        <v>4.99</v>
      </c>
      <c r="AI10" s="2" t="s">
        <v>185</v>
      </c>
      <c r="AJ10" s="13">
        <v>0</v>
      </c>
      <c r="AK10" s="2" t="s">
        <v>102</v>
      </c>
      <c r="AL10" s="2" t="s">
        <v>102</v>
      </c>
      <c r="AM10" s="2" t="s">
        <v>102</v>
      </c>
      <c r="AN10" s="13" t="str">
        <f>HYPERLINK(".\links\gpi\AGAP005834-PA-gpi.txt","N")</f>
        <v>N</v>
      </c>
      <c r="AO10" s="14" t="str">
        <f>HYPERLINK(".\links\netoglyc\AGAP005834-PA-netoglyc.txt","0")</f>
        <v>0</v>
      </c>
      <c r="AP10" s="13">
        <v>10.9</v>
      </c>
      <c r="AQ10" s="2">
        <v>7.4</v>
      </c>
      <c r="AR10" s="2">
        <v>7</v>
      </c>
      <c r="AS10" s="2" t="s">
        <v>104</v>
      </c>
      <c r="AT10" s="9" t="str">
        <f>HYPERLINK(".\links\NR-LIGHT\AGAP005834-PA-NR-LIGHT.txt","AGAP005834-PA")</f>
        <v>AGAP005834-PA</v>
      </c>
      <c r="AU10" s="2" t="str">
        <f>HYPERLINK("http://www.ncbi.nlm.nih.gov/sutils/blink.cgi?pid=XP_001237723.2","0.0")</f>
        <v>0.0</v>
      </c>
      <c r="AV10" s="2" t="str">
        <f>HYPERLINK("http://www.ncbi.nlm.nih.gov/protein/XP_001237723.2","XP_001237723.2")</f>
        <v>XP_001237723.2</v>
      </c>
      <c r="AW10" s="2">
        <v>100</v>
      </c>
      <c r="AX10" s="2">
        <v>100</v>
      </c>
      <c r="AY10" s="2">
        <v>100</v>
      </c>
      <c r="AZ10" s="2" t="s">
        <v>105</v>
      </c>
      <c r="BA10" s="9" t="str">
        <f>HYPERLINK(".\links\REFSEQ-INVERTEBRATE\AGAP005834-PA-REFSEQ-INVERTEBRATE.txt","AGAP005834-PA")</f>
        <v>AGAP005834-PA</v>
      </c>
      <c r="BB10" s="2" t="str">
        <f>HYPERLINK("http://www.ncbi.nlm.nih.gov/sutils/blink.cgi?pid=XP_001237723.2","0.0")</f>
        <v>0.0</v>
      </c>
      <c r="BC10" s="2" t="str">
        <f>HYPERLINK("http://www.ncbi.nlm.nih.gov/protein/XP_001237723.2","XP_001237723.2")</f>
        <v>XP_001237723.2</v>
      </c>
      <c r="BD10" s="2">
        <v>100</v>
      </c>
      <c r="BE10" s="2">
        <v>100</v>
      </c>
      <c r="BF10" s="2">
        <v>100</v>
      </c>
      <c r="BG10" s="2" t="s">
        <v>105</v>
      </c>
      <c r="BH10" s="9" t="str">
        <f>HYPERLINK(".\links\REFSEQ-PROTOZOA\AGAP005834-PA-REFSEQ-PROTOZOA.txt","hypothetical protein SAMD00019534_097700")</f>
        <v>hypothetical protein SAMD00019534_097700</v>
      </c>
      <c r="BI10" s="2" t="str">
        <f>HYPERLINK("http://www.ncbi.nlm.nih.gov/sutils/blink.cgi?pid=XP_012750256.1","1E-047")</f>
        <v>1E-047</v>
      </c>
      <c r="BJ10" s="2" t="str">
        <f>HYPERLINK("http://www.ncbi.nlm.nih.gov/protein/XP_012750256.1","XP_012750256.1")</f>
        <v>XP_012750256.1</v>
      </c>
      <c r="BK10" s="2">
        <v>37</v>
      </c>
      <c r="BL10" s="2">
        <v>52</v>
      </c>
      <c r="BM10" s="2">
        <v>60</v>
      </c>
      <c r="BN10" s="2" t="s">
        <v>186</v>
      </c>
      <c r="BO10" s="9" t="str">
        <f>HYPERLINK(".\links\SWISSP\AGAP005834-PA-SWISSP.txt","Venom carboxylesterase-6")</f>
        <v>Venom carboxylesterase-6</v>
      </c>
      <c r="BP10" s="2" t="str">
        <f>HYPERLINK("http://www.uniprot.org/uniprot/B2D0J5","5E-070")</f>
        <v>5E-070</v>
      </c>
      <c r="BQ10" s="2" t="str">
        <f>HYPERLINK("http://www.uniprot.org/uniprot/B2D0J5#expression","B2D0J5")</f>
        <v>B2D0J5</v>
      </c>
      <c r="BR10" s="2">
        <v>34</v>
      </c>
      <c r="BS10" s="2">
        <v>49</v>
      </c>
      <c r="BT10" s="2">
        <v>88</v>
      </c>
      <c r="BU10" s="2" t="s">
        <v>187</v>
      </c>
      <c r="BV10" s="9" t="str">
        <f>HYPERLINK(".\links\FLYBASE\AGAP005834-PA-FLYBASE.txt","FBpp0290965")</f>
        <v>FBpp0290965</v>
      </c>
      <c r="BW10" s="2" t="str">
        <f>HYPERLINK("http://flybase.org/reports/FBgn0010052#alliance_summary_container","1E-125")</f>
        <v>1E-125</v>
      </c>
      <c r="BX10" s="2">
        <v>579</v>
      </c>
      <c r="BY10" s="2">
        <v>42</v>
      </c>
      <c r="BZ10" s="2">
        <v>55</v>
      </c>
      <c r="CA10" s="2">
        <v>98</v>
      </c>
      <c r="CB10" s="9" t="str">
        <f>HYPERLINK(".\links\CDD\AGAP005834-PA-CDD.txt","COesterase, Carboxylesterase family")</f>
        <v>COesterase, Carboxylesterase family</v>
      </c>
      <c r="CC10" s="15">
        <v>1.0000000000000001E-111</v>
      </c>
      <c r="CD10" s="2">
        <v>97.3</v>
      </c>
      <c r="CE10" s="2" t="s">
        <v>188</v>
      </c>
      <c r="CF10" s="2" t="s">
        <v>189</v>
      </c>
      <c r="CG10" s="9" t="str">
        <f>HYPERLINK(".\links\KOG\AGAP005834-PA-KOG.txt","Carboxylesterase and related proteins")</f>
        <v>Carboxylesterase and related proteins</v>
      </c>
      <c r="CH10" s="15">
        <v>2E-90</v>
      </c>
      <c r="CI10" s="2">
        <v>101.3</v>
      </c>
      <c r="CJ10" s="2" t="s">
        <v>190</v>
      </c>
      <c r="CK10" s="2" t="s">
        <v>191</v>
      </c>
      <c r="CL10" s="9" t="str">
        <f>HYPERLINK(".\links\PFAM\AGAP005834-PA-PFAM.txt","COesterase, Carboxylesterase family")</f>
        <v>COesterase, Carboxylesterase family</v>
      </c>
      <c r="CM10" s="15">
        <v>9.9999999999999995E-113</v>
      </c>
      <c r="CN10" s="2">
        <v>97.3</v>
      </c>
      <c r="CO10" s="2" t="s">
        <v>188</v>
      </c>
      <c r="CP10" s="9" t="str">
        <f>HYPERLINK(".\links\SMART\AGAP005834-PA-SMART.txt","CLa, CLUSTERIN alpha chain")</f>
        <v>CLa, CLUSTERIN alpha chain</v>
      </c>
      <c r="CQ10" s="15">
        <v>0.69</v>
      </c>
      <c r="CR10" s="2">
        <v>10.6</v>
      </c>
      <c r="CS10" s="2" t="s">
        <v>192</v>
      </c>
      <c r="CT10" s="2" t="s">
        <v>182</v>
      </c>
      <c r="CU10" s="2" t="s">
        <v>182</v>
      </c>
      <c r="CV10" s="2" t="s">
        <v>182</v>
      </c>
      <c r="CW10" s="2" t="str">
        <f>HYPERLINK(".\links\pep\AGAP005834-PA-pep.txt","AGAP005834-PA")</f>
        <v>AGAP005834-PA</v>
      </c>
      <c r="CX10" s="2" t="s">
        <v>95</v>
      </c>
      <c r="CY10" s="2">
        <v>597</v>
      </c>
      <c r="CZ10" s="2" t="s">
        <v>113</v>
      </c>
      <c r="DA10" s="2" t="s">
        <v>193</v>
      </c>
      <c r="DB10" s="2">
        <v>0</v>
      </c>
      <c r="DC10" s="2">
        <v>3</v>
      </c>
      <c r="DD10" s="2" t="str">
        <f>HYPERLINK("https://www.kegg.jp/kegg-bin/search_pathway_text?map=aga&amp;keyword=AGAP005834&amp;mode=1&amp;viewImage=true","AGAP005834")</f>
        <v>AGAP005834</v>
      </c>
      <c r="DE10" s="2" t="s">
        <v>177</v>
      </c>
      <c r="DF10" s="2" t="s">
        <v>178</v>
      </c>
      <c r="DG10" s="2" t="s">
        <v>94</v>
      </c>
      <c r="DH10" s="2" t="str">
        <f>HYPERLINK("https://vectorbase.org/vectorbase/app/record/gene/AGAP005834","AGAP005834-RA")</f>
        <v>AGAP005834-RA</v>
      </c>
      <c r="DI10" s="2" t="s">
        <v>118</v>
      </c>
      <c r="DJ10" s="2">
        <v>2535</v>
      </c>
      <c r="DK10" s="2" t="str">
        <f>HYPERLINK(".\links\netoglyc\AGAP005834-PA-netoglyc.txt","0")</f>
        <v>0</v>
      </c>
      <c r="DL10" s="2">
        <v>10.9</v>
      </c>
      <c r="DM10" s="2">
        <v>7.4</v>
      </c>
      <c r="DN10" s="2">
        <v>7</v>
      </c>
      <c r="DO10" s="2" t="s">
        <v>104</v>
      </c>
      <c r="DP10" s="2" t="s">
        <v>102</v>
      </c>
      <c r="DQ10" s="2" t="str">
        <f>HYPERLINK(".\links\Sigp\AGAP005834-PA-SigP.txt","BL")</f>
        <v>BL</v>
      </c>
      <c r="DR10" s="2" t="s">
        <v>184</v>
      </c>
      <c r="DS10" s="2">
        <v>66.290999999999997</v>
      </c>
      <c r="DT10" s="2">
        <v>5.14</v>
      </c>
      <c r="DU10" s="2">
        <v>63.652000000000001</v>
      </c>
      <c r="DV10" s="2">
        <v>4.99</v>
      </c>
      <c r="DW10" s="2" t="s">
        <v>185</v>
      </c>
      <c r="DX10" s="2">
        <v>597</v>
      </c>
      <c r="DY10" s="12">
        <v>0</v>
      </c>
      <c r="DZ10" s="2" t="s">
        <v>102</v>
      </c>
      <c r="EA10" s="2" t="s">
        <v>102</v>
      </c>
      <c r="EB10" s="2" t="s">
        <v>102</v>
      </c>
      <c r="EC10" s="2" t="str">
        <f>HYPERLINK(".\links\gpi\AGAP005834-PA-gpi.txt","N")</f>
        <v>N</v>
      </c>
      <c r="ED10" s="2">
        <v>0.21</v>
      </c>
      <c r="EF10" s="2">
        <v>11</v>
      </c>
      <c r="EG10" s="2" t="s">
        <v>102</v>
      </c>
      <c r="EH10" s="2" t="s">
        <v>102</v>
      </c>
      <c r="EI10" s="2">
        <v>10.887772194304899</v>
      </c>
      <c r="EJ10" s="2">
        <v>7.0351758793969896</v>
      </c>
      <c r="EK10" s="2">
        <v>7.3701842546063698</v>
      </c>
      <c r="EL10" s="2">
        <v>14.4053601340034</v>
      </c>
      <c r="EM10" s="2">
        <v>1</v>
      </c>
      <c r="EN10" s="2">
        <v>1</v>
      </c>
      <c r="EO10" s="2">
        <v>1</v>
      </c>
      <c r="EP10" s="2" t="s">
        <v>102</v>
      </c>
      <c r="EQ10" s="2" t="s">
        <v>102</v>
      </c>
      <c r="ER10" s="2" t="s">
        <v>102</v>
      </c>
      <c r="ES10" s="2" t="s">
        <v>102</v>
      </c>
      <c r="ET10" s="2" t="str">
        <f>HYPERLINK(".\links\REFSEQ-INVERTEBRATE\AGAP005834-PA-REFSEQ-INVERTEBRATE.txt","AGAP005834-PA")</f>
        <v>AGAP005834-PA</v>
      </c>
      <c r="EU10" s="2" t="str">
        <f>HYPERLINK("http://www.ncbi.nlm.nih.gov/sutils/blink.cgi?pid=XP_001237723.2","0.0")</f>
        <v>0.0</v>
      </c>
      <c r="EV10" s="2" t="str">
        <f>HYPERLINK("http://www.ncbi.nlm.nih.gov/protein/XP_001237723.2","XP_001237723.2")</f>
        <v>XP_001237723.2</v>
      </c>
      <c r="EW10" s="2">
        <v>100</v>
      </c>
      <c r="EX10" s="2">
        <v>100</v>
      </c>
      <c r="EY10" s="2">
        <v>100</v>
      </c>
      <c r="EZ10" s="2" t="s">
        <v>105</v>
      </c>
    </row>
    <row r="11" spans="1:156" x14ac:dyDescent="0.25">
      <c r="A11" s="2" t="s">
        <v>194</v>
      </c>
      <c r="B11" s="2">
        <v>1.4871729130178399</v>
      </c>
      <c r="C11" s="2">
        <f t="shared" si="0"/>
        <v>2.8033908761157886</v>
      </c>
      <c r="D11" s="2">
        <v>-0.49895292367341099</v>
      </c>
      <c r="E11" s="2">
        <v>9.4296587443344695</v>
      </c>
      <c r="F11" s="2">
        <v>2.1350401536479901E-3</v>
      </c>
      <c r="G11" s="2">
        <v>4.4578009987713801E-2</v>
      </c>
      <c r="H11" s="2" t="s">
        <v>93</v>
      </c>
      <c r="I11" s="2" t="s">
        <v>94</v>
      </c>
      <c r="J11" s="2" t="str">
        <f>HYPERLINK("https://vectorbase.org/vectorbase/app/record/gene/AGAP005172","AGAP005172-RA")</f>
        <v>AGAP005172-RA</v>
      </c>
      <c r="K11" s="2" t="str">
        <f>HYPERLINK(".\links\pep\AGAP005172-PA-pep.txt","AGAP005172-PA")</f>
        <v>AGAP005172-PA</v>
      </c>
      <c r="L11" s="12" t="s">
        <v>95</v>
      </c>
      <c r="M11" s="2">
        <v>369</v>
      </c>
      <c r="N11" s="2">
        <v>0</v>
      </c>
      <c r="O11" s="2">
        <v>1</v>
      </c>
      <c r="P11" s="2" t="s">
        <v>102</v>
      </c>
      <c r="Q11" s="9" t="s">
        <v>195</v>
      </c>
      <c r="R11" s="2" t="s">
        <v>196</v>
      </c>
      <c r="S11" s="2" t="str">
        <f>HYPERLINK(".\links\REFSEQ-INVERTEBRATE\AGAP005172-PA-REFSEQ-INVERTEBRATE.txt","REFSEQ-INVERTEBRATE")</f>
        <v>REFSEQ-INVERTEBRATE</v>
      </c>
      <c r="T11" s="2">
        <v>0</v>
      </c>
      <c r="U11" s="2">
        <v>100</v>
      </c>
      <c r="V11" s="2" t="s">
        <v>195</v>
      </c>
      <c r="W11" s="10" t="s">
        <v>197</v>
      </c>
      <c r="X11" s="2" t="s">
        <v>196</v>
      </c>
      <c r="Y11" s="2" t="str">
        <f>HYPERLINK(".\links\ARTHORPODA\AGAP005172-PA-ARTHORPODA.txt","ARTHORPODA")</f>
        <v>ARTHORPODA</v>
      </c>
      <c r="Z11" s="2">
        <v>0</v>
      </c>
      <c r="AA11" s="2">
        <v>100</v>
      </c>
      <c r="AB11" s="13" t="s">
        <v>102</v>
      </c>
      <c r="AC11" s="13" t="str">
        <f>HYPERLINK(".\links\Sigp\AGAP005172-PA-SigP.txt","CYT")</f>
        <v>CYT</v>
      </c>
      <c r="AD11" s="2" t="s">
        <v>102</v>
      </c>
      <c r="AE11" s="2">
        <v>40.786000000000001</v>
      </c>
      <c r="AF11" s="2">
        <v>8.58</v>
      </c>
      <c r="AG11" s="2" t="s">
        <v>102</v>
      </c>
      <c r="AH11" s="2" t="s">
        <v>102</v>
      </c>
      <c r="AI11" s="2" t="s">
        <v>198</v>
      </c>
      <c r="AJ11" s="13">
        <v>0</v>
      </c>
      <c r="AK11" s="2" t="s">
        <v>102</v>
      </c>
      <c r="AL11" s="2" t="s">
        <v>102</v>
      </c>
      <c r="AM11" s="2" t="s">
        <v>102</v>
      </c>
      <c r="AN11" s="13" t="str">
        <f>HYPERLINK(".\links\gpi\AGAP005172-PA-gpi.txt","N")</f>
        <v>N</v>
      </c>
      <c r="AO11" s="14" t="str">
        <f>HYPERLINK(".\links\netoglyc\AGAP005172-PA-netoglyc.txt","5")</f>
        <v>5</v>
      </c>
      <c r="AP11" s="13">
        <v>14.1</v>
      </c>
      <c r="AQ11" s="2">
        <v>4.0999999999999996</v>
      </c>
      <c r="AR11" s="2">
        <v>4.0999999999999996</v>
      </c>
      <c r="AS11" s="2" t="s">
        <v>104</v>
      </c>
      <c r="AT11" s="9" t="str">
        <f>HYPERLINK(".\links\NR-LIGHT\AGAP005172-PA-NR-LIGHT.txt","AGAP005172-PA")</f>
        <v>AGAP005172-PA</v>
      </c>
      <c r="AU11" s="2" t="str">
        <f>HYPERLINK("http://www.ncbi.nlm.nih.gov/sutils/blink.cgi?pid=XP_001688517.1","0.0")</f>
        <v>0.0</v>
      </c>
      <c r="AV11" s="2" t="str">
        <f>HYPERLINK("http://www.ncbi.nlm.nih.gov/protein/XP_001688517.1","XP_001688517.1")</f>
        <v>XP_001688517.1</v>
      </c>
      <c r="AW11" s="2">
        <v>100</v>
      </c>
      <c r="AX11" s="2">
        <v>100</v>
      </c>
      <c r="AY11" s="2">
        <v>100</v>
      </c>
      <c r="AZ11" s="2" t="s">
        <v>105</v>
      </c>
      <c r="BA11" s="9" t="str">
        <f>HYPERLINK(".\links\REFSEQ-INVERTEBRATE\AGAP005172-PA-REFSEQ-INVERTEBRATE.txt","AGAP005172-PA")</f>
        <v>AGAP005172-PA</v>
      </c>
      <c r="BB11" s="2" t="str">
        <f>HYPERLINK("http://www.ncbi.nlm.nih.gov/sutils/blink.cgi?pid=XP_001688517.1","0.0")</f>
        <v>0.0</v>
      </c>
      <c r="BC11" s="2" t="str">
        <f>HYPERLINK("http://www.ncbi.nlm.nih.gov/protein/XP_001688517.1","XP_001688517.1")</f>
        <v>XP_001688517.1</v>
      </c>
      <c r="BD11" s="2">
        <v>100</v>
      </c>
      <c r="BE11" s="2">
        <v>100</v>
      </c>
      <c r="BF11" s="2">
        <v>100</v>
      </c>
      <c r="BG11" s="2" t="s">
        <v>105</v>
      </c>
      <c r="BH11" s="9" t="str">
        <f>HYPERLINK(".\links\REFSEQ-PROTOZOA\AGAP005172-PA-REFSEQ-PROTOZOA.txt","trichohyalin, putative")</f>
        <v>trichohyalin, putative</v>
      </c>
      <c r="BI11" s="2" t="str">
        <f>HYPERLINK("http://www.ncbi.nlm.nih.gov/sutils/blink.cgi?pid=XP_008884399.1","0.003")</f>
        <v>0.003</v>
      </c>
      <c r="BJ11" s="2" t="str">
        <f>HYPERLINK("http://www.ncbi.nlm.nih.gov/protein/XP_008884399.1","XP_008884399.1")</f>
        <v>XP_008884399.1</v>
      </c>
      <c r="BK11" s="2">
        <v>22</v>
      </c>
      <c r="BL11" s="2">
        <v>45</v>
      </c>
      <c r="BM11" s="2">
        <v>10</v>
      </c>
      <c r="BN11" s="2" t="s">
        <v>199</v>
      </c>
      <c r="BO11" s="9" t="str">
        <f>HYPERLINK(".\links\SWISSP\AGAP005172-PA-SWISSP.txt","Axoneme-associated protein mst101(2)")</f>
        <v>Axoneme-associated protein mst101(2)</v>
      </c>
      <c r="BP11" s="2" t="str">
        <f>HYPERLINK("http://www.uniprot.org/uniprot/Q08696","0.006")</f>
        <v>0.006</v>
      </c>
      <c r="BQ11" s="2" t="str">
        <f>HYPERLINK("http://www.uniprot.org/uniprot/Q08696#expression","Q08696")</f>
        <v>Q08696</v>
      </c>
      <c r="BR11" s="2">
        <v>24</v>
      </c>
      <c r="BS11" s="2">
        <v>42</v>
      </c>
      <c r="BT11" s="2">
        <v>16</v>
      </c>
      <c r="BU11" s="2" t="s">
        <v>200</v>
      </c>
      <c r="BV11" s="9" t="str">
        <f>HYPERLINK(".\links\FLYBASE\AGAP005172-PA-FLYBASE.txt","FBpp0088179")</f>
        <v>FBpp0088179</v>
      </c>
      <c r="BW11" s="2" t="str">
        <f>HYPERLINK("http://flybase.org/reports/FBgn0026262#alliance_summary_container","0.010")</f>
        <v>0.010</v>
      </c>
      <c r="BX11" s="2">
        <v>1406</v>
      </c>
      <c r="BY11" s="2">
        <v>43</v>
      </c>
      <c r="BZ11" s="2">
        <v>58</v>
      </c>
      <c r="CA11" s="2">
        <v>3</v>
      </c>
      <c r="CB11" s="9" t="str">
        <f>HYPERLINK(".\links\CDD\AGAP005172-PA-CDD.txt","PRK12704, phosphodiesterase")</f>
        <v>PRK12704, phosphodiesterase</v>
      </c>
      <c r="CC11" s="15">
        <v>0.18</v>
      </c>
      <c r="CD11" s="2">
        <v>12.1</v>
      </c>
      <c r="CE11" s="2" t="s">
        <v>201</v>
      </c>
      <c r="CF11" s="2" t="s">
        <v>202</v>
      </c>
      <c r="CG11" s="9" t="str">
        <f>HYPERLINK(".\links\KOG\AGAP005172-PA-KOG.txt","involved in telomere length regulation and DNA repair")</f>
        <v>involved in telomere length regulation and DNA repair</v>
      </c>
      <c r="CH11" s="15">
        <v>0.13</v>
      </c>
      <c r="CI11" s="2">
        <v>2.8</v>
      </c>
      <c r="CJ11" s="2" t="s">
        <v>203</v>
      </c>
      <c r="CK11" s="2" t="s">
        <v>204</v>
      </c>
      <c r="CL11" s="9" t="str">
        <f>HYPERLINK(".\links\PFAM\AGAP005172-PA-PFAM.txt","PHD, PHD-finger")</f>
        <v>PHD, PHD-finger</v>
      </c>
      <c r="CM11" s="15">
        <v>0.18</v>
      </c>
      <c r="CN11" s="2">
        <v>54.9</v>
      </c>
      <c r="CO11" s="2" t="s">
        <v>205</v>
      </c>
      <c r="CP11" s="9" t="str">
        <f>HYPERLINK(".\links\SMART\AGAP005172-PA-SMART.txt","PHD, PHD zinc finger")</f>
        <v>PHD, PHD zinc finger</v>
      </c>
      <c r="CQ11" s="15">
        <v>8.0000000000000002E-3</v>
      </c>
      <c r="CR11" s="2">
        <v>87.2</v>
      </c>
      <c r="CS11" s="2" t="s">
        <v>206</v>
      </c>
      <c r="CT11" s="2" t="s">
        <v>195</v>
      </c>
      <c r="CU11" s="2" t="s">
        <v>195</v>
      </c>
      <c r="CV11" s="2" t="s">
        <v>195</v>
      </c>
      <c r="CW11" s="2" t="str">
        <f>HYPERLINK(".\links\pep\AGAP005172-PA-pep.txt","AGAP005172-PA")</f>
        <v>AGAP005172-PA</v>
      </c>
      <c r="CX11" s="2" t="s">
        <v>95</v>
      </c>
      <c r="CY11" s="2">
        <v>369</v>
      </c>
      <c r="CZ11" s="2" t="s">
        <v>113</v>
      </c>
      <c r="DA11" s="2" t="s">
        <v>207</v>
      </c>
      <c r="DB11" s="2">
        <v>0</v>
      </c>
      <c r="DC11" s="2">
        <v>1</v>
      </c>
      <c r="DD11" s="2" t="str">
        <f>HYPERLINK("https://www.kegg.jp/kegg-bin/search_pathway_text?map=aga&amp;keyword=AGAP005172&amp;mode=1&amp;viewImage=true","AGAP005172")</f>
        <v>AGAP005172</v>
      </c>
      <c r="DE11" s="2" t="s">
        <v>194</v>
      </c>
      <c r="DF11" s="2" t="s">
        <v>93</v>
      </c>
      <c r="DG11" s="2" t="s">
        <v>94</v>
      </c>
      <c r="DH11" s="2" t="str">
        <f>HYPERLINK("https://vectorbase.org/vectorbase/app/record/gene/AGAP005172","AGAP005172-RA")</f>
        <v>AGAP005172-RA</v>
      </c>
      <c r="DI11" s="2" t="s">
        <v>135</v>
      </c>
      <c r="DJ11" s="2">
        <v>1110</v>
      </c>
      <c r="DK11" s="2" t="str">
        <f>HYPERLINK(".\links\netoglyc\AGAP005172-PA-netoglyc.txt","5")</f>
        <v>5</v>
      </c>
      <c r="DL11" s="2">
        <v>14.1</v>
      </c>
      <c r="DM11" s="2">
        <v>4.0999999999999996</v>
      </c>
      <c r="DN11" s="2">
        <v>4.0999999999999996</v>
      </c>
      <c r="DO11" s="2" t="s">
        <v>104</v>
      </c>
      <c r="DP11" s="2" t="s">
        <v>208</v>
      </c>
      <c r="DQ11" s="2" t="str">
        <f>HYPERLINK(".\links\Sigp\AGAP005172-PA-SigP.txt","CYT")</f>
        <v>CYT</v>
      </c>
      <c r="DR11" s="2" t="s">
        <v>102</v>
      </c>
      <c r="DS11" s="2">
        <v>40.786000000000001</v>
      </c>
      <c r="DT11" s="2">
        <v>8.58</v>
      </c>
      <c r="DU11" s="2" t="s">
        <v>102</v>
      </c>
      <c r="DV11" s="2" t="s">
        <v>102</v>
      </c>
      <c r="DW11" s="2" t="s">
        <v>198</v>
      </c>
      <c r="DX11" s="2">
        <v>369</v>
      </c>
      <c r="DY11" s="12">
        <v>0</v>
      </c>
      <c r="DZ11" s="2" t="s">
        <v>102</v>
      </c>
      <c r="EA11" s="2" t="s">
        <v>102</v>
      </c>
      <c r="EB11" s="2" t="s">
        <v>102</v>
      </c>
      <c r="EC11" s="2" t="str">
        <f>HYPERLINK(".\links\gpi\AGAP005172-PA-gpi.txt","Y-NoSP")</f>
        <v>Y-NoSP</v>
      </c>
      <c r="ED11" s="2">
        <v>0.27</v>
      </c>
      <c r="EF11" s="2">
        <v>14</v>
      </c>
      <c r="EG11" s="2" t="s">
        <v>102</v>
      </c>
      <c r="EH11" s="2" t="s">
        <v>102</v>
      </c>
      <c r="EI11" s="2">
        <v>14.0921409214092</v>
      </c>
      <c r="EJ11" s="2">
        <v>4.0650406504065</v>
      </c>
      <c r="EK11" s="2">
        <v>4.0650406504065</v>
      </c>
      <c r="EL11" s="2">
        <v>8.1300813008130106</v>
      </c>
      <c r="EM11" s="2" t="s">
        <v>102</v>
      </c>
      <c r="EN11" s="2" t="s">
        <v>102</v>
      </c>
      <c r="EO11" s="2" t="s">
        <v>102</v>
      </c>
      <c r="EP11" s="2" t="s">
        <v>102</v>
      </c>
      <c r="EQ11" s="2" t="s">
        <v>102</v>
      </c>
      <c r="ER11" s="2" t="s">
        <v>102</v>
      </c>
      <c r="ES11" s="2" t="s">
        <v>102</v>
      </c>
      <c r="ET11" s="2" t="str">
        <f>HYPERLINK(".\links\REFSEQ-INVERTEBRATE\AGAP005172-PA-REFSEQ-INVERTEBRATE.txt","AGAP005172-PA")</f>
        <v>AGAP005172-PA</v>
      </c>
      <c r="EU11" s="2" t="str">
        <f>HYPERLINK("http://www.ncbi.nlm.nih.gov/sutils/blink.cgi?pid=XP_001688517.1","0.0")</f>
        <v>0.0</v>
      </c>
      <c r="EV11" s="2" t="str">
        <f>HYPERLINK("http://www.ncbi.nlm.nih.gov/protein/XP_001688517.1","XP_001688517.1")</f>
        <v>XP_001688517.1</v>
      </c>
      <c r="EW11" s="2">
        <v>100</v>
      </c>
      <c r="EX11" s="2">
        <v>100</v>
      </c>
      <c r="EY11" s="2">
        <v>100</v>
      </c>
      <c r="EZ11" s="2" t="s">
        <v>105</v>
      </c>
    </row>
    <row r="12" spans="1:156" x14ac:dyDescent="0.25">
      <c r="A12" s="2" t="s">
        <v>209</v>
      </c>
      <c r="B12" s="2">
        <v>1.3951002338812</v>
      </c>
      <c r="C12" s="2">
        <f t="shared" si="0"/>
        <v>2.6300682428724329</v>
      </c>
      <c r="D12" s="2">
        <v>0.59509552146918299</v>
      </c>
      <c r="E12" s="2">
        <v>17.1972809690083</v>
      </c>
      <c r="F12" s="2">
        <v>3.3691823468966003E-5</v>
      </c>
      <c r="G12" s="2">
        <v>7.0092853692737198E-3</v>
      </c>
      <c r="H12" s="2" t="s">
        <v>93</v>
      </c>
      <c r="I12" s="2" t="s">
        <v>94</v>
      </c>
      <c r="J12" s="2" t="str">
        <f>HYPERLINK("https://vectorbase.org/vectorbase/app/record/gene/AGAP000976","AGAP000976-RA")</f>
        <v>AGAP000976-RA</v>
      </c>
      <c r="K12" s="2" t="str">
        <f>HYPERLINK(".\links\pep\AGAP000976-PA-pep.txt","AGAP000976-PA")</f>
        <v>AGAP000976-PA</v>
      </c>
      <c r="L12" s="12" t="s">
        <v>95</v>
      </c>
      <c r="M12" s="2">
        <v>85</v>
      </c>
      <c r="N12" s="2">
        <v>0</v>
      </c>
      <c r="O12" s="2">
        <v>0</v>
      </c>
      <c r="P12" s="2" t="s">
        <v>102</v>
      </c>
      <c r="Q12" s="9" t="s">
        <v>210</v>
      </c>
      <c r="R12" s="2" t="s">
        <v>196</v>
      </c>
      <c r="S12" s="2" t="str">
        <f>HYPERLINK(".\links\REFSEQ-INVERTEBRATE\AGAP000976-PA-REFSEQ-INVERTEBRATE.txt","REFSEQ-INVERTEBRATE")</f>
        <v>REFSEQ-INVERTEBRATE</v>
      </c>
      <c r="T12" s="2">
        <v>2.9999999999999999E-46</v>
      </c>
      <c r="U12" s="2">
        <v>100</v>
      </c>
      <c r="V12" s="2" t="s">
        <v>210</v>
      </c>
      <c r="W12" s="10" t="s">
        <v>197</v>
      </c>
      <c r="X12" s="2" t="s">
        <v>196</v>
      </c>
      <c r="Y12" s="2" t="str">
        <f>HYPERLINK(".\links\ARTHORPODA\AGAP000976-PA-ARTHORPODA.txt","ARTHORPODA")</f>
        <v>ARTHORPODA</v>
      </c>
      <c r="Z12" s="15">
        <v>1E-58</v>
      </c>
      <c r="AA12" s="2">
        <v>100</v>
      </c>
      <c r="AB12" s="13" t="s">
        <v>102</v>
      </c>
      <c r="AC12" s="13" t="str">
        <f>HYPERLINK(".\links\Sigp\AGAP000976-PA-SigP.txt","CYT")</f>
        <v>CYT</v>
      </c>
      <c r="AD12" s="2" t="s">
        <v>102</v>
      </c>
      <c r="AE12" s="2">
        <v>9.68</v>
      </c>
      <c r="AF12" s="2">
        <v>10.42</v>
      </c>
      <c r="AG12" s="2" t="s">
        <v>102</v>
      </c>
      <c r="AH12" s="2" t="s">
        <v>102</v>
      </c>
      <c r="AI12" s="2" t="s">
        <v>211</v>
      </c>
      <c r="AJ12" s="13">
        <v>0</v>
      </c>
      <c r="AK12" s="2" t="s">
        <v>102</v>
      </c>
      <c r="AL12" s="2" t="s">
        <v>102</v>
      </c>
      <c r="AM12" s="2" t="s">
        <v>102</v>
      </c>
      <c r="AN12" s="13" t="str">
        <f>HYPERLINK(".\links\gpi\AGAP000976-PA-gpi.txt","N")</f>
        <v>N</v>
      </c>
      <c r="AO12" s="14" t="str">
        <f>HYPERLINK(".\links\netoglyc\AGAP000976-PA-netoglyc.txt","0")</f>
        <v>0</v>
      </c>
      <c r="AP12" s="13">
        <v>10.6</v>
      </c>
      <c r="AQ12" s="2">
        <v>9.4</v>
      </c>
      <c r="AR12" s="2">
        <v>9.4</v>
      </c>
      <c r="AS12" s="2" t="s">
        <v>104</v>
      </c>
      <c r="AT12" s="9" t="str">
        <f>HYPERLINK(".\links\NR-LIGHT\AGAP000976-PA-NR-LIGHT.txt","AGAP000976-PA")</f>
        <v>AGAP000976-PA</v>
      </c>
      <c r="AU12" s="2" t="str">
        <f>HYPERLINK("http://www.ncbi.nlm.nih.gov/sutils/blink.cgi?pid=XP_001237191.1","3E-046")</f>
        <v>3E-046</v>
      </c>
      <c r="AV12" s="2" t="str">
        <f>HYPERLINK("http://www.ncbi.nlm.nih.gov/protein/XP_001237191.1","XP_001237191.1")</f>
        <v>XP_001237191.1</v>
      </c>
      <c r="AW12" s="2">
        <v>100</v>
      </c>
      <c r="AX12" s="2">
        <v>100</v>
      </c>
      <c r="AY12" s="2">
        <v>100</v>
      </c>
      <c r="AZ12" s="2" t="s">
        <v>105</v>
      </c>
      <c r="BA12" s="9" t="str">
        <f>HYPERLINK(".\links\REFSEQ-INVERTEBRATE\AGAP000976-PA-REFSEQ-INVERTEBRATE.txt","AGAP000976-PA")</f>
        <v>AGAP000976-PA</v>
      </c>
      <c r="BB12" s="2" t="str">
        <f>HYPERLINK("http://www.ncbi.nlm.nih.gov/sutils/blink.cgi?pid=XP_001237191.1","3E-046")</f>
        <v>3E-046</v>
      </c>
      <c r="BC12" s="2" t="str">
        <f>HYPERLINK("http://www.ncbi.nlm.nih.gov/protein/XP_001237191.1","XP_001237191.1")</f>
        <v>XP_001237191.1</v>
      </c>
      <c r="BD12" s="2">
        <v>100</v>
      </c>
      <c r="BE12" s="2">
        <v>100</v>
      </c>
      <c r="BF12" s="2">
        <v>100</v>
      </c>
      <c r="BG12" s="2" t="s">
        <v>105</v>
      </c>
      <c r="BH12" s="9" t="str">
        <f>HYPERLINK(".\links\REFSEQ-PROTOZOA\AGAP000976-PA-REFSEQ-PROTOZOA.txt","hypothetical protein DFA_03278")</f>
        <v>hypothetical protein DFA_03278</v>
      </c>
      <c r="BI12" s="2" t="str">
        <f>HYPERLINK("http://www.ncbi.nlm.nih.gov/sutils/blink.cgi?pid=XP_004362883.1","4.8")</f>
        <v>4.8</v>
      </c>
      <c r="BJ12" s="2" t="str">
        <f>HYPERLINK("http://www.ncbi.nlm.nih.gov/protein/XP_004362883.1","XP_004362883.1")</f>
        <v>XP_004362883.1</v>
      </c>
      <c r="BK12" s="2">
        <v>62</v>
      </c>
      <c r="BL12" s="2">
        <v>74</v>
      </c>
      <c r="BM12" s="2">
        <v>3</v>
      </c>
      <c r="BN12" s="2" t="s">
        <v>212</v>
      </c>
      <c r="BO12" s="9" t="str">
        <f>HYPERLINK(".\links\SWISSP\AGAP000976-PA-SWISSP.txt","Hyccin")</f>
        <v>Hyccin</v>
      </c>
      <c r="BP12" s="2" t="str">
        <f>HYPERLINK("http://www.uniprot.org/uniprot/Q6P121","1.2")</f>
        <v>1.2</v>
      </c>
      <c r="BQ12" s="2" t="str">
        <f>HYPERLINK("http://www.uniprot.org/uniprot/Q6P121#expression","Q6P121")</f>
        <v>Q6P121</v>
      </c>
      <c r="BR12" s="2">
        <v>32</v>
      </c>
      <c r="BS12" s="2">
        <v>45</v>
      </c>
      <c r="BT12" s="2">
        <v>14</v>
      </c>
      <c r="BU12" s="2" t="s">
        <v>213</v>
      </c>
      <c r="BV12" s="9" t="str">
        <f>HYPERLINK(".\links\FLYBASE\AGAP000976-PA-FLYBASE.txt","FBpp0271926")</f>
        <v>FBpp0271926</v>
      </c>
      <c r="BW12" s="2" t="str">
        <f>HYPERLINK("http://flybase.org/reports/FBgn0023096#alliance_summary_container","6.3")</f>
        <v>6.3</v>
      </c>
      <c r="BX12" s="2">
        <v>4236</v>
      </c>
      <c r="BY12" s="2">
        <v>31</v>
      </c>
      <c r="BZ12" s="2">
        <v>53</v>
      </c>
      <c r="CA12" s="2">
        <v>1</v>
      </c>
      <c r="CB12" s="9" t="str">
        <f>HYPERLINK(".\links\CDD\AGAP000976-PA-CDD.txt","put_Glu_GABA_T, putative glutamate/gamma-aminobutyrate antiporter")</f>
        <v>put_Glu_GABA_T, putative glutamate/gamma-aminobutyrate antiporter</v>
      </c>
      <c r="CC12" s="15">
        <v>2</v>
      </c>
      <c r="CD12" s="2">
        <v>3.6</v>
      </c>
      <c r="CE12" s="2" t="s">
        <v>214</v>
      </c>
      <c r="CF12" s="2" t="s">
        <v>215</v>
      </c>
      <c r="CG12" s="9" t="str">
        <f>HYPERLINK(".\links\KOG\AGAP000976-PA-KOG.txt","Protein required for actin cytoskeleton organization and cell cycle progression")</f>
        <v>Protein required for actin cytoskeleton organization and cell cycle progression</v>
      </c>
      <c r="CH12" s="15">
        <v>3.6</v>
      </c>
      <c r="CI12" s="2">
        <v>5.8</v>
      </c>
      <c r="CJ12" s="2" t="s">
        <v>216</v>
      </c>
      <c r="CK12" s="2" t="s">
        <v>217</v>
      </c>
      <c r="CL12" s="9" t="str">
        <f>HYPERLINK(".\links\PFAM\AGAP000976-PA-PFAM.txt","DUF3444, Domain of unknown function (DUF3444)")</f>
        <v>DUF3444, Domain of unknown function (DUF3444)</v>
      </c>
      <c r="CM12" s="15">
        <v>0.76</v>
      </c>
      <c r="CN12" s="2">
        <v>12</v>
      </c>
      <c r="CO12" s="2" t="s">
        <v>218</v>
      </c>
      <c r="CP12" s="9" t="str">
        <f>HYPERLINK(".\links\SMART\AGAP000976-PA-SMART.txt","Zn_dep_PLPC, Zinc dependent phospholipase C (alpha toxin)")</f>
        <v>Zn_dep_PLPC, Zinc dependent phospholipase C (alpha toxin)</v>
      </c>
      <c r="CQ12" s="15">
        <v>2.2000000000000002</v>
      </c>
      <c r="CR12" s="2">
        <v>16.600000000000001</v>
      </c>
      <c r="CS12" s="2" t="s">
        <v>219</v>
      </c>
      <c r="CT12" s="2" t="s">
        <v>210</v>
      </c>
      <c r="CU12" s="2" t="s">
        <v>210</v>
      </c>
      <c r="CV12" s="2" t="s">
        <v>210</v>
      </c>
      <c r="CW12" s="2" t="str">
        <f>HYPERLINK(".\links\pep\AGAP000976-PA-pep.txt","AGAP000976-PA")</f>
        <v>AGAP000976-PA</v>
      </c>
      <c r="CX12" s="2" t="s">
        <v>95</v>
      </c>
      <c r="CY12" s="2">
        <v>85</v>
      </c>
      <c r="CZ12" s="2" t="s">
        <v>113</v>
      </c>
      <c r="DA12" s="2" t="s">
        <v>220</v>
      </c>
      <c r="DB12" s="2">
        <v>0</v>
      </c>
      <c r="DC12" s="2">
        <v>0</v>
      </c>
      <c r="DD12" s="2" t="str">
        <f>HYPERLINK("https://www.kegg.jp/kegg-bin/search_pathway_text?map=aga&amp;keyword=AGAP000976&amp;mode=1&amp;viewImage=true","AGAP000976")</f>
        <v>AGAP000976</v>
      </c>
      <c r="DE12" s="2" t="s">
        <v>209</v>
      </c>
      <c r="DF12" s="2" t="s">
        <v>93</v>
      </c>
      <c r="DG12" s="2" t="s">
        <v>94</v>
      </c>
      <c r="DH12" s="2" t="str">
        <f>HYPERLINK("https://vectorbase.org/vectorbase/app/record/gene/AGAP000976","AGAP000976-RA")</f>
        <v>AGAP000976-RA</v>
      </c>
      <c r="DI12" s="2" t="s">
        <v>90</v>
      </c>
      <c r="DJ12" s="2">
        <v>615</v>
      </c>
      <c r="DK12" s="2" t="str">
        <f>HYPERLINK(".\links\netoglyc\AGAP000976-PA-netoglyc.txt","0")</f>
        <v>0</v>
      </c>
      <c r="DL12" s="2">
        <v>10.6</v>
      </c>
      <c r="DM12" s="2">
        <v>9.4</v>
      </c>
      <c r="DN12" s="2">
        <v>9.4</v>
      </c>
      <c r="DO12" s="2" t="s">
        <v>104</v>
      </c>
      <c r="DP12" s="2" t="s">
        <v>221</v>
      </c>
      <c r="DQ12" s="2" t="str">
        <f>HYPERLINK(".\links\Sigp\AGAP000976-PA-SigP.txt","CYT")</f>
        <v>CYT</v>
      </c>
      <c r="DR12" s="2" t="s">
        <v>102</v>
      </c>
      <c r="DS12" s="2">
        <v>9.68</v>
      </c>
      <c r="DT12" s="2">
        <v>10.42</v>
      </c>
      <c r="DU12" s="2" t="s">
        <v>102</v>
      </c>
      <c r="DV12" s="2" t="s">
        <v>102</v>
      </c>
      <c r="DW12" s="2" t="s">
        <v>211</v>
      </c>
      <c r="DX12" s="2">
        <v>85</v>
      </c>
      <c r="DY12" s="12">
        <v>0</v>
      </c>
      <c r="DZ12" s="2" t="s">
        <v>102</v>
      </c>
      <c r="EA12" s="2" t="s">
        <v>102</v>
      </c>
      <c r="EB12" s="2" t="s">
        <v>102</v>
      </c>
      <c r="EC12" s="2" t="str">
        <f>HYPERLINK(".\links\gpi\AGAP000976-PA-gpi.txt","N")</f>
        <v>N</v>
      </c>
      <c r="ED12" s="2">
        <v>0.44</v>
      </c>
      <c r="EF12" s="2">
        <v>2</v>
      </c>
      <c r="EG12" s="2" t="s">
        <v>102</v>
      </c>
      <c r="EH12" s="2" t="s">
        <v>102</v>
      </c>
      <c r="EI12" s="2">
        <v>10.588235294117601</v>
      </c>
      <c r="EJ12" s="2">
        <v>9.4117647058823497</v>
      </c>
      <c r="EK12" s="2">
        <v>9.4117647058823497</v>
      </c>
      <c r="EL12" s="2">
        <v>18.823529411764699</v>
      </c>
      <c r="EM12" s="2" t="s">
        <v>102</v>
      </c>
      <c r="EN12" s="2" t="s">
        <v>102</v>
      </c>
      <c r="EO12" s="2">
        <v>1</v>
      </c>
      <c r="EP12" s="2" t="s">
        <v>102</v>
      </c>
      <c r="EQ12" s="2" t="s">
        <v>102</v>
      </c>
      <c r="ER12" s="2" t="s">
        <v>102</v>
      </c>
      <c r="ES12" s="2" t="s">
        <v>102</v>
      </c>
      <c r="ET12" s="2" t="str">
        <f>HYPERLINK(".\links\REFSEQ-INVERTEBRATE\AGAP000976-PA-REFSEQ-INVERTEBRATE.txt","AGAP000976-PA")</f>
        <v>AGAP000976-PA</v>
      </c>
      <c r="EU12" s="2" t="str">
        <f>HYPERLINK("http://www.ncbi.nlm.nih.gov/sutils/blink.cgi?pid=XP_001237191.1","2E-58")</f>
        <v>2E-58</v>
      </c>
      <c r="EV12" s="2" t="str">
        <f>HYPERLINK("http://www.ncbi.nlm.nih.gov/protein/XP_001237191.1","XP_001237191.1")</f>
        <v>XP_001237191.1</v>
      </c>
      <c r="EW12" s="2">
        <v>100</v>
      </c>
      <c r="EX12" s="2">
        <v>100</v>
      </c>
      <c r="EY12" s="2">
        <v>100</v>
      </c>
      <c r="EZ12" s="2" t="s">
        <v>105</v>
      </c>
    </row>
    <row r="13" spans="1:156" x14ac:dyDescent="0.25">
      <c r="A13" s="2" t="s">
        <v>222</v>
      </c>
      <c r="B13" s="2">
        <v>1.36851972500397</v>
      </c>
      <c r="C13" s="2">
        <f t="shared" si="0"/>
        <v>2.5820549881555559</v>
      </c>
      <c r="D13" s="2">
        <v>3.6975101759112201</v>
      </c>
      <c r="E13" s="2">
        <v>8.8312299043515594</v>
      </c>
      <c r="F13" s="2">
        <v>2.9611874885034899E-3</v>
      </c>
      <c r="G13" s="2">
        <v>4.9863028470861798E-2</v>
      </c>
      <c r="H13" s="2" t="s">
        <v>93</v>
      </c>
      <c r="I13" s="2" t="s">
        <v>94</v>
      </c>
      <c r="J13" s="2" t="str">
        <f>HYPERLINK("https://vectorbase.org/vectorbase/app/record/gene/AGAP002134","AGAP002134-RA")</f>
        <v>AGAP002134-RA</v>
      </c>
      <c r="K13" s="2" t="str">
        <f>HYPERLINK(".\links\pep\AGAP002134-PA-pep.txt","AGAP002134-PA")</f>
        <v>AGAP002134-PA</v>
      </c>
      <c r="L13" s="12" t="s">
        <v>95</v>
      </c>
      <c r="M13" s="2">
        <v>507</v>
      </c>
      <c r="N13" s="2">
        <v>0</v>
      </c>
      <c r="O13" s="2">
        <v>0</v>
      </c>
      <c r="P13" s="2" t="s">
        <v>102</v>
      </c>
      <c r="Q13" s="9" t="s">
        <v>223</v>
      </c>
      <c r="R13" s="2" t="s">
        <v>224</v>
      </c>
      <c r="S13" s="2" t="str">
        <f>HYPERLINK(".\links\SWISSP\AGAP002134-PA-SWISSP.txt","SWISSP")</f>
        <v>SWISSP</v>
      </c>
      <c r="T13" s="2">
        <v>1.9999999999999999E-40</v>
      </c>
      <c r="U13" s="2">
        <v>78</v>
      </c>
      <c r="V13" s="2" t="s">
        <v>225</v>
      </c>
      <c r="W13" s="10" t="s">
        <v>226</v>
      </c>
      <c r="X13" s="2" t="s">
        <v>227</v>
      </c>
      <c r="Y13" s="2" t="str">
        <f>HYPERLINK(".\links\REFSEQ-INVERTEBRATE\AGAP002134-PA-REFSEQ-INVERTEBRATE.txt","REFSEQ-INVERTEBRATE")</f>
        <v>REFSEQ-INVERTEBRATE</v>
      </c>
      <c r="Z13" s="15">
        <v>0</v>
      </c>
      <c r="AA13" s="2">
        <v>86.2</v>
      </c>
      <c r="AB13" s="13" t="s">
        <v>102</v>
      </c>
      <c r="AC13" s="13" t="str">
        <f>HYPERLINK(".\links\Sigp\AGAP002134-PA-SigP.txt","SIG")</f>
        <v>SIG</v>
      </c>
      <c r="AD13" s="2" t="s">
        <v>228</v>
      </c>
      <c r="AE13" s="2">
        <v>53.084000000000003</v>
      </c>
      <c r="AF13" s="2">
        <v>6.42</v>
      </c>
      <c r="AG13" s="2">
        <v>51.084000000000003</v>
      </c>
      <c r="AH13" s="2">
        <v>6.37</v>
      </c>
      <c r="AI13" s="2" t="s">
        <v>229</v>
      </c>
      <c r="AJ13" s="13">
        <v>0</v>
      </c>
      <c r="AK13" s="2" t="s">
        <v>102</v>
      </c>
      <c r="AL13" s="2" t="s">
        <v>102</v>
      </c>
      <c r="AM13" s="2" t="s">
        <v>102</v>
      </c>
      <c r="AN13" s="13" t="str">
        <f>HYPERLINK(".\links\gpi\AGAP002134-PA-gpi.txt","N")</f>
        <v>N</v>
      </c>
      <c r="AO13" s="14" t="str">
        <f>HYPERLINK(".\links\netoglyc\AGAP002134-PA-netoglyc.txt","0")</f>
        <v>0</v>
      </c>
      <c r="AP13" s="13">
        <v>4.7</v>
      </c>
      <c r="AQ13" s="2">
        <v>25.6</v>
      </c>
      <c r="AR13" s="2">
        <v>2.4</v>
      </c>
      <c r="AS13" s="2">
        <v>1.8</v>
      </c>
      <c r="AT13" s="9" t="str">
        <f>HYPERLINK(".\links\NR-LIGHT\AGAP002134-PA-NR-LIGHT.txt","AGAP002134-PA")</f>
        <v>AGAP002134-PA</v>
      </c>
      <c r="AU13" s="2" t="str">
        <f>HYPERLINK("http://www.ncbi.nlm.nih.gov/sutils/blink.cgi?pid=XP_320901.4","0.0")</f>
        <v>0.0</v>
      </c>
      <c r="AV13" s="2" t="str">
        <f>HYPERLINK("http://www.ncbi.nlm.nih.gov/protein/XP_320901.4","XP_320901.4")</f>
        <v>XP_320901.4</v>
      </c>
      <c r="AW13" s="2">
        <v>100</v>
      </c>
      <c r="AX13" s="2">
        <v>100</v>
      </c>
      <c r="AY13" s="2">
        <v>100</v>
      </c>
      <c r="AZ13" s="2" t="s">
        <v>105</v>
      </c>
      <c r="BA13" s="9" t="str">
        <f>HYPERLINK(".\links\REFSEQ-INVERTEBRATE\AGAP002134-PA-REFSEQ-INVERTEBRATE.txt","AGAP002134-PA")</f>
        <v>AGAP002134-PA</v>
      </c>
      <c r="BB13" s="2" t="str">
        <f>HYPERLINK("http://www.ncbi.nlm.nih.gov/sutils/blink.cgi?pid=XP_320901.4","0.0")</f>
        <v>0.0</v>
      </c>
      <c r="BC13" s="2" t="str">
        <f>HYPERLINK("http://www.ncbi.nlm.nih.gov/protein/XP_320901.4","XP_320901.4")</f>
        <v>XP_320901.4</v>
      </c>
      <c r="BD13" s="2">
        <v>100</v>
      </c>
      <c r="BE13" s="2">
        <v>100</v>
      </c>
      <c r="BF13" s="2">
        <v>100</v>
      </c>
      <c r="BG13" s="2" t="s">
        <v>105</v>
      </c>
      <c r="BH13" s="9" t="str">
        <f>HYPERLINK(".\links\REFSEQ-PROTOZOA\AGAP002134-PA-REFSEQ-PROTOZOA.txt","hypothetical protein AURANDRAFT_70522")</f>
        <v>hypothetical protein AURANDRAFT_70522</v>
      </c>
      <c r="BI13" s="2" t="str">
        <f>HYPERLINK("http://www.ncbi.nlm.nih.gov/sutils/blink.cgi?pid=XP_009032289.1","8E-046")</f>
        <v>8E-046</v>
      </c>
      <c r="BJ13" s="2" t="str">
        <f>HYPERLINK("http://www.ncbi.nlm.nih.gov/protein/XP_009032289.1","XP_009032289.1")</f>
        <v>XP_009032289.1</v>
      </c>
      <c r="BK13" s="2">
        <v>35</v>
      </c>
      <c r="BL13" s="2">
        <v>48</v>
      </c>
      <c r="BM13" s="2">
        <v>14</v>
      </c>
      <c r="BN13" s="2" t="s">
        <v>230</v>
      </c>
      <c r="BO13" s="9" t="str">
        <f>HYPERLINK(".\links\SWISSP\AGAP002134-PA-SWISSP.txt","Glycine-rich cell wall structural protein 1.8")</f>
        <v>Glycine-rich cell wall structural protein 1.8</v>
      </c>
      <c r="BP13" s="2" t="str">
        <f>HYPERLINK("http://www.uniprot.org/uniprot/P10496","2E-040")</f>
        <v>2E-040</v>
      </c>
      <c r="BQ13" s="2" t="str">
        <f>HYPERLINK("http://www.uniprot.org/uniprot/P10496#expression","P10496")</f>
        <v>P10496</v>
      </c>
      <c r="BR13" s="2">
        <v>41</v>
      </c>
      <c r="BS13" s="2">
        <v>45</v>
      </c>
      <c r="BT13" s="2">
        <v>78</v>
      </c>
      <c r="BU13" s="2" t="s">
        <v>231</v>
      </c>
      <c r="BV13" s="9"/>
      <c r="CB13" s="9" t="str">
        <f>HYPERLINK(".\links\CDD\AGAP002134-PA-CDD.txt","retinal_rod, K+-dependent Na+/Ca+ exchanger")</f>
        <v>retinal_rod, K+-dependent Na+/Ca+ exchanger</v>
      </c>
      <c r="CC13" s="15">
        <v>1.9999999999999999E-6</v>
      </c>
      <c r="CD13" s="2">
        <v>20.5</v>
      </c>
      <c r="CE13" s="2" t="s">
        <v>232</v>
      </c>
      <c r="CF13" s="2" t="s">
        <v>233</v>
      </c>
      <c r="CG13" s="9" t="str">
        <f>HYPERLINK(".\links\KOG\AGAP002134-PA-KOG.txt","5'-3' exonuclease HKE1/RAT1")</f>
        <v>5'-3' exonuclease HKE1/RAT1</v>
      </c>
      <c r="CH13" s="15">
        <v>1.9999999999999999E-7</v>
      </c>
      <c r="CI13" s="2">
        <v>15.3</v>
      </c>
      <c r="CJ13" s="2" t="s">
        <v>234</v>
      </c>
      <c r="CK13" s="2" t="s">
        <v>235</v>
      </c>
      <c r="CL13" s="9" t="str">
        <f>HYPERLINK(".\links\PFAM\AGAP002134-PA-PFAM.txt","Zip, ZIP Zinc transporter")</f>
        <v>Zip, ZIP Zinc transporter</v>
      </c>
      <c r="CM13" s="15">
        <v>3.4000000000000002E-2</v>
      </c>
      <c r="CN13" s="2">
        <v>23.4</v>
      </c>
      <c r="CO13" s="2" t="s">
        <v>236</v>
      </c>
      <c r="CP13" s="9" t="str">
        <f>HYPERLINK(".\links\SMART\AGAP002134-PA-SMART.txt","MA, Methyl-accepting chemotaxis-like domains (chemotaxis sensory transducer)")</f>
        <v>MA, Methyl-accepting chemotaxis-like domains (chemotaxis sensory transducer)</v>
      </c>
      <c r="CQ13" s="15">
        <v>5.0000000000000001E-3</v>
      </c>
      <c r="CR13" s="2">
        <v>16</v>
      </c>
      <c r="CS13" s="2" t="s">
        <v>237</v>
      </c>
      <c r="CT13" s="2" t="s">
        <v>225</v>
      </c>
      <c r="CU13" s="2" t="s">
        <v>225</v>
      </c>
      <c r="CV13" s="2" t="s">
        <v>225</v>
      </c>
      <c r="CW13" s="2" t="str">
        <f>HYPERLINK(".\links\pep\AGAP002134-PA-pep.txt","AGAP002134-PA")</f>
        <v>AGAP002134-PA</v>
      </c>
      <c r="CX13" s="2" t="s">
        <v>95</v>
      </c>
      <c r="CY13" s="2">
        <v>507</v>
      </c>
      <c r="CZ13" s="2" t="s">
        <v>113</v>
      </c>
      <c r="DA13" s="2" t="s">
        <v>238</v>
      </c>
      <c r="DB13" s="2">
        <v>0</v>
      </c>
      <c r="DC13" s="2">
        <v>0</v>
      </c>
      <c r="DD13" s="2" t="str">
        <f>HYPERLINK("https://www.kegg.jp/kegg-bin/search_pathway_text?map=aga&amp;keyword=AGAP002134&amp;mode=1&amp;viewImage=true","AGAP002134")</f>
        <v>AGAP002134</v>
      </c>
      <c r="DE13" s="2" t="s">
        <v>222</v>
      </c>
      <c r="DF13" s="2" t="s">
        <v>93</v>
      </c>
      <c r="DG13" s="2" t="s">
        <v>94</v>
      </c>
      <c r="DH13" s="2" t="str">
        <f>HYPERLINK("https://vectorbase.org/vectorbase/app/record/gene/AGAP002134","AGAP002134-RA")</f>
        <v>AGAP002134-RA</v>
      </c>
      <c r="DI13" s="2" t="s">
        <v>135</v>
      </c>
      <c r="DJ13" s="2">
        <v>1743</v>
      </c>
      <c r="DK13" s="2" t="str">
        <f>HYPERLINK(".\links\netoglyc\AGAP002134-PA-netoglyc.txt","0")</f>
        <v>0</v>
      </c>
      <c r="DL13" s="2">
        <v>4.7</v>
      </c>
      <c r="DM13" s="2">
        <v>25.6</v>
      </c>
      <c r="DN13" s="2">
        <v>2.4</v>
      </c>
      <c r="DO13" s="2">
        <v>1.8</v>
      </c>
      <c r="DP13" s="2" t="s">
        <v>239</v>
      </c>
      <c r="DQ13" s="2" t="str">
        <f>HYPERLINK(".\links\Sigp\AGAP002134-PA-SigP.txt","SIG")</f>
        <v>SIG</v>
      </c>
      <c r="DR13" s="2" t="s">
        <v>228</v>
      </c>
      <c r="DS13" s="2">
        <v>53.084000000000003</v>
      </c>
      <c r="DT13" s="2">
        <v>6.42</v>
      </c>
      <c r="DU13" s="2">
        <v>51.084000000000003</v>
      </c>
      <c r="DV13" s="2">
        <v>6.37</v>
      </c>
      <c r="DW13" s="2" t="s">
        <v>229</v>
      </c>
      <c r="DX13" s="2">
        <v>507</v>
      </c>
      <c r="DY13" s="12">
        <v>0</v>
      </c>
      <c r="DZ13" s="2" t="s">
        <v>102</v>
      </c>
      <c r="EA13" s="2" t="s">
        <v>102</v>
      </c>
      <c r="EB13" s="2" t="s">
        <v>102</v>
      </c>
      <c r="EC13" s="2" t="str">
        <f>HYPERLINK(".\links\gpi\AGAP002134-PA-gpi.txt","N")</f>
        <v>N</v>
      </c>
      <c r="ED13" s="2">
        <v>0.88</v>
      </c>
      <c r="EE13" s="2" t="s">
        <v>240</v>
      </c>
      <c r="EF13" s="2">
        <v>6</v>
      </c>
      <c r="EG13" s="2" t="s">
        <v>102</v>
      </c>
      <c r="EH13" s="2" t="s">
        <v>102</v>
      </c>
      <c r="EI13" s="2">
        <v>4.7337278106508904</v>
      </c>
      <c r="EJ13" s="2">
        <v>2.3668639053254399</v>
      </c>
      <c r="EK13" s="2">
        <v>25.6410256410256</v>
      </c>
      <c r="EL13" s="2">
        <v>28.007889546351102</v>
      </c>
      <c r="EM13" s="2" t="s">
        <v>102</v>
      </c>
      <c r="EN13" s="2">
        <v>23</v>
      </c>
      <c r="EO13" s="2">
        <v>23</v>
      </c>
      <c r="EP13" s="2" t="s">
        <v>102</v>
      </c>
      <c r="EQ13" s="2" t="s">
        <v>102</v>
      </c>
      <c r="ER13" s="2" t="s">
        <v>102</v>
      </c>
      <c r="ES13" s="2" t="s">
        <v>102</v>
      </c>
      <c r="ET13" s="2" t="str">
        <f>HYPERLINK(".\links\REFSEQ-INVERTEBRATE\AGAP002134-PA-REFSEQ-INVERTEBRATE.txt","AGAP002134-PA")</f>
        <v>AGAP002134-PA</v>
      </c>
      <c r="EU13" s="2" t="str">
        <f>HYPERLINK("http://www.ncbi.nlm.nih.gov/sutils/blink.cgi?pid=XP_320901.4","0.0")</f>
        <v>0.0</v>
      </c>
      <c r="EV13" s="2" t="str">
        <f>HYPERLINK("http://www.ncbi.nlm.nih.gov/protein/XP_320901.4","XP_320901.4")</f>
        <v>XP_320901.4</v>
      </c>
      <c r="EW13" s="2">
        <v>100</v>
      </c>
      <c r="EX13" s="2">
        <v>100</v>
      </c>
      <c r="EY13" s="2">
        <v>100</v>
      </c>
      <c r="EZ13" s="2" t="s">
        <v>105</v>
      </c>
    </row>
    <row r="14" spans="1:156" x14ac:dyDescent="0.25">
      <c r="A14" s="2" t="s">
        <v>241</v>
      </c>
      <c r="B14" s="2">
        <v>1.3145535025111701</v>
      </c>
      <c r="C14" s="2">
        <f t="shared" si="0"/>
        <v>2.4872534111997684</v>
      </c>
      <c r="D14" s="2">
        <v>2.8329115191536101</v>
      </c>
      <c r="E14" s="2">
        <v>10.908678216164899</v>
      </c>
      <c r="F14" s="2">
        <v>9.57147968976278E-4</v>
      </c>
      <c r="G14" s="2">
        <v>3.1567485137173897E-2</v>
      </c>
      <c r="H14" s="2" t="s">
        <v>242</v>
      </c>
      <c r="I14" s="2" t="s">
        <v>94</v>
      </c>
      <c r="J14" s="2" t="str">
        <f>HYPERLINK("https://vectorbase.org/vectorbase/app/record/gene/AGAP001027","AGAP001027-RC")</f>
        <v>AGAP001027-RC</v>
      </c>
      <c r="K14" s="2" t="str">
        <f>HYPERLINK(".\links\pep\AGAP001027-PC-pep.txt","AGAP001027-PC")</f>
        <v>AGAP001027-PC</v>
      </c>
      <c r="L14" s="12" t="s">
        <v>95</v>
      </c>
      <c r="M14" s="2">
        <v>500</v>
      </c>
      <c r="N14" s="2">
        <v>0</v>
      </c>
      <c r="O14" s="2">
        <v>1</v>
      </c>
      <c r="P14" s="2" t="s">
        <v>243</v>
      </c>
      <c r="Q14" s="9" t="s">
        <v>244</v>
      </c>
      <c r="R14" s="2" t="s">
        <v>167</v>
      </c>
      <c r="S14" s="2" t="str">
        <f>HYPERLINK(".\links\CDD\AGAP001027-PC-CDD.txt","CDD")</f>
        <v>CDD</v>
      </c>
      <c r="T14" s="2">
        <v>9.9999999999999998E-67</v>
      </c>
      <c r="U14" s="2">
        <v>85.6</v>
      </c>
      <c r="V14" s="2" t="s">
        <v>245</v>
      </c>
      <c r="W14" s="10" t="s">
        <v>246</v>
      </c>
      <c r="X14" s="2" t="s">
        <v>167</v>
      </c>
      <c r="Y14" s="2" t="str">
        <f>HYPERLINK(".\links\REFSEQVERTEBRATE95\AGAP001027-PC-REFSEQVERTEBRATE95.txt","REFSEQVERTEBRATE95")</f>
        <v>REFSEQVERTEBRATE95</v>
      </c>
      <c r="Z14" s="2">
        <v>0</v>
      </c>
      <c r="AA14" s="2">
        <v>85.5</v>
      </c>
      <c r="AB14" s="13" t="str">
        <f>HYPERLINK(".\links\pep\AGAP001027-PC-sulf.txt","1")</f>
        <v>1</v>
      </c>
      <c r="AC14" s="13" t="str">
        <f>HYPERLINK(".\links\Sigp\AGAP001027-PC-SigP.txt","CYT")</f>
        <v>CYT</v>
      </c>
      <c r="AD14" s="2" t="s">
        <v>102</v>
      </c>
      <c r="AE14" s="2">
        <v>53.89</v>
      </c>
      <c r="AF14" s="2">
        <v>5.59</v>
      </c>
      <c r="AG14" s="2" t="s">
        <v>102</v>
      </c>
      <c r="AH14" s="2" t="s">
        <v>102</v>
      </c>
      <c r="AI14" s="2" t="s">
        <v>247</v>
      </c>
      <c r="AJ14" s="13" t="str">
        <f>HYPERLINK(".\links\tmhmm\AGAP001027-PC-tmhmm.txt","12")</f>
        <v>12</v>
      </c>
      <c r="AK14" s="2">
        <v>51.6</v>
      </c>
      <c r="AL14" s="2">
        <v>14.8</v>
      </c>
      <c r="AM14" s="2">
        <v>33.6</v>
      </c>
      <c r="AN14" s="13" t="str">
        <f>HYPERLINK(".\links\gpi\AGAP001027-PC-gpi.txt","N")</f>
        <v>N</v>
      </c>
      <c r="AO14" s="14" t="str">
        <f>HYPERLINK(".\links\netoglyc\AGAP001027-PC-netoglyc.txt","1")</f>
        <v>1</v>
      </c>
      <c r="AP14" s="13">
        <v>9.4</v>
      </c>
      <c r="AQ14" s="2">
        <v>9.1999999999999993</v>
      </c>
      <c r="AR14" s="2">
        <v>4.2</v>
      </c>
      <c r="AS14" s="2" t="s">
        <v>104</v>
      </c>
      <c r="AT14" s="9" t="str">
        <f>HYPERLINK(".\links\NR-LIGHT\AGAP001027-PC-NR-LIGHT.txt","AGAP001027-PC")</f>
        <v>AGAP001027-PC</v>
      </c>
      <c r="AU14" s="2" t="str">
        <f>HYPERLINK("http://www.ncbi.nlm.nih.gov/sutils/blink.cgi?pid=XP_003437178.1","0.0")</f>
        <v>0.0</v>
      </c>
      <c r="AV14" s="2" t="str">
        <f>HYPERLINK("http://www.ncbi.nlm.nih.gov/protein/XP_003437178.1","XP_003437178.1")</f>
        <v>XP_003437178.1</v>
      </c>
      <c r="AW14" s="2">
        <v>100</v>
      </c>
      <c r="AX14" s="2">
        <v>100</v>
      </c>
      <c r="AY14" s="2">
        <v>100</v>
      </c>
      <c r="AZ14" s="2" t="s">
        <v>105</v>
      </c>
      <c r="BA14" s="9" t="str">
        <f>HYPERLINK(".\links\REFSEQ-INVERTEBRATE\AGAP001027-PC-REFSEQ-INVERTEBRATE.txt","AGAP001027-PC")</f>
        <v>AGAP001027-PC</v>
      </c>
      <c r="BB14" s="2" t="str">
        <f>HYPERLINK("http://www.ncbi.nlm.nih.gov/sutils/blink.cgi?pid=XP_003437178.1","0.0")</f>
        <v>0.0</v>
      </c>
      <c r="BC14" s="2" t="str">
        <f>HYPERLINK("http://www.ncbi.nlm.nih.gov/protein/XP_003437178.1","XP_003437178.1")</f>
        <v>XP_003437178.1</v>
      </c>
      <c r="BD14" s="2">
        <v>100</v>
      </c>
      <c r="BE14" s="2">
        <v>100</v>
      </c>
      <c r="BF14" s="2">
        <v>100</v>
      </c>
      <c r="BG14" s="2" t="s">
        <v>105</v>
      </c>
      <c r="BH14" s="9" t="str">
        <f>HYPERLINK(".\links\REFSEQ-PROTOZOA\AGAP001027-PC-REFSEQ-PROTOZOA.txt","hypothetical protein")</f>
        <v>hypothetical protein</v>
      </c>
      <c r="BI14" s="2" t="str">
        <f>HYPERLINK("http://www.ncbi.nlm.nih.gov/sutils/blink.cgi?pid=XP_001748408.1","8E-080")</f>
        <v>8E-080</v>
      </c>
      <c r="BJ14" s="2" t="str">
        <f>HYPERLINK("http://www.ncbi.nlm.nih.gov/protein/XP_001748408.1","XP_001748408.1")</f>
        <v>XP_001748408.1</v>
      </c>
      <c r="BK14" s="2">
        <v>38</v>
      </c>
      <c r="BL14" s="2">
        <v>58</v>
      </c>
      <c r="BM14" s="2">
        <v>88</v>
      </c>
      <c r="BN14" s="2" t="s">
        <v>248</v>
      </c>
      <c r="BO14" s="9" t="str">
        <f>HYPERLINK(".\links\SWISSP\AGAP001027-PC-SWISSP.txt","Facilitated trehalose transporter Tret1")</f>
        <v>Facilitated trehalose transporter Tret1</v>
      </c>
      <c r="BP14" s="2" t="str">
        <f>HYPERLINK("http://www.uniprot.org/uniprot/Q7PIR5","5E-086")</f>
        <v>5E-086</v>
      </c>
      <c r="BQ14" s="2" t="str">
        <f>HYPERLINK("http://www.uniprot.org/uniprot/Q7PIR5#expression","Q7PIR5")</f>
        <v>Q7PIR5</v>
      </c>
      <c r="BR14" s="2">
        <v>37</v>
      </c>
      <c r="BS14" s="2">
        <v>58</v>
      </c>
      <c r="BT14" s="2">
        <v>56</v>
      </c>
      <c r="BU14" s="2" t="s">
        <v>249</v>
      </c>
      <c r="BV14" s="9" t="str">
        <f>HYPERLINK(".\links\FLYBASE\AGAP001027-PC-FLYBASE.txt","FBpp0075675")</f>
        <v>FBpp0075675</v>
      </c>
      <c r="BW14" s="2" t="str">
        <f>HYPERLINK("http://flybase.org/reports/FBgn0036316#alliance_summary_container","0.0")</f>
        <v>0.0</v>
      </c>
      <c r="BX14" s="2">
        <v>471</v>
      </c>
      <c r="BY14" s="2">
        <v>57</v>
      </c>
      <c r="BZ14" s="2">
        <v>73</v>
      </c>
      <c r="CA14" s="2">
        <v>101</v>
      </c>
      <c r="CB14" s="9" t="str">
        <f>HYPERLINK(".\links\CDD\AGAP001027-PC-CDD.txt","Sugar_tr, Sugar (and other) transporter")</f>
        <v>Sugar_tr, Sugar (and other) transporter</v>
      </c>
      <c r="CC14" s="15">
        <v>3.0000000000000001E-73</v>
      </c>
      <c r="CD14" s="2">
        <v>90.9</v>
      </c>
      <c r="CE14" s="2" t="s">
        <v>250</v>
      </c>
      <c r="CF14" s="2" t="s">
        <v>251</v>
      </c>
      <c r="CG14" s="9" t="str">
        <f>HYPERLINK(".\links\KOG\AGAP001027-PC-KOG.txt","Predicted transporter (major facilitator superfamily)")</f>
        <v>Predicted transporter (major facilitator superfamily)</v>
      </c>
      <c r="CH14" s="15">
        <v>3.9999999999999997E-88</v>
      </c>
      <c r="CI14" s="2">
        <v>92.6</v>
      </c>
      <c r="CJ14" s="2" t="s">
        <v>252</v>
      </c>
      <c r="CK14" s="2" t="s">
        <v>191</v>
      </c>
      <c r="CL14" s="9" t="str">
        <f>HYPERLINK(".\links\PFAM\AGAP001027-PC-PFAM.txt","Sugar_tr, Sugar (and other) transporter")</f>
        <v>Sugar_tr, Sugar (and other) transporter</v>
      </c>
      <c r="CM14" s="15">
        <v>5E-74</v>
      </c>
      <c r="CN14" s="2">
        <v>90.9</v>
      </c>
      <c r="CO14" s="2" t="s">
        <v>250</v>
      </c>
      <c r="CP14" s="9" t="str">
        <f>HYPERLINK(".\links\SMART\AGAP001027-PC-SMART.txt","c-SKI_SMAD_bind, c-SKI Smad4 binding domain")</f>
        <v>c-SKI_SMAD_bind, c-SKI Smad4 binding domain</v>
      </c>
      <c r="CQ14" s="15">
        <v>0.77</v>
      </c>
      <c r="CR14" s="2">
        <v>26.3</v>
      </c>
      <c r="CS14" s="2" t="s">
        <v>253</v>
      </c>
      <c r="CT14" s="2" t="s">
        <v>245</v>
      </c>
      <c r="CU14" s="2" t="s">
        <v>245</v>
      </c>
      <c r="CV14" s="2" t="s">
        <v>245</v>
      </c>
      <c r="CW14" s="2" t="str">
        <f>HYPERLINK(".\links\pep\AGAP001027-PC-pep.txt","AGAP001027-PC")</f>
        <v>AGAP001027-PC</v>
      </c>
      <c r="CX14" s="2" t="s">
        <v>95</v>
      </c>
      <c r="CY14" s="2">
        <v>500</v>
      </c>
      <c r="CZ14" s="2" t="s">
        <v>113</v>
      </c>
      <c r="DA14" s="2" t="s">
        <v>254</v>
      </c>
      <c r="DB14" s="2">
        <v>0</v>
      </c>
      <c r="DC14" s="2">
        <v>1</v>
      </c>
      <c r="DD14" s="2" t="str">
        <f>HYPERLINK("https://www.kegg.jp/kegg-bin/search_pathway_text?map=aga&amp;keyword=AGAP001027&amp;mode=1&amp;viewImage=true","AGAP001027")</f>
        <v>AGAP001027</v>
      </c>
      <c r="DE14" s="2" t="s">
        <v>241</v>
      </c>
      <c r="DF14" s="2" t="s">
        <v>242</v>
      </c>
      <c r="DG14" s="2" t="s">
        <v>94</v>
      </c>
      <c r="DH14" s="2" t="str">
        <f>HYPERLINK("https://vectorbase.org/vectorbase/app/record/gene/AGAP001027","AGAP001027-RC")</f>
        <v>AGAP001027-RC</v>
      </c>
      <c r="DI14" s="2" t="s">
        <v>115</v>
      </c>
      <c r="DJ14" s="2">
        <v>2016</v>
      </c>
      <c r="DK14" s="2" t="str">
        <f>HYPERLINK(".\links\netoglyc\AGAP001027-PC-netoglyc.txt","1")</f>
        <v>1</v>
      </c>
      <c r="DL14" s="2">
        <v>9.4</v>
      </c>
      <c r="DM14" s="2">
        <v>9.1999999999999993</v>
      </c>
      <c r="DN14" s="2">
        <v>4.2</v>
      </c>
      <c r="DO14" s="2" t="s">
        <v>104</v>
      </c>
      <c r="DP14" s="2" t="s">
        <v>102</v>
      </c>
      <c r="DQ14" s="2" t="str">
        <f>HYPERLINK(".\links\Sigp\AGAP001027-PC-SigP.txt","CYT")</f>
        <v>CYT</v>
      </c>
      <c r="DR14" s="2" t="s">
        <v>102</v>
      </c>
      <c r="DS14" s="2">
        <v>53.89</v>
      </c>
      <c r="DT14" s="2">
        <v>5.59</v>
      </c>
      <c r="DU14" s="2" t="s">
        <v>102</v>
      </c>
      <c r="DV14" s="2" t="s">
        <v>102</v>
      </c>
      <c r="DW14" s="2" t="s">
        <v>247</v>
      </c>
      <c r="DX14" s="2">
        <v>500</v>
      </c>
      <c r="DY14" s="12" t="str">
        <f>HYPERLINK(".\links\tmhmm\AGAP001027-PC-tmhmm.txt","12")</f>
        <v>12</v>
      </c>
      <c r="DZ14" s="2">
        <v>51.6</v>
      </c>
      <c r="EA14" s="2">
        <v>14.8</v>
      </c>
      <c r="EB14" s="2">
        <v>33.6</v>
      </c>
      <c r="EC14" s="2" t="str">
        <f>HYPERLINK(".\links\gpi\AGAP001027-PC-gpi.txt","N")</f>
        <v>N</v>
      </c>
      <c r="ED14" s="2">
        <v>0.41</v>
      </c>
      <c r="EF14" s="2">
        <v>4</v>
      </c>
      <c r="EG14" s="2" t="str">
        <f>HYPERLINK(".\links\pep\AGAP001027-PC-sulf.txt","1")</f>
        <v>1</v>
      </c>
      <c r="EH14" s="2" t="s">
        <v>102</v>
      </c>
      <c r="EI14" s="2">
        <v>9.4</v>
      </c>
      <c r="EJ14" s="2">
        <v>4.2</v>
      </c>
      <c r="EK14" s="2">
        <v>9.1999999999999993</v>
      </c>
      <c r="EL14" s="2">
        <v>13.4</v>
      </c>
      <c r="EM14" s="2" t="s">
        <v>102</v>
      </c>
      <c r="EN14" s="2">
        <v>2</v>
      </c>
      <c r="EO14" s="2">
        <v>2</v>
      </c>
      <c r="EP14" s="2" t="s">
        <v>102</v>
      </c>
      <c r="EQ14" s="2" t="s">
        <v>102</v>
      </c>
      <c r="ER14" s="2" t="s">
        <v>102</v>
      </c>
      <c r="ES14" s="2" t="s">
        <v>102</v>
      </c>
      <c r="ET14" s="2" t="str">
        <f>HYPERLINK(".\links\REFSEQ-INVERTEBRATE\AGAP001027-PC-REFSEQ-INVERTEBRATE.txt","AGAP001027-PC")</f>
        <v>AGAP001027-PC</v>
      </c>
      <c r="EU14" s="2" t="str">
        <f>HYPERLINK("http://www.ncbi.nlm.nih.gov/sutils/blink.cgi?pid=XP_003437178.1","0.0")</f>
        <v>0.0</v>
      </c>
      <c r="EV14" s="2" t="str">
        <f>HYPERLINK("http://www.ncbi.nlm.nih.gov/protein/XP_003437178.1","XP_003437178.1")</f>
        <v>XP_003437178.1</v>
      </c>
      <c r="EW14" s="2">
        <v>100</v>
      </c>
      <c r="EX14" s="2">
        <v>100</v>
      </c>
      <c r="EY14" s="2">
        <v>100</v>
      </c>
      <c r="EZ14" s="2" t="s">
        <v>105</v>
      </c>
    </row>
    <row r="15" spans="1:156" x14ac:dyDescent="0.25">
      <c r="A15" s="2" t="s">
        <v>255</v>
      </c>
      <c r="B15" s="2">
        <v>1.28719392886448</v>
      </c>
      <c r="C15" s="2">
        <f t="shared" si="0"/>
        <v>2.4405290574523195</v>
      </c>
      <c r="D15" s="2">
        <v>4.5816228643172598</v>
      </c>
      <c r="E15" s="2">
        <v>16.023759717178699</v>
      </c>
      <c r="F15" s="2">
        <v>6.2552537419170506E-5</v>
      </c>
      <c r="G15" s="2">
        <v>8.6824683981116292E-3</v>
      </c>
      <c r="H15" s="2" t="s">
        <v>256</v>
      </c>
      <c r="I15" s="2" t="s">
        <v>94</v>
      </c>
      <c r="J15" s="2" t="str">
        <f>HYPERLINK("https://vectorbase.org/vectorbase/app/record/gene/AGAP007347","AGAP007347-RA")</f>
        <v>AGAP007347-RA</v>
      </c>
      <c r="K15" s="2" t="str">
        <f>HYPERLINK(".\links\pep\AGAP007347-PA-pep.txt","AGAP007347-PA")</f>
        <v>AGAP007347-PA</v>
      </c>
      <c r="L15" s="12" t="s">
        <v>95</v>
      </c>
      <c r="M15" s="2">
        <v>140</v>
      </c>
      <c r="N15" s="2">
        <v>0</v>
      </c>
      <c r="O15" s="2">
        <v>0</v>
      </c>
      <c r="P15" s="2" t="s">
        <v>257</v>
      </c>
      <c r="Q15" s="9" t="s">
        <v>258</v>
      </c>
      <c r="R15" s="2" t="s">
        <v>259</v>
      </c>
      <c r="S15" s="2" t="str">
        <f>HYPERLINK(".\links\SWISSP\AGAP007347-PA-SWISSP.txt","SWISSP")</f>
        <v>SWISSP</v>
      </c>
      <c r="T15" s="2">
        <v>4.9999999999999998E-82</v>
      </c>
      <c r="U15" s="2">
        <v>100</v>
      </c>
      <c r="V15" s="2" t="s">
        <v>260</v>
      </c>
      <c r="W15" s="10" t="s">
        <v>261</v>
      </c>
      <c r="X15" s="2" t="s">
        <v>262</v>
      </c>
      <c r="Y15" s="2" t="str">
        <f>HYPERLINK(".\links\EC\AGAP007347-PA-EC.txt","EC")</f>
        <v>EC</v>
      </c>
      <c r="Z15" s="2">
        <v>0</v>
      </c>
      <c r="AA15" s="2">
        <v>100</v>
      </c>
      <c r="AB15" s="13" t="s">
        <v>102</v>
      </c>
      <c r="AC15" s="13" t="str">
        <f>HYPERLINK(".\links\Sigp\AGAP007347-PA-SigP.txt","SIG")</f>
        <v>SIG</v>
      </c>
      <c r="AD15" s="2" t="s">
        <v>228</v>
      </c>
      <c r="AE15" s="2">
        <v>15.352</v>
      </c>
      <c r="AF15" s="2">
        <v>8.8000000000000007</v>
      </c>
      <c r="AG15" s="2">
        <v>13.331</v>
      </c>
      <c r="AH15" s="2">
        <v>8.91</v>
      </c>
      <c r="AI15" s="2" t="s">
        <v>263</v>
      </c>
      <c r="AJ15" s="13">
        <v>0</v>
      </c>
      <c r="AK15" s="2" t="s">
        <v>102</v>
      </c>
      <c r="AL15" s="2" t="s">
        <v>102</v>
      </c>
      <c r="AM15" s="2" t="s">
        <v>102</v>
      </c>
      <c r="AN15" s="13" t="str">
        <f>HYPERLINK(".\links\gpi\AGAP007347-PA-gpi.txt","N")</f>
        <v>N</v>
      </c>
      <c r="AO15" s="14" t="str">
        <f>HYPERLINK(".\links\netoglyc\AGAP007347-PA-netoglyc.txt","0")</f>
        <v>0</v>
      </c>
      <c r="AP15" s="13">
        <v>11.4</v>
      </c>
      <c r="AQ15" s="2">
        <v>6.4</v>
      </c>
      <c r="AR15" s="2">
        <v>1.4</v>
      </c>
      <c r="AS15" s="2" t="s">
        <v>104</v>
      </c>
      <c r="AT15" s="9" t="str">
        <f>HYPERLINK(".\links\NR-LIGHT\AGAP007347-PA-NR-LIGHT.txt","AGAP007347-PA")</f>
        <v>AGAP007347-PA</v>
      </c>
      <c r="AU15" s="2" t="str">
        <f>HYPERLINK("http://www.ncbi.nlm.nih.gov/sutils/blink.cgi?pid=XP_308481.1","6E-081")</f>
        <v>6E-081</v>
      </c>
      <c r="AV15" s="2" t="str">
        <f>HYPERLINK("http://www.ncbi.nlm.nih.gov/protein/XP_308481.1","XP_308481.1")</f>
        <v>XP_308481.1</v>
      </c>
      <c r="AW15" s="2">
        <v>100</v>
      </c>
      <c r="AX15" s="2">
        <v>100</v>
      </c>
      <c r="AY15" s="2">
        <v>100</v>
      </c>
      <c r="AZ15" s="2" t="s">
        <v>105</v>
      </c>
      <c r="BA15" s="9" t="str">
        <f>HYPERLINK(".\links\REFSEQ-INVERTEBRATE\AGAP007347-PA-REFSEQ-INVERTEBRATE.txt","AGAP007347-PA")</f>
        <v>AGAP007347-PA</v>
      </c>
      <c r="BB15" s="2" t="str">
        <f>HYPERLINK("http://www.ncbi.nlm.nih.gov/sutils/blink.cgi?pid=XP_308481.1","5E-081")</f>
        <v>5E-081</v>
      </c>
      <c r="BC15" s="2" t="str">
        <f>HYPERLINK("http://www.ncbi.nlm.nih.gov/protein/XP_308481.1","XP_308481.1")</f>
        <v>XP_308481.1</v>
      </c>
      <c r="BD15" s="2">
        <v>100</v>
      </c>
      <c r="BE15" s="2">
        <v>100</v>
      </c>
      <c r="BF15" s="2">
        <v>100</v>
      </c>
      <c r="BG15" s="2" t="s">
        <v>105</v>
      </c>
      <c r="BH15" s="9" t="str">
        <f>HYPERLINK(".\links\REFSEQ-PROTOZOA\AGAP007347-PA-REFSEQ-PROTOZOA.txt","hypothetical protein CAOG_01707")</f>
        <v>hypothetical protein CAOG_01707</v>
      </c>
      <c r="BI15" s="2" t="str">
        <f>HYPERLINK("http://www.ncbi.nlm.nih.gov/sutils/blink.cgi?pid=XP_004364575.1","1E-007")</f>
        <v>1E-007</v>
      </c>
      <c r="BJ15" s="2" t="str">
        <f>HYPERLINK("http://www.ncbi.nlm.nih.gov/protein/XP_004364575.1","XP_004364575.1")</f>
        <v>XP_004364575.1</v>
      </c>
      <c r="BK15" s="2">
        <v>26</v>
      </c>
      <c r="BL15" s="2">
        <v>46</v>
      </c>
      <c r="BM15" s="2">
        <v>68</v>
      </c>
      <c r="BN15" s="2" t="s">
        <v>106</v>
      </c>
      <c r="BO15" s="9" t="str">
        <f>HYPERLINK(".\links\SWISSP\AGAP007347-PA-SWISSP.txt","Lysozyme c-1")</f>
        <v>Lysozyme c-1</v>
      </c>
      <c r="BP15" s="2" t="str">
        <f>HYPERLINK("http://www.uniprot.org/uniprot/Q17005","5E-082")</f>
        <v>5E-082</v>
      </c>
      <c r="BQ15" s="2" t="str">
        <f>HYPERLINK("http://www.uniprot.org/uniprot/Q17005#expression","Q17005")</f>
        <v>Q17005</v>
      </c>
      <c r="BR15" s="2">
        <v>100</v>
      </c>
      <c r="BS15" s="2">
        <v>100</v>
      </c>
      <c r="BT15" s="2">
        <v>100</v>
      </c>
      <c r="BU15" s="2" t="s">
        <v>249</v>
      </c>
      <c r="BV15" s="9" t="str">
        <f>HYPERLINK(".\links\FLYBASE\AGAP007347-PA-FLYBASE.txt","FBpp0072529")</f>
        <v>FBpp0072529</v>
      </c>
      <c r="BW15" s="2" t="str">
        <f>HYPERLINK("http://flybase.org/reports/FBgn0004429#alliance_summary_container","5E-38")</f>
        <v>5E-38</v>
      </c>
      <c r="BX15" s="2">
        <v>141</v>
      </c>
      <c r="BY15" s="2">
        <v>43</v>
      </c>
      <c r="BZ15" s="2">
        <v>62</v>
      </c>
      <c r="CA15" s="2">
        <v>102</v>
      </c>
      <c r="CB15" s="9" t="str">
        <f>HYPERLINK(".\links\CDD\AGAP007347-PA-CDD.txt","LYZ1, C-type lysozyme (1, 4-beta-N-acetylmuramidase, LYZ) and alpha-lactalbumin (lactose synthase B protein, LA)")</f>
        <v>LYZ1, C-type lysozyme (1, 4-beta-N-acetylmuramidase, LYZ) and alpha-lactalbumin (lactose synthase B protein, LA)</v>
      </c>
      <c r="CC15" s="15">
        <v>4.9999999999999999E-48</v>
      </c>
      <c r="CD15" s="2">
        <v>100</v>
      </c>
      <c r="CE15" s="2" t="s">
        <v>264</v>
      </c>
      <c r="CF15" s="2" t="s">
        <v>265</v>
      </c>
      <c r="CG15" s="9" t="str">
        <f>HYPERLINK(".\links\KOG\AGAP007347-PA-KOG.txt","ATP phosphoribosyltransferase")</f>
        <v>ATP phosphoribosyltransferase</v>
      </c>
      <c r="CH15" s="15">
        <v>6.3E-2</v>
      </c>
      <c r="CI15" s="2">
        <v>20.8</v>
      </c>
      <c r="CJ15" s="2" t="s">
        <v>266</v>
      </c>
      <c r="CK15" s="2" t="s">
        <v>267</v>
      </c>
      <c r="CL15" s="9" t="str">
        <f>HYPERLINK(".\links\PFAM\AGAP007347-PA-PFAM.txt","Lys, C-type lysozyme/alpha-lactalbumin family")</f>
        <v>Lys, C-type lysozyme/alpha-lactalbumin family</v>
      </c>
      <c r="CM15" s="15">
        <v>8.0000000000000004E-33</v>
      </c>
      <c r="CN15" s="2">
        <v>100.8</v>
      </c>
      <c r="CO15" s="2" t="s">
        <v>268</v>
      </c>
      <c r="CP15" s="9" t="str">
        <f>HYPERLINK(".\links\SMART\AGAP007347-PA-SMART.txt","LYZ1, Alpha-lactalbumin / lysozyme C")</f>
        <v>LYZ1, Alpha-lactalbumin / lysozyme C</v>
      </c>
      <c r="CQ15" s="15">
        <v>1E-46</v>
      </c>
      <c r="CR15" s="2">
        <v>100</v>
      </c>
      <c r="CS15" s="2" t="s">
        <v>269</v>
      </c>
      <c r="CT15" s="2" t="s">
        <v>260</v>
      </c>
      <c r="CU15" s="2" t="s">
        <v>260</v>
      </c>
      <c r="CV15" s="2" t="s">
        <v>260</v>
      </c>
      <c r="CW15" s="2" t="str">
        <f>HYPERLINK(".\links\pep\AGAP007347-PA-pep.txt","AGAP007347-PA")</f>
        <v>AGAP007347-PA</v>
      </c>
      <c r="CX15" s="2" t="s">
        <v>95</v>
      </c>
      <c r="CY15" s="2">
        <v>140</v>
      </c>
      <c r="CZ15" s="2" t="s">
        <v>113</v>
      </c>
      <c r="DA15" s="2" t="s">
        <v>270</v>
      </c>
      <c r="DB15" s="2">
        <v>0</v>
      </c>
      <c r="DC15" s="2">
        <v>0</v>
      </c>
      <c r="DD15" s="2" t="str">
        <f>HYPERLINK("https://www.kegg.jp/kegg-bin/search_pathway_text?map=aga&amp;keyword=AGAP007347&amp;mode=1&amp;viewImage=true","AGAP007347")</f>
        <v>AGAP007347</v>
      </c>
      <c r="DE15" s="2" t="s">
        <v>255</v>
      </c>
      <c r="DF15" s="2" t="s">
        <v>256</v>
      </c>
      <c r="DG15" s="2" t="s">
        <v>94</v>
      </c>
      <c r="DH15" s="2" t="str">
        <f>HYPERLINK("https://vectorbase.org/vectorbase/app/record/gene/AGAP007347","AGAP007347-RA")</f>
        <v>AGAP007347-RA</v>
      </c>
      <c r="DI15" s="2" t="s">
        <v>135</v>
      </c>
      <c r="DJ15" s="2">
        <v>571</v>
      </c>
      <c r="DK15" s="2" t="str">
        <f>HYPERLINK(".\links\netoglyc\AGAP007347-PA-netoglyc.txt","0")</f>
        <v>0</v>
      </c>
      <c r="DL15" s="2">
        <v>11.4</v>
      </c>
      <c r="DM15" s="2">
        <v>6.4</v>
      </c>
      <c r="DN15" s="2">
        <v>1.4</v>
      </c>
      <c r="DO15" s="2" t="s">
        <v>104</v>
      </c>
      <c r="DP15" s="2" t="s">
        <v>102</v>
      </c>
      <c r="DQ15" s="2" t="str">
        <f>HYPERLINK(".\links\Sigp\AGAP007347-PA-SigP.txt","SIG")</f>
        <v>SIG</v>
      </c>
      <c r="DR15" s="2" t="s">
        <v>228</v>
      </c>
      <c r="DS15" s="2">
        <v>15.352</v>
      </c>
      <c r="DT15" s="2">
        <v>8.8000000000000007</v>
      </c>
      <c r="DU15" s="2">
        <v>13.331</v>
      </c>
      <c r="DV15" s="2">
        <v>8.91</v>
      </c>
      <c r="DW15" s="2" t="s">
        <v>263</v>
      </c>
      <c r="DX15" s="2">
        <v>140</v>
      </c>
      <c r="DY15" s="12">
        <v>0</v>
      </c>
      <c r="DZ15" s="2" t="s">
        <v>102</v>
      </c>
      <c r="EA15" s="2" t="s">
        <v>102</v>
      </c>
      <c r="EB15" s="2" t="s">
        <v>102</v>
      </c>
      <c r="EC15" s="2" t="str">
        <f>HYPERLINK(".\links\gpi\AGAP007347-PA-gpi.txt","N")</f>
        <v>N</v>
      </c>
      <c r="ED15" s="2">
        <v>0.5</v>
      </c>
      <c r="EE15" s="2" t="s">
        <v>271</v>
      </c>
      <c r="EF15" s="2">
        <v>10</v>
      </c>
      <c r="EG15" s="2" t="s">
        <v>102</v>
      </c>
      <c r="EH15" s="2" t="s">
        <v>102</v>
      </c>
      <c r="EI15" s="2">
        <v>11.4285714285714</v>
      </c>
      <c r="EJ15" s="2">
        <v>1.4285714285714299</v>
      </c>
      <c r="EK15" s="2">
        <v>6.4285714285714297</v>
      </c>
      <c r="EL15" s="2">
        <v>7.8571428571428603</v>
      </c>
      <c r="EM15" s="2" t="s">
        <v>102</v>
      </c>
      <c r="EN15" s="2" t="s">
        <v>102</v>
      </c>
      <c r="EO15" s="2" t="s">
        <v>102</v>
      </c>
      <c r="EP15" s="2" t="s">
        <v>102</v>
      </c>
      <c r="EQ15" s="2" t="s">
        <v>102</v>
      </c>
      <c r="ER15" s="2" t="s">
        <v>102</v>
      </c>
      <c r="ES15" s="2" t="s">
        <v>102</v>
      </c>
      <c r="ET15" s="2" t="str">
        <f>HYPERLINK(".\links\REFSEQ-INVERTEBRATE\AGAP007347-PA-REFSEQ-INVERTEBRATE.txt","AGAP007347-PA")</f>
        <v>AGAP007347-PA</v>
      </c>
      <c r="EU15" s="2" t="str">
        <f>HYPERLINK("http://www.ncbi.nlm.nih.gov/sutils/blink.cgi?pid=XP_308481.1","1E-98")</f>
        <v>1E-98</v>
      </c>
      <c r="EV15" s="2" t="str">
        <f>HYPERLINK("http://www.ncbi.nlm.nih.gov/protein/XP_308481.1","XP_308481.1")</f>
        <v>XP_308481.1</v>
      </c>
      <c r="EW15" s="2">
        <v>100</v>
      </c>
      <c r="EX15" s="2">
        <v>100</v>
      </c>
      <c r="EY15" s="2">
        <v>100</v>
      </c>
      <c r="EZ15" s="2" t="s">
        <v>105</v>
      </c>
    </row>
    <row r="16" spans="1:156" x14ac:dyDescent="0.25">
      <c r="A16" s="2" t="s">
        <v>272</v>
      </c>
      <c r="B16" s="2">
        <v>1.25895711018736</v>
      </c>
      <c r="C16" s="2">
        <f t="shared" si="0"/>
        <v>2.3932267772781617</v>
      </c>
      <c r="D16" s="2">
        <v>0.79198241450854101</v>
      </c>
      <c r="E16" s="2">
        <v>12.0528400134693</v>
      </c>
      <c r="F16" s="2">
        <v>5.1713533722903403E-4</v>
      </c>
      <c r="G16" s="2">
        <v>2.6253707460125002E-2</v>
      </c>
      <c r="H16" s="2" t="s">
        <v>93</v>
      </c>
      <c r="I16" s="2" t="s">
        <v>94</v>
      </c>
      <c r="J16" s="2" t="str">
        <f>HYPERLINK("https://vectorbase.org/vectorbase/app/record/gene/AGAP006647","AGAP006647-RA")</f>
        <v>AGAP006647-RA</v>
      </c>
      <c r="K16" s="2" t="str">
        <f>HYPERLINK(".\links\pep\AGAP006647-PA-pep.txt","AGAP006647-PA")</f>
        <v>AGAP006647-PA</v>
      </c>
      <c r="L16" s="12" t="s">
        <v>95</v>
      </c>
      <c r="M16" s="2">
        <v>384</v>
      </c>
      <c r="N16" s="2">
        <v>0</v>
      </c>
      <c r="O16" s="2">
        <v>0</v>
      </c>
      <c r="P16" s="2" t="s">
        <v>102</v>
      </c>
      <c r="Q16" s="9" t="s">
        <v>273</v>
      </c>
      <c r="R16" s="2" t="s">
        <v>164</v>
      </c>
      <c r="S16" s="2" t="str">
        <f>HYPERLINK(".\links\REFSEQ-INVERTEBRATE\AGAP006647-PA-REFSEQ-INVERTEBRATE.txt","REFSEQ-INVERTEBRATE")</f>
        <v>REFSEQ-INVERTEBRATE</v>
      </c>
      <c r="T16" s="2">
        <v>0</v>
      </c>
      <c r="U16" s="2">
        <v>104</v>
      </c>
      <c r="V16" s="2" t="s">
        <v>274</v>
      </c>
      <c r="W16" s="10" t="s">
        <v>275</v>
      </c>
      <c r="X16" s="2" t="s">
        <v>276</v>
      </c>
      <c r="Y16" s="2" t="str">
        <f>HYPERLINK(".\links\CDD\AGAP006647-PA-CDD.txt","CDD")</f>
        <v>CDD</v>
      </c>
      <c r="Z16" s="15">
        <v>8.9999999999999995E-15</v>
      </c>
      <c r="AA16" s="2">
        <v>71</v>
      </c>
      <c r="AB16" s="13" t="str">
        <f>HYPERLINK(".\links\pep\AGAP006647-PA-sulf.txt","1")</f>
        <v>1</v>
      </c>
      <c r="AC16" s="13" t="str">
        <f>HYPERLINK(".\links\Sigp\AGAP006647-PA-SigP.txt","BL")</f>
        <v>BL</v>
      </c>
      <c r="AD16" s="2" t="s">
        <v>277</v>
      </c>
      <c r="AE16" s="2">
        <v>43.076000000000001</v>
      </c>
      <c r="AF16" s="2">
        <v>8.35</v>
      </c>
      <c r="AG16" s="2">
        <v>40.040999999999997</v>
      </c>
      <c r="AH16" s="2">
        <v>8.3699999999999992</v>
      </c>
      <c r="AI16" s="2" t="s">
        <v>278</v>
      </c>
      <c r="AJ16" s="13" t="str">
        <f>HYPERLINK(".\links\tmhmm\AGAP006647-PA-tmhmm.txt","2")</f>
        <v>2</v>
      </c>
      <c r="AK16" s="2">
        <v>11.5</v>
      </c>
      <c r="AL16" s="2">
        <v>71.099999999999994</v>
      </c>
      <c r="AM16" s="2">
        <v>17.399999999999999</v>
      </c>
      <c r="AN16" s="13" t="str">
        <f>HYPERLINK(".\links\gpi\AGAP006647-PA-gpi.txt","N")</f>
        <v>N</v>
      </c>
      <c r="AO16" s="14" t="str">
        <f>HYPERLINK(".\links\netoglyc\AGAP006647-PA-netoglyc.txt","6")</f>
        <v>6</v>
      </c>
      <c r="AP16" s="13">
        <v>14.3</v>
      </c>
      <c r="AQ16" s="2">
        <v>2.9</v>
      </c>
      <c r="AR16" s="2">
        <v>7</v>
      </c>
      <c r="AS16" s="2" t="s">
        <v>104</v>
      </c>
      <c r="AT16" s="9" t="str">
        <f>HYPERLINK(".\links\NR-LIGHT\AGAP006647-PA-NR-LIGHT.txt","AGAP006647-PA")</f>
        <v>AGAP006647-PA</v>
      </c>
      <c r="AU16" s="2" t="str">
        <f>HYPERLINK("http://www.ncbi.nlm.nih.gov/sutils/blink.cgi?pid=XP_001688943.1","0.0")</f>
        <v>0.0</v>
      </c>
      <c r="AV16" s="2" t="str">
        <f>HYPERLINK("http://www.ncbi.nlm.nih.gov/protein/XP_001688943.1","XP_001688943.1")</f>
        <v>XP_001688943.1</v>
      </c>
      <c r="AW16" s="2">
        <v>100</v>
      </c>
      <c r="AX16" s="2">
        <v>100</v>
      </c>
      <c r="AY16" s="2">
        <v>100</v>
      </c>
      <c r="AZ16" s="2" t="s">
        <v>105</v>
      </c>
      <c r="BA16" s="9" t="str">
        <f>HYPERLINK(".\links\REFSEQ-INVERTEBRATE\AGAP006647-PA-REFSEQ-INVERTEBRATE.txt","AGAP006647-PA")</f>
        <v>AGAP006647-PA</v>
      </c>
      <c r="BB16" s="2" t="str">
        <f>HYPERLINK("http://www.ncbi.nlm.nih.gov/sutils/blink.cgi?pid=XP_001688943.1","0.0")</f>
        <v>0.0</v>
      </c>
      <c r="BC16" s="2" t="str">
        <f>HYPERLINK("http://www.ncbi.nlm.nih.gov/protein/XP_001688943.1","XP_001688943.1")</f>
        <v>XP_001688943.1</v>
      </c>
      <c r="BD16" s="2">
        <v>100</v>
      </c>
      <c r="BE16" s="2">
        <v>100</v>
      </c>
      <c r="BF16" s="2">
        <v>100</v>
      </c>
      <c r="BG16" s="2" t="s">
        <v>105</v>
      </c>
      <c r="BH16" s="9" t="str">
        <f>HYPERLINK(".\links\REFSEQ-PROTOZOA\AGAP006647-PA-REFSEQ-PROTOZOA.txt","hypothetical protein GUITHDRAFT_121393")</f>
        <v>hypothetical protein GUITHDRAFT_121393</v>
      </c>
      <c r="BI16" s="2" t="str">
        <f>HYPERLINK("http://www.ncbi.nlm.nih.gov/sutils/blink.cgi?pid=XP_005819407.1","9E-014")</f>
        <v>9E-014</v>
      </c>
      <c r="BJ16" s="2" t="str">
        <f>HYPERLINK("http://www.ncbi.nlm.nih.gov/protein/XP_005819407.1","XP_005819407.1")</f>
        <v>XP_005819407.1</v>
      </c>
      <c r="BK16" s="2">
        <v>30</v>
      </c>
      <c r="BL16" s="2">
        <v>51</v>
      </c>
      <c r="BM16" s="2">
        <v>11</v>
      </c>
      <c r="BN16" s="2" t="s">
        <v>279</v>
      </c>
      <c r="BO16" s="9" t="str">
        <f>HYPERLINK(".\links\SWISSP\AGAP006647-PA-SWISSP.txt","LRR repeats and ubiquitin-like domain-containing protein At2g30105")</f>
        <v>LRR repeats and ubiquitin-like domain-containing protein At2g30105</v>
      </c>
      <c r="BP16" s="2" t="str">
        <f>HYPERLINK("http://www.uniprot.org/uniprot/P0C895","8E-014")</f>
        <v>8E-014</v>
      </c>
      <c r="BQ16" s="2" t="str">
        <f>HYPERLINK("http://www.uniprot.org/uniprot/P0C895#expression","P0C895")</f>
        <v>P0C895</v>
      </c>
      <c r="BR16" s="2">
        <v>32</v>
      </c>
      <c r="BS16" s="2">
        <v>56</v>
      </c>
      <c r="BT16" s="2">
        <v>48</v>
      </c>
      <c r="BU16" s="2" t="s">
        <v>280</v>
      </c>
      <c r="BV16" s="9" t="str">
        <f>HYPERLINK(".\links\FLYBASE\AGAP006647-PA-FLYBASE.txt","FBpp0071509")</f>
        <v>FBpp0071509</v>
      </c>
      <c r="BW16" s="2" t="str">
        <f>HYPERLINK("http://flybase.org/reports/FBgn0034602#alliance_summary_container","1E-66")</f>
        <v>1E-66</v>
      </c>
      <c r="BX16" s="2">
        <v>343</v>
      </c>
      <c r="BY16" s="2">
        <v>39</v>
      </c>
      <c r="BZ16" s="2">
        <v>56</v>
      </c>
      <c r="CA16" s="2">
        <v>89</v>
      </c>
      <c r="CB16" s="9" t="str">
        <f>HYPERLINK(".\links\CDD\AGAP006647-PA-CDD.txt","LRR_RI, leucine-rich repeats, ribonuclease inhibitor (RI)-like subfamily")</f>
        <v>LRR_RI, leucine-rich repeats, ribonuclease inhibitor (RI)-like subfamily</v>
      </c>
      <c r="CC16" s="15">
        <v>7.9999999999999997E-23</v>
      </c>
      <c r="CD16" s="2">
        <v>75.599999999999994</v>
      </c>
      <c r="CE16" s="2" t="s">
        <v>281</v>
      </c>
      <c r="CF16" s="2" t="s">
        <v>282</v>
      </c>
      <c r="CG16" s="9" t="str">
        <f>HYPERLINK(".\links\KOG\AGAP006647-PA-KOG.txt","Leucine-rich repeat protein")</f>
        <v>Leucine-rich repeat protein</v>
      </c>
      <c r="CH16" s="15">
        <v>7.0000000000000001E-12</v>
      </c>
      <c r="CI16" s="2">
        <v>38.6</v>
      </c>
      <c r="CJ16" s="2" t="s">
        <v>283</v>
      </c>
      <c r="CK16" s="2" t="s">
        <v>284</v>
      </c>
      <c r="CL16" s="9" t="str">
        <f>HYPERLINK(".\links\PFAM\AGAP006647-PA-PFAM.txt","LRR_8, Leucine rich repeat")</f>
        <v>LRR_8, Leucine rich repeat</v>
      </c>
      <c r="CM16" s="15">
        <v>4.0000000000000002E-9</v>
      </c>
      <c r="CN16" s="2">
        <v>100</v>
      </c>
      <c r="CO16" s="2" t="s">
        <v>285</v>
      </c>
      <c r="CP16" s="9" t="str">
        <f>HYPERLINK(".\links\SMART\AGAP006647-PA-SMART.txt","LRR, Leucine-rich repeats, outliers")</f>
        <v>LRR, Leucine-rich repeats, outliers</v>
      </c>
      <c r="CQ16" s="15">
        <v>1.6E-2</v>
      </c>
      <c r="CR16" s="2">
        <v>95.8</v>
      </c>
      <c r="CS16" s="2" t="s">
        <v>286</v>
      </c>
      <c r="CT16" s="2" t="s">
        <v>274</v>
      </c>
      <c r="CU16" s="2" t="s">
        <v>274</v>
      </c>
      <c r="CV16" s="2" t="s">
        <v>274</v>
      </c>
      <c r="CW16" s="2" t="str">
        <f>HYPERLINK(".\links\pep\AGAP006647-PA-pep.txt","AGAP006647-PA")</f>
        <v>AGAP006647-PA</v>
      </c>
      <c r="CX16" s="2" t="s">
        <v>95</v>
      </c>
      <c r="CY16" s="2">
        <v>384</v>
      </c>
      <c r="CZ16" s="2" t="s">
        <v>113</v>
      </c>
      <c r="DA16" s="2" t="s">
        <v>287</v>
      </c>
      <c r="DB16" s="2">
        <v>0</v>
      </c>
      <c r="DC16" s="2">
        <v>0</v>
      </c>
      <c r="DD16" s="2" t="str">
        <f>HYPERLINK("https://www.kegg.jp/kegg-bin/search_pathway_text?map=aga&amp;keyword=AGAP006647&amp;mode=1&amp;viewImage=true","AGAP006647")</f>
        <v>AGAP006647</v>
      </c>
      <c r="DE16" s="2" t="s">
        <v>272</v>
      </c>
      <c r="DF16" s="2" t="s">
        <v>93</v>
      </c>
      <c r="DG16" s="2" t="s">
        <v>94</v>
      </c>
      <c r="DH16" s="2" t="str">
        <f>HYPERLINK("https://vectorbase.org/vectorbase/app/record/gene/AGAP006647","AGAP006647-RA")</f>
        <v>AGAP006647-RA</v>
      </c>
      <c r="DI16" s="2" t="s">
        <v>135</v>
      </c>
      <c r="DJ16" s="2">
        <v>1538</v>
      </c>
      <c r="DK16" s="2" t="str">
        <f>HYPERLINK(".\links\netoglyc\AGAP006647-PA-netoglyc.txt","6")</f>
        <v>6</v>
      </c>
      <c r="DL16" s="2">
        <v>14.3</v>
      </c>
      <c r="DM16" s="2">
        <v>2.9</v>
      </c>
      <c r="DN16" s="2">
        <v>7</v>
      </c>
      <c r="DO16" s="2" t="s">
        <v>104</v>
      </c>
      <c r="DP16" s="2" t="s">
        <v>102</v>
      </c>
      <c r="DQ16" s="2" t="str">
        <f>HYPERLINK(".\links\Sigp\AGAP006647-PA-SigP.txt","BL")</f>
        <v>BL</v>
      </c>
      <c r="DR16" s="2" t="s">
        <v>277</v>
      </c>
      <c r="DS16" s="2">
        <v>43.076000000000001</v>
      </c>
      <c r="DT16" s="2">
        <v>8.35</v>
      </c>
      <c r="DU16" s="2">
        <v>40.040999999999997</v>
      </c>
      <c r="DV16" s="2">
        <v>8.3699999999999992</v>
      </c>
      <c r="DW16" s="2" t="s">
        <v>278</v>
      </c>
      <c r="DX16" s="2">
        <v>384</v>
      </c>
      <c r="DY16" s="12" t="str">
        <f>HYPERLINK(".\links\tmhmm\AGAP006647-PA-tmhmm.txt","2")</f>
        <v>2</v>
      </c>
      <c r="DZ16" s="2">
        <v>11.5</v>
      </c>
      <c r="EA16" s="2">
        <v>71.099999999999994</v>
      </c>
      <c r="EB16" s="2">
        <v>17.399999999999999</v>
      </c>
      <c r="EC16" s="2" t="str">
        <f>HYPERLINK(".\links\gpi\AGAP006647-PA-gpi.txt","N")</f>
        <v>N</v>
      </c>
      <c r="ED16" s="2">
        <v>0.27</v>
      </c>
      <c r="EF16" s="2">
        <v>13</v>
      </c>
      <c r="EG16" s="2" t="str">
        <f>HYPERLINK(".\links\pep\AGAP006647-PA-sulf.txt","1")</f>
        <v>1</v>
      </c>
      <c r="EH16" s="2" t="s">
        <v>102</v>
      </c>
      <c r="EI16" s="2">
        <v>14.3229166666667</v>
      </c>
      <c r="EJ16" s="2">
        <v>7.03125</v>
      </c>
      <c r="EK16" s="2">
        <v>2.8645833333333299</v>
      </c>
      <c r="EL16" s="2">
        <v>9.8958333333333304</v>
      </c>
      <c r="EM16" s="2" t="s">
        <v>102</v>
      </c>
      <c r="EN16" s="2" t="s">
        <v>102</v>
      </c>
      <c r="EO16" s="2">
        <v>1</v>
      </c>
      <c r="EP16" s="2" t="s">
        <v>102</v>
      </c>
      <c r="EQ16" s="2" t="s">
        <v>102</v>
      </c>
      <c r="ER16" s="2" t="s">
        <v>102</v>
      </c>
      <c r="ES16" s="2" t="s">
        <v>102</v>
      </c>
      <c r="ET16" s="2" t="str">
        <f>HYPERLINK(".\links\REFSEQ-INVERTEBRATE\AGAP006647-PA-REFSEQ-INVERTEBRATE.txt","AGAP006647-PA")</f>
        <v>AGAP006647-PA</v>
      </c>
      <c r="EU16" s="2" t="str">
        <f>HYPERLINK("http://www.ncbi.nlm.nih.gov/sutils/blink.cgi?pid=XP_001688943.1","0.0")</f>
        <v>0.0</v>
      </c>
      <c r="EV16" s="2" t="str">
        <f>HYPERLINK("http://www.ncbi.nlm.nih.gov/protein/XP_001688943.1","XP_001688943.1")</f>
        <v>XP_001688943.1</v>
      </c>
      <c r="EW16" s="2">
        <v>100</v>
      </c>
      <c r="EX16" s="2">
        <v>100</v>
      </c>
      <c r="EY16" s="2">
        <v>100</v>
      </c>
      <c r="EZ16" s="2" t="s">
        <v>105</v>
      </c>
    </row>
    <row r="17" spans="1:156" x14ac:dyDescent="0.25">
      <c r="A17" s="2" t="s">
        <v>288</v>
      </c>
      <c r="B17" s="2">
        <v>1.1229884950442399</v>
      </c>
      <c r="C17" s="2">
        <f t="shared" si="0"/>
        <v>2.1779766620500536</v>
      </c>
      <c r="D17" s="2">
        <v>2.7226133345121002</v>
      </c>
      <c r="E17" s="2">
        <v>11.6560775330369</v>
      </c>
      <c r="F17" s="2">
        <v>6.3993127217749901E-4</v>
      </c>
      <c r="G17" s="2">
        <v>2.79382257888133E-2</v>
      </c>
      <c r="H17" s="2" t="s">
        <v>93</v>
      </c>
      <c r="I17" s="2" t="s">
        <v>94</v>
      </c>
      <c r="J17" s="2" t="str">
        <f>HYPERLINK("https://vectorbase.org/vectorbase/app/record/gene/AGAP001889","AGAP001889-RA")</f>
        <v>AGAP001889-RA</v>
      </c>
      <c r="K17" s="2" t="str">
        <f>HYPERLINK(".\links\pep\AGAP001889-PA-pep.txt","AGAP001889-PA")</f>
        <v>AGAP001889-PA</v>
      </c>
      <c r="L17" s="12" t="s">
        <v>95</v>
      </c>
      <c r="M17" s="2">
        <v>45</v>
      </c>
      <c r="N17" s="2">
        <v>0</v>
      </c>
      <c r="O17" s="2">
        <v>0</v>
      </c>
      <c r="P17" s="2" t="s">
        <v>102</v>
      </c>
      <c r="Q17" s="9" t="s">
        <v>289</v>
      </c>
      <c r="R17" s="2" t="s">
        <v>196</v>
      </c>
      <c r="S17" s="2" t="str">
        <f>HYPERLINK(".\links\REFSEQ-INVERTEBRATE\AGAP001889-PA-REFSEQ-INVERTEBRATE.txt","REFSEQ-INVERTEBRATE")</f>
        <v>REFSEQ-INVERTEBRATE</v>
      </c>
      <c r="T17" s="2">
        <v>9.9999999999999992E-25</v>
      </c>
      <c r="U17" s="2">
        <v>100</v>
      </c>
      <c r="V17" s="2" t="s">
        <v>289</v>
      </c>
      <c r="W17" s="10" t="s">
        <v>290</v>
      </c>
      <c r="X17" s="2" t="s">
        <v>196</v>
      </c>
      <c r="Y17" s="2" t="str">
        <f>HYPERLINK(".\links\ARTHORPODA\AGAP001889-PA-ARTHORPODA.txt","ARTHORPODA")</f>
        <v>ARTHORPODA</v>
      </c>
      <c r="Z17" s="15">
        <v>7.9999999999999993E-21</v>
      </c>
      <c r="AA17" s="2">
        <v>50</v>
      </c>
      <c r="AB17" s="13" t="s">
        <v>102</v>
      </c>
      <c r="AC17" s="13" t="str">
        <f>HYPERLINK(".\links\Sigp\AGAP001889-PA-SigP.txt","CYT")</f>
        <v>CYT</v>
      </c>
      <c r="AD17" s="2" t="s">
        <v>102</v>
      </c>
      <c r="AE17" s="2">
        <v>4.3940000000000001</v>
      </c>
      <c r="AF17" s="2">
        <v>8.25</v>
      </c>
      <c r="AG17" s="2" t="s">
        <v>102</v>
      </c>
      <c r="AH17" s="2" t="s">
        <v>102</v>
      </c>
      <c r="AI17" s="2" t="s">
        <v>291</v>
      </c>
      <c r="AJ17" s="13">
        <v>0</v>
      </c>
      <c r="AK17" s="2" t="s">
        <v>102</v>
      </c>
      <c r="AL17" s="2" t="s">
        <v>102</v>
      </c>
      <c r="AM17" s="2" t="s">
        <v>102</v>
      </c>
      <c r="AN17" s="13" t="str">
        <f>HYPERLINK(".\links\gpi\AGAP001889-PA-gpi.txt","N")</f>
        <v>N</v>
      </c>
      <c r="AO17" s="14" t="str">
        <f>HYPERLINK(".\links\netoglyc\AGAP001889-PA-netoglyc.txt","0")</f>
        <v>0</v>
      </c>
      <c r="AP17" s="13">
        <v>13.3</v>
      </c>
      <c r="AQ17" s="2">
        <v>20</v>
      </c>
      <c r="AR17" s="2">
        <v>4.4000000000000004</v>
      </c>
      <c r="AS17" s="2" t="s">
        <v>104</v>
      </c>
      <c r="AT17" s="9" t="str">
        <f>HYPERLINK(".\links\NR-LIGHT\AGAP001889-PA-NR-LIGHT.txt","AGAP001889-PA")</f>
        <v>AGAP001889-PA</v>
      </c>
      <c r="AU17" s="2" t="str">
        <f>HYPERLINK("http://www.ncbi.nlm.nih.gov/sutils/blink.cgi?pid=XP_001238441.2","2E-024")</f>
        <v>2E-024</v>
      </c>
      <c r="AV17" s="2" t="str">
        <f>HYPERLINK("http://www.ncbi.nlm.nih.gov/protein/XP_001238441.2","XP_001238441.2")</f>
        <v>XP_001238441.2</v>
      </c>
      <c r="AW17" s="2">
        <v>100</v>
      </c>
      <c r="AX17" s="2">
        <v>100</v>
      </c>
      <c r="AY17" s="2">
        <v>100</v>
      </c>
      <c r="AZ17" s="2" t="s">
        <v>105</v>
      </c>
      <c r="BA17" s="9" t="str">
        <f>HYPERLINK(".\links\REFSEQ-INVERTEBRATE\AGAP001889-PA-REFSEQ-INVERTEBRATE.txt","AGAP001889-PA")</f>
        <v>AGAP001889-PA</v>
      </c>
      <c r="BB17" s="2" t="str">
        <f>HYPERLINK("http://www.ncbi.nlm.nih.gov/sutils/blink.cgi?pid=XP_001238441.2","1E-024")</f>
        <v>1E-024</v>
      </c>
      <c r="BC17" s="2" t="str">
        <f>HYPERLINK("http://www.ncbi.nlm.nih.gov/protein/XP_001238441.2","XP_001238441.2")</f>
        <v>XP_001238441.2</v>
      </c>
      <c r="BD17" s="2">
        <v>100</v>
      </c>
      <c r="BE17" s="2">
        <v>100</v>
      </c>
      <c r="BF17" s="2">
        <v>100</v>
      </c>
      <c r="BG17" s="2" t="s">
        <v>105</v>
      </c>
      <c r="BH17" s="9" t="str">
        <f>HYPERLINK(".\links\REFSEQ-PROTOZOA\AGAP001889-PA-REFSEQ-PROTOZOA.txt","hypothetical protein")</f>
        <v>hypothetical protein</v>
      </c>
      <c r="BI17" s="2" t="str">
        <f>HYPERLINK("http://www.ncbi.nlm.nih.gov/sutils/blink.cgi?pid=XP_001298642.1","6E-004")</f>
        <v>6E-004</v>
      </c>
      <c r="BJ17" s="2" t="str">
        <f>HYPERLINK("http://www.ncbi.nlm.nih.gov/protein/XP_001298642.1","XP_001298642.1")</f>
        <v>XP_001298642.1</v>
      </c>
      <c r="BK17" s="2">
        <v>47</v>
      </c>
      <c r="BL17" s="2">
        <v>47</v>
      </c>
      <c r="BM17" s="2">
        <v>70</v>
      </c>
      <c r="BN17" s="2" t="s">
        <v>292</v>
      </c>
      <c r="BO17" s="9" t="str">
        <f>HYPERLINK(".\links\SWISSP\AGAP001889-PA-SWISSP.txt","Metallothionein-3")</f>
        <v>Metallothionein-3</v>
      </c>
      <c r="BP17" s="2" t="str">
        <f>HYPERLINK("http://www.uniprot.org/uniprot/Q9VDN2","3E-004")</f>
        <v>3E-004</v>
      </c>
      <c r="BQ17" s="2" t="str">
        <f>HYPERLINK("http://www.uniprot.org/uniprot/Q9VDN2#expression","Q9VDN2")</f>
        <v>Q9VDN2</v>
      </c>
      <c r="BR17" s="2">
        <v>46</v>
      </c>
      <c r="BS17" s="2">
        <v>53</v>
      </c>
      <c r="BT17" s="2">
        <v>100</v>
      </c>
      <c r="BU17" s="2" t="s">
        <v>107</v>
      </c>
      <c r="BV17" s="9" t="str">
        <f>HYPERLINK(".\links\FLYBASE\AGAP001889-PA-FLYBASE.txt","FBpp0083292")</f>
        <v>FBpp0083292</v>
      </c>
      <c r="BW17" s="2" t="str">
        <f>HYPERLINK("http://flybase.org/reports/FBgn0038790#alliance_summary_container","0.79")</f>
        <v>0.79</v>
      </c>
      <c r="BX17" s="2">
        <v>43</v>
      </c>
      <c r="BY17" s="2">
        <v>50</v>
      </c>
      <c r="BZ17" s="2">
        <v>58</v>
      </c>
      <c r="CA17" s="2">
        <v>79</v>
      </c>
      <c r="CB17" s="9" t="s">
        <v>102</v>
      </c>
      <c r="CC17" s="15" t="s">
        <v>102</v>
      </c>
      <c r="CD17" s="2" t="s">
        <v>102</v>
      </c>
      <c r="CE17" s="2" t="s">
        <v>102</v>
      </c>
      <c r="CF17" s="2" t="s">
        <v>102</v>
      </c>
      <c r="CG17" s="9" t="str">
        <f>HYPERLINK(".\links\KOG\AGAP001889-PA-KOG.txt","Membrane glycoprotein LIG-1")</f>
        <v>Membrane glycoprotein LIG-1</v>
      </c>
      <c r="CH17" s="15">
        <v>1.3</v>
      </c>
      <c r="CI17" s="2">
        <v>3.1</v>
      </c>
      <c r="CJ17" s="2" t="s">
        <v>293</v>
      </c>
      <c r="CK17" s="2" t="s">
        <v>173</v>
      </c>
      <c r="CL17" s="9" t="str">
        <f>HYPERLINK(".\links\PFAM\AGAP001889-PA-PFAM.txt","VESA1_N, Variant erythrocyte surface antigen-1")</f>
        <v>VESA1_N, Variant erythrocyte surface antigen-1</v>
      </c>
      <c r="CM17" s="15">
        <v>9.1999999999999993</v>
      </c>
      <c r="CN17" s="2">
        <v>6.1</v>
      </c>
      <c r="CO17" s="2" t="s">
        <v>294</v>
      </c>
      <c r="CP17" s="9" t="str">
        <f>HYPERLINK(".\links\SMART\AGAP001889-PA-SMART.txt","GS, GS motif")</f>
        <v>GS, GS motif</v>
      </c>
      <c r="CQ17" s="15">
        <v>0.49</v>
      </c>
      <c r="CR17" s="2">
        <v>30</v>
      </c>
      <c r="CS17" s="2" t="s">
        <v>295</v>
      </c>
      <c r="CT17" s="2" t="s">
        <v>289</v>
      </c>
      <c r="CU17" s="2" t="s">
        <v>289</v>
      </c>
      <c r="CV17" s="2" t="s">
        <v>289</v>
      </c>
      <c r="CW17" s="2" t="str">
        <f>HYPERLINK(".\links\pep\AGAP001889-PA-pep.txt","AGAP001889-PA")</f>
        <v>AGAP001889-PA</v>
      </c>
      <c r="CX17" s="2" t="s">
        <v>95</v>
      </c>
      <c r="CY17" s="2">
        <v>45</v>
      </c>
      <c r="CZ17" s="2" t="s">
        <v>113</v>
      </c>
      <c r="DA17" s="2" t="s">
        <v>296</v>
      </c>
      <c r="DB17" s="2">
        <v>0</v>
      </c>
      <c r="DC17" s="2">
        <v>0</v>
      </c>
      <c r="DD17" s="2" t="str">
        <f>HYPERLINK("https://www.kegg.jp/kegg-bin/search_pathway_text?map=aga&amp;keyword=AGAP001889&amp;mode=1&amp;viewImage=true","AGAP001889")</f>
        <v>AGAP001889</v>
      </c>
      <c r="DE17" s="2" t="s">
        <v>288</v>
      </c>
      <c r="DF17" s="2" t="s">
        <v>93</v>
      </c>
      <c r="DG17" s="2" t="s">
        <v>94</v>
      </c>
      <c r="DH17" s="2" t="str">
        <f>HYPERLINK("https://vectorbase.org/vectorbase/app/record/gene/AGAP001889","AGAP001889-RA")</f>
        <v>AGAP001889-RA</v>
      </c>
      <c r="DI17" s="2" t="s">
        <v>135</v>
      </c>
      <c r="DJ17" s="2">
        <v>442</v>
      </c>
      <c r="DK17" s="2" t="str">
        <f>HYPERLINK(".\links\netoglyc\AGAP001889-PA-netoglyc.txt","0")</f>
        <v>0</v>
      </c>
      <c r="DL17" s="2">
        <v>13.3</v>
      </c>
      <c r="DM17" s="2">
        <v>20</v>
      </c>
      <c r="DN17" s="2">
        <v>4.4000000000000004</v>
      </c>
      <c r="DO17" s="2" t="s">
        <v>104</v>
      </c>
      <c r="DP17" s="2" t="s">
        <v>102</v>
      </c>
      <c r="DQ17" s="2" t="str">
        <f>HYPERLINK(".\links\Sigp\AGAP001889-PA-SigP.txt","CYT")</f>
        <v>CYT</v>
      </c>
      <c r="DR17" s="2" t="s">
        <v>102</v>
      </c>
      <c r="DS17" s="2">
        <v>4.3940000000000001</v>
      </c>
      <c r="DT17" s="2">
        <v>8.25</v>
      </c>
      <c r="DU17" s="2" t="s">
        <v>102</v>
      </c>
      <c r="DV17" s="2" t="s">
        <v>102</v>
      </c>
      <c r="DW17" s="2" t="s">
        <v>291</v>
      </c>
      <c r="DX17" s="2">
        <v>45</v>
      </c>
      <c r="DY17" s="12">
        <v>0</v>
      </c>
      <c r="DZ17" s="2" t="s">
        <v>102</v>
      </c>
      <c r="EA17" s="2" t="s">
        <v>102</v>
      </c>
      <c r="EB17" s="2" t="s">
        <v>102</v>
      </c>
      <c r="EC17" s="2" t="str">
        <f>HYPERLINK(".\links\gpi\AGAP001889-PA-gpi.txt","Y-NoSP")</f>
        <v>Y-NoSP</v>
      </c>
      <c r="ED17" s="2">
        <v>0.98</v>
      </c>
      <c r="EE17" s="2" t="s">
        <v>297</v>
      </c>
      <c r="EF17" s="2">
        <v>13</v>
      </c>
      <c r="EG17" s="2" t="s">
        <v>102</v>
      </c>
      <c r="EH17" s="2" t="s">
        <v>102</v>
      </c>
      <c r="EI17" s="2">
        <v>13.3333333333333</v>
      </c>
      <c r="EJ17" s="2">
        <v>4.4444444444444402</v>
      </c>
      <c r="EK17" s="2">
        <v>20</v>
      </c>
      <c r="EL17" s="2">
        <v>24.4444444444444</v>
      </c>
      <c r="EM17" s="2" t="s">
        <v>102</v>
      </c>
      <c r="EN17" s="2" t="s">
        <v>102</v>
      </c>
      <c r="EO17" s="2" t="s">
        <v>102</v>
      </c>
      <c r="EP17" s="2" t="s">
        <v>102</v>
      </c>
      <c r="EQ17" s="2" t="s">
        <v>102</v>
      </c>
      <c r="ER17" s="2" t="s">
        <v>102</v>
      </c>
      <c r="ES17" s="2" t="s">
        <v>102</v>
      </c>
      <c r="ET17" s="2" t="str">
        <f>HYPERLINK(".\links\REFSEQ-INVERTEBRATE\AGAP001889-PA-REFSEQ-INVERTEBRATE.txt","AGAP001889-PA")</f>
        <v>AGAP001889-PA</v>
      </c>
      <c r="EU17" s="2" t="str">
        <f>HYPERLINK("http://www.ncbi.nlm.nih.gov/sutils/blink.cgi?pid=XP_001238441.2","2E-20")</f>
        <v>2E-20</v>
      </c>
      <c r="EV17" s="2" t="str">
        <f>HYPERLINK("http://www.ncbi.nlm.nih.gov/protein/XP_001238441.2","XP_001238441.2")</f>
        <v>XP_001238441.2</v>
      </c>
      <c r="EW17" s="2">
        <v>100</v>
      </c>
      <c r="EX17" s="2">
        <v>100</v>
      </c>
      <c r="EY17" s="2">
        <v>100</v>
      </c>
      <c r="EZ17" s="2" t="s">
        <v>105</v>
      </c>
    </row>
    <row r="18" spans="1:156" x14ac:dyDescent="0.25">
      <c r="A18" s="2" t="s">
        <v>298</v>
      </c>
      <c r="B18" s="2">
        <v>1.05078094586102</v>
      </c>
      <c r="C18" s="2">
        <f t="shared" si="0"/>
        <v>2.0716509504727578</v>
      </c>
      <c r="D18" s="2">
        <v>3.5907236904868798</v>
      </c>
      <c r="E18" s="2">
        <v>17.8103508154304</v>
      </c>
      <c r="F18" s="2">
        <v>2.4405196989182E-5</v>
      </c>
      <c r="G18" s="2">
        <v>6.4268648387488898E-3</v>
      </c>
      <c r="H18" s="2" t="s">
        <v>299</v>
      </c>
      <c r="I18" s="2" t="s">
        <v>94</v>
      </c>
      <c r="J18" s="2" t="str">
        <f>HYPERLINK("https://vectorbase.org/vectorbase/app/record/gene/AGAP002566","AGAP002566-RA")</f>
        <v>AGAP002566-RA</v>
      </c>
      <c r="K18" s="2" t="str">
        <f>HYPERLINK(".\links\pep\AGAP002566-PA-pep.txt","AGAP002566-PA")</f>
        <v>AGAP002566-PA</v>
      </c>
      <c r="L18" s="12" t="s">
        <v>95</v>
      </c>
      <c r="M18" s="2">
        <v>852</v>
      </c>
      <c r="N18" s="2">
        <v>0</v>
      </c>
      <c r="O18" s="2">
        <v>1</v>
      </c>
      <c r="P18" s="2" t="s">
        <v>300</v>
      </c>
      <c r="Q18" s="9" t="s">
        <v>301</v>
      </c>
      <c r="R18" s="2" t="s">
        <v>98</v>
      </c>
      <c r="S18" s="2" t="str">
        <f>HYPERLINK(".\links\REFSEQ-INVERTEBRATE\AGAP002566-PA-REFSEQ-INVERTEBRATE.txt","REFSEQ-INVERTEBRATE")</f>
        <v>REFSEQ-INVERTEBRATE</v>
      </c>
      <c r="T18" s="2">
        <v>0</v>
      </c>
      <c r="V18" s="2" t="s">
        <v>302</v>
      </c>
      <c r="W18" s="10" t="s">
        <v>303</v>
      </c>
      <c r="X18" s="2" t="s">
        <v>164</v>
      </c>
      <c r="Y18" s="2" t="str">
        <f>HYPERLINK(".\links\ARTHORPODA\AGAP002566-PA-ARTHORPODA.txt","ARTHORPODA")</f>
        <v>ARTHORPODA</v>
      </c>
      <c r="Z18" s="15">
        <v>0</v>
      </c>
      <c r="AA18" s="2">
        <v>100</v>
      </c>
      <c r="AB18" s="13" t="str">
        <f>HYPERLINK(".\links\pep\AGAP002566-PA-sulf.txt","2")</f>
        <v>2</v>
      </c>
      <c r="AC18" s="13" t="str">
        <f>HYPERLINK(".\links\Sigp\AGAP002566-PA-SigP.txt","CYT")</f>
        <v>CYT</v>
      </c>
      <c r="AD18" s="2" t="s">
        <v>102</v>
      </c>
      <c r="AE18" s="2">
        <v>92.981999999999999</v>
      </c>
      <c r="AF18" s="2">
        <v>8.43</v>
      </c>
      <c r="AG18" s="2" t="s">
        <v>102</v>
      </c>
      <c r="AH18" s="2" t="s">
        <v>102</v>
      </c>
      <c r="AI18" s="2" t="s">
        <v>304</v>
      </c>
      <c r="AJ18" s="13" t="str">
        <f>HYPERLINK(".\links\tmhmm\AGAP002566-PA-tmhmm.txt","6")</f>
        <v>6</v>
      </c>
      <c r="AK18" s="2">
        <v>15.5</v>
      </c>
      <c r="AL18" s="2">
        <v>9.6</v>
      </c>
      <c r="AM18" s="2">
        <v>74.900000000000006</v>
      </c>
      <c r="AN18" s="13" t="str">
        <f>HYPERLINK(".\links\gpi\AGAP002566-PA-gpi.txt","N")</f>
        <v>N</v>
      </c>
      <c r="AO18" s="14" t="str">
        <f>HYPERLINK(".\links\netoglyc\AGAP002566-PA-netoglyc.txt","9")</f>
        <v>9</v>
      </c>
      <c r="AP18" s="13">
        <v>14.6</v>
      </c>
      <c r="AQ18" s="2">
        <v>6.5</v>
      </c>
      <c r="AR18" s="2">
        <v>7</v>
      </c>
      <c r="AS18" s="2" t="s">
        <v>104</v>
      </c>
      <c r="AT18" s="9" t="str">
        <f>HYPERLINK(".\links\NR-LIGHT\AGAP002566-PA-NR-LIGHT.txt","AGAP002566-PB")</f>
        <v>AGAP002566-PB</v>
      </c>
      <c r="AU18" s="2" t="str">
        <f>HYPERLINK("http://www.ncbi.nlm.nih.gov/sutils/blink.cgi?pid=XP_003436159.1","0.0")</f>
        <v>0.0</v>
      </c>
      <c r="AV18" s="2" t="str">
        <f>HYPERLINK("http://www.ncbi.nlm.nih.gov/protein/XP_003436159.1","XP_003436159.1")</f>
        <v>XP_003436159.1</v>
      </c>
      <c r="AW18" s="2">
        <v>96</v>
      </c>
      <c r="AX18" s="2">
        <v>96</v>
      </c>
      <c r="AY18" s="2">
        <v>104</v>
      </c>
      <c r="AZ18" s="2" t="s">
        <v>105</v>
      </c>
      <c r="BA18" s="9" t="str">
        <f>HYPERLINK(".\links\REFSEQ-INVERTEBRATE\AGAP002566-PA-REFSEQ-INVERTEBRATE.txt","AGAP002566-PB")</f>
        <v>AGAP002566-PB</v>
      </c>
      <c r="BB18" s="2" t="str">
        <f>HYPERLINK("http://www.ncbi.nlm.nih.gov/sutils/blink.cgi?pid=XP_003436159.1","0.0")</f>
        <v>0.0</v>
      </c>
      <c r="BC18" s="2" t="str">
        <f>HYPERLINK("http://www.ncbi.nlm.nih.gov/protein/XP_003436159.1","XP_003436159.1")</f>
        <v>XP_003436159.1</v>
      </c>
      <c r="BD18" s="2">
        <v>96</v>
      </c>
      <c r="BE18" s="2">
        <v>96</v>
      </c>
      <c r="BF18" s="2">
        <v>104</v>
      </c>
      <c r="BG18" s="2" t="s">
        <v>105</v>
      </c>
      <c r="BH18" s="9" t="str">
        <f>HYPERLINK(".\links\REFSEQ-PROTOZOA\AGAP002566-PA-REFSEQ-PROTOZOA.txt","DEP domain containing protein")</f>
        <v>DEP domain containing protein</v>
      </c>
      <c r="BI18" s="2" t="str">
        <f>HYPERLINK("http://www.ncbi.nlm.nih.gov/sutils/blink.cgi?pid=XP_004360681.1","2E-005")</f>
        <v>2E-005</v>
      </c>
      <c r="BJ18" s="2" t="str">
        <f>HYPERLINK("http://www.ncbi.nlm.nih.gov/protein/XP_004360681.1","XP_004360681.1")</f>
        <v>XP_004360681.1</v>
      </c>
      <c r="BK18" s="2">
        <v>31</v>
      </c>
      <c r="BL18" s="2">
        <v>45</v>
      </c>
      <c r="BM18" s="2">
        <v>7</v>
      </c>
      <c r="BN18" s="2" t="s">
        <v>212</v>
      </c>
      <c r="BO18" s="9" t="str">
        <f>HYPERLINK(".\links\SWISSP\AGAP002566-PA-SWISSP.txt","Muscarinic acetylcholine receptor M3")</f>
        <v>Muscarinic acetylcholine receptor M3</v>
      </c>
      <c r="BP18" s="2" t="str">
        <f>HYPERLINK("http://www.uniprot.org/uniprot/P08483","1E-004")</f>
        <v>1E-004</v>
      </c>
      <c r="BQ18" s="2" t="str">
        <f>HYPERLINK("http://www.uniprot.org/uniprot/P08483#expression","P08483")</f>
        <v>P08483</v>
      </c>
      <c r="BR18" s="2">
        <v>19</v>
      </c>
      <c r="BS18" s="2">
        <v>34</v>
      </c>
      <c r="BT18" s="2">
        <v>94</v>
      </c>
      <c r="BU18" s="2" t="s">
        <v>305</v>
      </c>
      <c r="BV18" s="9" t="str">
        <f>HYPERLINK(".\links\FLYBASE\AGAP002566-PA-FLYBASE.txt","FBpp0308679")</f>
        <v>FBpp0308679</v>
      </c>
      <c r="BW18" s="2" t="str">
        <f>HYPERLINK("http://flybase.org/reports/FBgn0039419#alliance_summary_container","3E-52")</f>
        <v>3E-52</v>
      </c>
      <c r="BX18" s="2">
        <v>798</v>
      </c>
      <c r="BY18" s="2">
        <v>39</v>
      </c>
      <c r="BZ18" s="2">
        <v>50</v>
      </c>
      <c r="CA18" s="2">
        <v>43</v>
      </c>
      <c r="CB18" s="9" t="str">
        <f>HYPERLINK(".\links\CDD\AGAP002566-PA-CDD.txt","7tm_classA_rhodopsin-like, rhodopsin receptor-like class A family of the seven-transmembrane G protein-coupled receptor superfamily")</f>
        <v>7tm_classA_rhodopsin-like, rhodopsin receptor-like class A family of the seven-transmembrane G protein-coupled receptor superfamily</v>
      </c>
      <c r="CC18" s="15">
        <v>3E-9</v>
      </c>
      <c r="CD18" s="2">
        <v>60.6</v>
      </c>
      <c r="CE18" s="2" t="s">
        <v>306</v>
      </c>
      <c r="CF18" s="2" t="s">
        <v>307</v>
      </c>
      <c r="CG18" s="9" t="str">
        <f>HYPERLINK(".\links\KOG\AGAP002566-PA-KOG.txt","subunit of a multiprotein coactivator of RNA polymerase II")</f>
        <v>subunit of a multiprotein coactivator of RNA polymerase II</v>
      </c>
      <c r="CH18" s="15">
        <v>8.0000000000000002E-3</v>
      </c>
      <c r="CI18" s="2">
        <v>18.600000000000001</v>
      </c>
      <c r="CJ18" s="2" t="s">
        <v>308</v>
      </c>
      <c r="CK18" s="2" t="s">
        <v>309</v>
      </c>
      <c r="CL18" s="9" t="str">
        <f>HYPERLINK(".\links\PFAM\AGAP002566-PA-PFAM.txt","7tm_1, 7 transmembrane receptor (rhodopsin family)")</f>
        <v>7tm_1, 7 transmembrane receptor (rhodopsin family)</v>
      </c>
      <c r="CM18" s="15">
        <v>2.0000000000000002E-5</v>
      </c>
      <c r="CN18" s="2">
        <v>60.6</v>
      </c>
      <c r="CO18" s="2" t="s">
        <v>310</v>
      </c>
      <c r="CP18" s="9" t="str">
        <f>HYPERLINK(".\links\SMART\AGAP002566-PA-SMART.txt","Amelogenin, Amelogenins, cell adhesion proteins, play a role in the biomineralisation of teeth")</f>
        <v>Amelogenin, Amelogenins, cell adhesion proteins, play a role in the biomineralisation of teeth</v>
      </c>
      <c r="CQ18" s="15">
        <v>0.09</v>
      </c>
      <c r="CR18" s="2">
        <v>18.2</v>
      </c>
      <c r="CS18" s="2" t="s">
        <v>311</v>
      </c>
      <c r="CT18" s="2" t="s">
        <v>302</v>
      </c>
      <c r="CU18" s="2" t="s">
        <v>302</v>
      </c>
      <c r="CV18" s="2" t="s">
        <v>302</v>
      </c>
      <c r="CW18" s="2" t="str">
        <f>HYPERLINK(".\links\pep\AGAP002566-PA-pep.txt","AGAP002566-PA")</f>
        <v>AGAP002566-PA</v>
      </c>
      <c r="CX18" s="2" t="s">
        <v>95</v>
      </c>
      <c r="CY18" s="2">
        <v>852</v>
      </c>
      <c r="CZ18" s="2" t="s">
        <v>113</v>
      </c>
      <c r="DA18" s="2" t="s">
        <v>312</v>
      </c>
      <c r="DB18" s="2">
        <v>0</v>
      </c>
      <c r="DC18" s="2">
        <v>1</v>
      </c>
      <c r="DD18" s="2" t="str">
        <f>HYPERLINK("https://www.kegg.jp/kegg-bin/search_pathway_text?map=aga&amp;keyword=AGAP002566&amp;mode=1&amp;viewImage=true","AGAP002566")</f>
        <v>AGAP002566</v>
      </c>
      <c r="DE18" s="2" t="s">
        <v>298</v>
      </c>
      <c r="DF18" s="2" t="s">
        <v>299</v>
      </c>
      <c r="DG18" s="2" t="s">
        <v>94</v>
      </c>
      <c r="DH18" s="2" t="str">
        <f>HYPERLINK("https://vectorbase.org/vectorbase/app/record/gene/AGAP002566","AGAP002566-RA")</f>
        <v>AGAP002566-RA</v>
      </c>
      <c r="DI18" s="2" t="s">
        <v>115</v>
      </c>
      <c r="DJ18" s="2">
        <v>10119</v>
      </c>
      <c r="DK18" s="2" t="str">
        <f>HYPERLINK(".\links\netoglyc\AGAP002566-PA-netoglyc.txt","9")</f>
        <v>9</v>
      </c>
      <c r="DL18" s="2">
        <v>14.6</v>
      </c>
      <c r="DM18" s="2">
        <v>6.5</v>
      </c>
      <c r="DN18" s="2">
        <v>7</v>
      </c>
      <c r="DO18" s="2" t="s">
        <v>104</v>
      </c>
      <c r="DP18" s="2" t="s">
        <v>313</v>
      </c>
      <c r="DQ18" s="2" t="str">
        <f>HYPERLINK(".\links\Sigp\AGAP002566-PA-SigP.txt","CYT")</f>
        <v>CYT</v>
      </c>
      <c r="DR18" s="2" t="s">
        <v>102</v>
      </c>
      <c r="DS18" s="2">
        <v>92.981999999999999</v>
      </c>
      <c r="DT18" s="2">
        <v>8.43</v>
      </c>
      <c r="DU18" s="2" t="s">
        <v>102</v>
      </c>
      <c r="DV18" s="2" t="s">
        <v>102</v>
      </c>
      <c r="DW18" s="2" t="s">
        <v>304</v>
      </c>
      <c r="DX18" s="2">
        <v>852</v>
      </c>
      <c r="DY18" s="12" t="str">
        <f>HYPERLINK(".\links\tmhmm\AGAP002566-PA-tmhmm.txt","6")</f>
        <v>6</v>
      </c>
      <c r="DZ18" s="2">
        <v>15.5</v>
      </c>
      <c r="EA18" s="2">
        <v>9.6</v>
      </c>
      <c r="EB18" s="2">
        <v>74.900000000000006</v>
      </c>
      <c r="EC18" s="2" t="str">
        <f>HYPERLINK(".\links\gpi\AGAP002566-PA-gpi.txt","Y-NoSP")</f>
        <v>Y-NoSP</v>
      </c>
      <c r="ED18" s="2">
        <v>0.19</v>
      </c>
      <c r="EF18" s="2">
        <v>18</v>
      </c>
      <c r="EG18" s="2" t="str">
        <f>HYPERLINK(".\links\pep\AGAP002566-PA-sulf.txt","2")</f>
        <v>2</v>
      </c>
      <c r="EH18" s="2" t="s">
        <v>102</v>
      </c>
      <c r="EI18" s="2">
        <v>14.553990610328601</v>
      </c>
      <c r="EJ18" s="2">
        <v>7.0422535211267601</v>
      </c>
      <c r="EK18" s="2">
        <v>6.4553990610328604</v>
      </c>
      <c r="EL18" s="2">
        <v>13.497652582159599</v>
      </c>
      <c r="EM18" s="2">
        <v>3</v>
      </c>
      <c r="EN18" s="2" t="s">
        <v>102</v>
      </c>
      <c r="EO18" s="2">
        <v>5</v>
      </c>
      <c r="EP18" s="2" t="s">
        <v>102</v>
      </c>
      <c r="EQ18" s="2" t="s">
        <v>102</v>
      </c>
      <c r="ER18" s="2" t="s">
        <v>102</v>
      </c>
      <c r="ES18" s="2" t="s">
        <v>102</v>
      </c>
      <c r="ET18" s="2" t="str">
        <f>HYPERLINK(".\links\REFSEQ-INVERTEBRATE\AGAP002566-PA-REFSEQ-INVERTEBRATE.txt","AGAP002566-PB")</f>
        <v>AGAP002566-PB</v>
      </c>
      <c r="EU18" s="2" t="str">
        <f>HYPERLINK("http://www.ncbi.nlm.nih.gov/sutils/blink.cgi?pid=XP_003436159.1","0.0")</f>
        <v>0.0</v>
      </c>
      <c r="EV18" s="2" t="str">
        <f>HYPERLINK("http://www.ncbi.nlm.nih.gov/protein/XP_003436159.1","XP_003436159.1")</f>
        <v>XP_003436159.1</v>
      </c>
      <c r="EW18" s="2">
        <v>96</v>
      </c>
      <c r="EX18" s="2">
        <v>96</v>
      </c>
      <c r="EY18" s="2">
        <v>104</v>
      </c>
      <c r="EZ18" s="2" t="s">
        <v>105</v>
      </c>
    </row>
    <row r="19" spans="1:156" x14ac:dyDescent="0.25">
      <c r="A19" s="2" t="s">
        <v>314</v>
      </c>
      <c r="B19" s="2">
        <v>0.88073620887448301</v>
      </c>
      <c r="C19" s="2">
        <f t="shared" si="0"/>
        <v>1.8413146864650627</v>
      </c>
      <c r="D19" s="2">
        <v>4.0485027461899303</v>
      </c>
      <c r="E19" s="2">
        <v>14.7053622736191</v>
      </c>
      <c r="F19" s="2">
        <v>1.25688424362332E-4</v>
      </c>
      <c r="G19" s="2">
        <v>1.18297757554149E-2</v>
      </c>
      <c r="H19" s="2" t="s">
        <v>315</v>
      </c>
      <c r="I19" s="2" t="s">
        <v>94</v>
      </c>
      <c r="J19" s="2" t="str">
        <f>HYPERLINK("https://vectorbase.org/vectorbase/app/record/gene/AGAP005721","AGAP005721-RA")</f>
        <v>AGAP005721-RA</v>
      </c>
      <c r="K19" s="2" t="str">
        <f>HYPERLINK(".\links\pep\AGAP005721-PA-pep.txt","AGAP005721-PA")</f>
        <v>AGAP005721-PA</v>
      </c>
      <c r="L19" s="12" t="s">
        <v>95</v>
      </c>
      <c r="M19" s="2">
        <v>400</v>
      </c>
      <c r="N19" s="2">
        <v>0</v>
      </c>
      <c r="O19" s="2">
        <v>0</v>
      </c>
      <c r="P19" s="2" t="s">
        <v>316</v>
      </c>
      <c r="Q19" s="9" t="s">
        <v>317</v>
      </c>
      <c r="R19" s="2" t="s">
        <v>318</v>
      </c>
      <c r="S19" s="2" t="str">
        <f>HYPERLINK(".\links\REFSEQ-INVERTEBRATE\AGAP005721-PA-REFSEQ-INVERTEBRATE.txt","REFSEQ-INVERTEBRATE")</f>
        <v>REFSEQ-INVERTEBRATE</v>
      </c>
      <c r="T19" s="2">
        <v>0</v>
      </c>
      <c r="U19" s="2">
        <v>102.3</v>
      </c>
      <c r="V19" s="2" t="s">
        <v>319</v>
      </c>
      <c r="W19" s="10" t="s">
        <v>320</v>
      </c>
      <c r="X19" s="2" t="s">
        <v>318</v>
      </c>
      <c r="Y19" s="2" t="str">
        <f>HYPERLINK(".\links\ARTHORPODA\AGAP005721-PA-ARTHORPODA.txt","ARTHORPODA")</f>
        <v>ARTHORPODA</v>
      </c>
      <c r="Z19" s="15">
        <v>0</v>
      </c>
      <c r="AA19" s="2">
        <v>100</v>
      </c>
      <c r="AB19" s="13" t="s">
        <v>102</v>
      </c>
      <c r="AC19" s="13" t="str">
        <f>HYPERLINK(".\links\Sigp\AGAP005721-PA-SigP.txt","BL/SIG")</f>
        <v>BL/SIG</v>
      </c>
      <c r="AD19" s="2" t="s">
        <v>102</v>
      </c>
      <c r="AE19" s="2">
        <v>47.552</v>
      </c>
      <c r="AF19" s="2">
        <v>9.7100000000000009</v>
      </c>
      <c r="AG19" s="2" t="s">
        <v>102</v>
      </c>
      <c r="AH19" s="2" t="s">
        <v>102</v>
      </c>
      <c r="AI19" s="2" t="s">
        <v>321</v>
      </c>
      <c r="AJ19" s="13" t="str">
        <f>HYPERLINK(".\links\tmhmm\AGAP005721-PA-tmhmm.txt","1")</f>
        <v>1</v>
      </c>
      <c r="AK19" s="2">
        <v>5.5</v>
      </c>
      <c r="AL19" s="2">
        <v>91.5</v>
      </c>
      <c r="AM19" s="2">
        <v>3</v>
      </c>
      <c r="AN19" s="13" t="str">
        <f>HYPERLINK(".\links\gpi\AGAP005721-PA-gpi.txt","N")</f>
        <v>N</v>
      </c>
      <c r="AO19" s="14" t="str">
        <f>HYPERLINK(".\links\netoglyc\AGAP005721-PA-netoglyc.txt","0")</f>
        <v>0</v>
      </c>
      <c r="AP19" s="13">
        <v>9.3000000000000007</v>
      </c>
      <c r="AQ19" s="2">
        <v>3.8</v>
      </c>
      <c r="AR19" s="2">
        <v>5.5</v>
      </c>
      <c r="AS19" s="2" t="s">
        <v>104</v>
      </c>
      <c r="AT19" s="9" t="str">
        <f>HYPERLINK(".\links\NR-LIGHT\AGAP005721-PA-NR-LIGHT.txt","AGAP005721-PA")</f>
        <v>AGAP005721-PA</v>
      </c>
      <c r="AU19" s="2" t="str">
        <f>HYPERLINK("http://www.ncbi.nlm.nih.gov/sutils/blink.cgi?pid=XP_315738.4","0.0")</f>
        <v>0.0</v>
      </c>
      <c r="AV19" s="2" t="str">
        <f>HYPERLINK("http://www.ncbi.nlm.nih.gov/protein/XP_315738.4","XP_315738.4")</f>
        <v>XP_315738.4</v>
      </c>
      <c r="AW19" s="2">
        <v>100</v>
      </c>
      <c r="AX19" s="2">
        <v>100</v>
      </c>
      <c r="AY19" s="2">
        <v>100</v>
      </c>
      <c r="AZ19" s="2" t="s">
        <v>105</v>
      </c>
      <c r="BA19" s="9" t="str">
        <f>HYPERLINK(".\links\REFSEQ-INVERTEBRATE\AGAP005721-PA-REFSEQ-INVERTEBRATE.txt","AGAP005721-PA")</f>
        <v>AGAP005721-PA</v>
      </c>
      <c r="BB19" s="2" t="str">
        <f>HYPERLINK("http://www.ncbi.nlm.nih.gov/sutils/blink.cgi?pid=XP_315738.4","0.0")</f>
        <v>0.0</v>
      </c>
      <c r="BC19" s="2" t="str">
        <f>HYPERLINK("http://www.ncbi.nlm.nih.gov/protein/XP_315738.4","XP_315738.4")</f>
        <v>XP_315738.4</v>
      </c>
      <c r="BD19" s="2">
        <v>100</v>
      </c>
      <c r="BE19" s="2">
        <v>100</v>
      </c>
      <c r="BF19" s="2">
        <v>100</v>
      </c>
      <c r="BG19" s="2" t="s">
        <v>105</v>
      </c>
      <c r="BH19" s="9" t="str">
        <f>HYPERLINK(".\links\REFSEQ-PROTOZOA\AGAP005721-PA-REFSEQ-PROTOZOA.txt","Carbohydrate sulfotransferase")</f>
        <v>Carbohydrate sulfotransferase</v>
      </c>
      <c r="BI19" s="2" t="str">
        <f>HYPERLINK("http://www.ncbi.nlm.nih.gov/sutils/blink.cgi?pid=XP_005715583.1","8E-008")</f>
        <v>8E-008</v>
      </c>
      <c r="BJ19" s="2" t="str">
        <f>HYPERLINK("http://www.ncbi.nlm.nih.gov/protein/XP_005715583.1","XP_005715583.1")</f>
        <v>XP_005715583.1</v>
      </c>
      <c r="BK19" s="2">
        <v>26</v>
      </c>
      <c r="BL19" s="2">
        <v>43</v>
      </c>
      <c r="BM19" s="2">
        <v>40</v>
      </c>
      <c r="BN19" s="2" t="s">
        <v>322</v>
      </c>
      <c r="BO19" s="9" t="str">
        <f>HYPERLINK(".\links\SWISSP\AGAP005721-PA-SWISSP.txt","Carbohydrate sulfotransferase 11")</f>
        <v>Carbohydrate sulfotransferase 11</v>
      </c>
      <c r="BP19" s="2" t="str">
        <f>HYPERLINK("http://www.uniprot.org/uniprot/Q7T3S3","4E-031")</f>
        <v>4E-031</v>
      </c>
      <c r="BQ19" s="2" t="str">
        <f>HYPERLINK("http://www.uniprot.org/uniprot/Q7T3S3#expression","Q7T3S3")</f>
        <v>Q7T3S3</v>
      </c>
      <c r="BR19" s="2">
        <v>29</v>
      </c>
      <c r="BS19" s="2">
        <v>48</v>
      </c>
      <c r="BT19" s="2">
        <v>77</v>
      </c>
      <c r="BU19" s="2" t="s">
        <v>213</v>
      </c>
      <c r="BV19" s="9" t="str">
        <f>HYPERLINK(".\links\FLYBASE\AGAP005721-PA-FLYBASE.txt","FBpp0304916")</f>
        <v>FBpp0304916</v>
      </c>
      <c r="BW19" s="2" t="str">
        <f>HYPERLINK("http://flybase.org/reports/FBgn0035287#alliance_summary_container","7E-95")</f>
        <v>7E-95</v>
      </c>
      <c r="BX19" s="2">
        <v>363</v>
      </c>
      <c r="BY19" s="2">
        <v>47</v>
      </c>
      <c r="BZ19" s="2">
        <v>69</v>
      </c>
      <c r="CA19" s="2">
        <v>79</v>
      </c>
      <c r="CB19" s="9" t="str">
        <f>HYPERLINK(".\links\CDD\AGAP005721-PA-CDD.txt","Sulfotransfer_2, Sulfotransferase family")</f>
        <v>Sulfotransfer_2, Sulfotransferase family</v>
      </c>
      <c r="CC19" s="15">
        <v>2E-45</v>
      </c>
      <c r="CD19" s="2">
        <v>108.2</v>
      </c>
      <c r="CE19" s="2" t="s">
        <v>323</v>
      </c>
      <c r="CF19" s="2" t="s">
        <v>324</v>
      </c>
      <c r="CG19" s="9" t="str">
        <f>HYPERLINK(".\links\KOG\AGAP005721-PA-KOG.txt","Chondroitin 6-sulfotransferase and related sulfotransferases")</f>
        <v>Chondroitin 6-sulfotransferase and related sulfotransferases</v>
      </c>
      <c r="CH19" s="15">
        <v>2.0000000000000001E-22</v>
      </c>
      <c r="CI19" s="2">
        <v>80.900000000000006</v>
      </c>
      <c r="CJ19" s="2" t="s">
        <v>325</v>
      </c>
      <c r="CK19" s="2" t="s">
        <v>326</v>
      </c>
      <c r="CL19" s="9" t="str">
        <f>HYPERLINK(".\links\PFAM\AGAP005721-PA-PFAM.txt","Sulfotransfer_2, Sulfotransferase family")</f>
        <v>Sulfotransfer_2, Sulfotransferase family</v>
      </c>
      <c r="CM19" s="15">
        <v>4.0000000000000001E-46</v>
      </c>
      <c r="CN19" s="2">
        <v>108.2</v>
      </c>
      <c r="CO19" s="2" t="s">
        <v>323</v>
      </c>
      <c r="CP19" s="9" t="str">
        <f>HYPERLINK(".\links\SMART\AGAP005721-PA-SMART.txt","PKS_KS, Beta-ketoacyl synthase")</f>
        <v>PKS_KS, Beta-ketoacyl synthase</v>
      </c>
      <c r="CQ19" s="15">
        <v>1.3</v>
      </c>
      <c r="CR19" s="2">
        <v>6</v>
      </c>
      <c r="CS19" s="2" t="s">
        <v>327</v>
      </c>
      <c r="CT19" s="2" t="s">
        <v>319</v>
      </c>
      <c r="CU19" s="2" t="s">
        <v>319</v>
      </c>
      <c r="CV19" s="2" t="s">
        <v>319</v>
      </c>
      <c r="CW19" s="2" t="str">
        <f>HYPERLINK(".\links\pep\AGAP005721-PA-pep.txt","AGAP005721-PA")</f>
        <v>AGAP005721-PA</v>
      </c>
      <c r="CX19" s="2" t="s">
        <v>95</v>
      </c>
      <c r="CY19" s="2">
        <v>400</v>
      </c>
      <c r="CZ19" s="2" t="s">
        <v>113</v>
      </c>
      <c r="DA19" s="2" t="s">
        <v>328</v>
      </c>
      <c r="DB19" s="2">
        <v>0</v>
      </c>
      <c r="DC19" s="2">
        <v>0</v>
      </c>
      <c r="DD19" s="2" t="str">
        <f>HYPERLINK("https://www.kegg.jp/kegg-bin/search_pathway_text?map=aga&amp;keyword=AGAP005721&amp;mode=1&amp;viewImage=true","AGAP005721")</f>
        <v>AGAP005721</v>
      </c>
      <c r="DE19" s="2" t="s">
        <v>314</v>
      </c>
      <c r="DF19" s="2" t="s">
        <v>315</v>
      </c>
      <c r="DG19" s="2" t="s">
        <v>94</v>
      </c>
      <c r="DH19" s="2" t="str">
        <f>HYPERLINK("https://vectorbase.org/vectorbase/app/record/gene/AGAP005721","AGAP005721-RA")</f>
        <v>AGAP005721-RA</v>
      </c>
      <c r="DI19" s="2" t="s">
        <v>115</v>
      </c>
      <c r="DJ19" s="2">
        <v>3870</v>
      </c>
      <c r="DK19" s="2" t="str">
        <f>HYPERLINK(".\links\netoglyc\AGAP005721-PA-netoglyc.txt","0")</f>
        <v>0</v>
      </c>
      <c r="DL19" s="2">
        <v>9.3000000000000007</v>
      </c>
      <c r="DM19" s="2">
        <v>3.8</v>
      </c>
      <c r="DN19" s="2">
        <v>5.5</v>
      </c>
      <c r="DO19" s="2" t="s">
        <v>104</v>
      </c>
      <c r="DP19" s="2" t="s">
        <v>102</v>
      </c>
      <c r="DQ19" s="2" t="str">
        <f>HYPERLINK(".\links\Sigp\AGAP005721-PA-SigP.txt","BL/SIG")</f>
        <v>BL/SIG</v>
      </c>
      <c r="DR19" s="2" t="s">
        <v>102</v>
      </c>
      <c r="DS19" s="2">
        <v>47.552</v>
      </c>
      <c r="DT19" s="2">
        <v>9.7100000000000009</v>
      </c>
      <c r="DU19" s="2" t="s">
        <v>102</v>
      </c>
      <c r="DV19" s="2" t="s">
        <v>102</v>
      </c>
      <c r="DW19" s="2" t="s">
        <v>321</v>
      </c>
      <c r="DX19" s="2">
        <v>400</v>
      </c>
      <c r="DY19" s="12" t="str">
        <f>HYPERLINK(".\links\tmhmm\AGAP005721-PA-tmhmm.txt","1")</f>
        <v>1</v>
      </c>
      <c r="DZ19" s="2">
        <v>5.5</v>
      </c>
      <c r="EA19" s="2">
        <v>91.5</v>
      </c>
      <c r="EB19" s="2">
        <v>3</v>
      </c>
      <c r="EC19" s="2" t="str">
        <f>HYPERLINK(".\links\gpi\AGAP005721-PA-gpi.txt","Y-NoSP")</f>
        <v>Y-NoSP</v>
      </c>
      <c r="ED19" s="2">
        <v>0.3</v>
      </c>
      <c r="EF19" s="2">
        <v>4</v>
      </c>
      <c r="EG19" s="2" t="s">
        <v>102</v>
      </c>
      <c r="EH19" s="2" t="s">
        <v>102</v>
      </c>
      <c r="EI19" s="2">
        <v>9.25</v>
      </c>
      <c r="EJ19" s="2">
        <v>5.5</v>
      </c>
      <c r="EK19" s="2">
        <v>3.75</v>
      </c>
      <c r="EL19" s="2">
        <v>9.25</v>
      </c>
      <c r="EM19" s="2" t="s">
        <v>102</v>
      </c>
      <c r="EN19" s="2">
        <v>3</v>
      </c>
      <c r="EO19" s="2">
        <v>3</v>
      </c>
      <c r="EP19" s="2" t="s">
        <v>102</v>
      </c>
      <c r="EQ19" s="2" t="s">
        <v>102</v>
      </c>
      <c r="ER19" s="2" t="s">
        <v>102</v>
      </c>
      <c r="ES19" s="2" t="s">
        <v>102</v>
      </c>
      <c r="ET19" s="2" t="str">
        <f>HYPERLINK(".\links\REFSEQ-INVERTEBRATE\AGAP005721-PA-REFSEQ-INVERTEBRATE.txt","AGAP005721-PA")</f>
        <v>AGAP005721-PA</v>
      </c>
      <c r="EU19" s="2" t="str">
        <f>HYPERLINK("http://www.ncbi.nlm.nih.gov/sutils/blink.cgi?pid=XP_315738.4","0.0")</f>
        <v>0.0</v>
      </c>
      <c r="EV19" s="2" t="str">
        <f>HYPERLINK("http://www.ncbi.nlm.nih.gov/protein/XP_315738.4","XP_315738.4")</f>
        <v>XP_315738.4</v>
      </c>
      <c r="EW19" s="2">
        <v>100</v>
      </c>
      <c r="EX19" s="2">
        <v>100</v>
      </c>
      <c r="EY19" s="2">
        <v>100</v>
      </c>
      <c r="EZ19" s="2" t="s">
        <v>105</v>
      </c>
    </row>
    <row r="20" spans="1:156" x14ac:dyDescent="0.25">
      <c r="A20" s="2" t="s">
        <v>329</v>
      </c>
      <c r="B20" s="2">
        <v>0.84263761348198596</v>
      </c>
      <c r="C20" s="2">
        <f t="shared" si="0"/>
        <v>1.7933258022695144</v>
      </c>
      <c r="D20" s="2">
        <v>3.1645676164294301</v>
      </c>
      <c r="E20" s="2">
        <v>10.609068223794599</v>
      </c>
      <c r="F20" s="2">
        <v>1.12534384314012E-3</v>
      </c>
      <c r="G20" s="2">
        <v>3.3908380030222798E-2</v>
      </c>
      <c r="H20" s="2" t="s">
        <v>330</v>
      </c>
      <c r="I20" s="2" t="s">
        <v>94</v>
      </c>
      <c r="J20" s="2" t="str">
        <f>HYPERLINK("https://vectorbase.org/vectorbase/app/record/gene/AGAP012395","AGAP012395-RA")</f>
        <v>AGAP012395-RA</v>
      </c>
      <c r="K20" s="2" t="str">
        <f>HYPERLINK(".\links\pep\AGAP012395-PA-pep.txt","AGAP012395-PA")</f>
        <v>AGAP012395-PA</v>
      </c>
      <c r="L20" s="12" t="s">
        <v>95</v>
      </c>
      <c r="M20" s="2">
        <v>236</v>
      </c>
      <c r="N20" s="2">
        <v>0</v>
      </c>
      <c r="O20" s="2">
        <v>1</v>
      </c>
      <c r="P20" s="2" t="s">
        <v>331</v>
      </c>
      <c r="Q20" s="9" t="s">
        <v>332</v>
      </c>
      <c r="R20" s="2" t="s">
        <v>101</v>
      </c>
      <c r="S20" s="2" t="str">
        <f>HYPERLINK(".\links\CDD\AGAP012395-PA-CDD.txt","CDD")</f>
        <v>CDD</v>
      </c>
      <c r="T20" s="2">
        <v>2E-41</v>
      </c>
      <c r="U20" s="2">
        <v>83.9</v>
      </c>
      <c r="V20" s="2" t="s">
        <v>333</v>
      </c>
      <c r="W20" s="10" t="s">
        <v>334</v>
      </c>
      <c r="X20" s="2" t="s">
        <v>335</v>
      </c>
      <c r="Y20" s="2" t="str">
        <f>HYPERLINK(".\links\EC\AGAP012395-PA-EC.txt","EC")</f>
        <v>EC</v>
      </c>
      <c r="Z20" s="2">
        <v>0</v>
      </c>
      <c r="AA20" s="2">
        <v>87</v>
      </c>
      <c r="AB20" s="13" t="s">
        <v>102</v>
      </c>
      <c r="AC20" s="13" t="str">
        <f>HYPERLINK(".\links\Sigp\AGAP012395-PA-SigP.txt","CYT")</f>
        <v>CYT</v>
      </c>
      <c r="AD20" s="2" t="s">
        <v>102</v>
      </c>
      <c r="AE20" s="2">
        <v>26.619</v>
      </c>
      <c r="AF20" s="2">
        <v>5.43</v>
      </c>
      <c r="AG20" s="2" t="s">
        <v>102</v>
      </c>
      <c r="AH20" s="2" t="s">
        <v>102</v>
      </c>
      <c r="AI20" s="2" t="s">
        <v>336</v>
      </c>
      <c r="AJ20" s="13">
        <v>0</v>
      </c>
      <c r="AK20" s="2" t="s">
        <v>102</v>
      </c>
      <c r="AL20" s="2" t="s">
        <v>102</v>
      </c>
      <c r="AM20" s="2" t="s">
        <v>102</v>
      </c>
      <c r="AN20" s="13" t="str">
        <f>HYPERLINK(".\links\gpi\AGAP012395-PA-gpi.txt","N")</f>
        <v>N</v>
      </c>
      <c r="AO20" s="14" t="str">
        <f>HYPERLINK(".\links\netoglyc\AGAP012395-PA-netoglyc.txt","0")</f>
        <v>0</v>
      </c>
      <c r="AP20" s="13">
        <v>9.6999999999999993</v>
      </c>
      <c r="AQ20" s="2">
        <v>9.3000000000000007</v>
      </c>
      <c r="AR20" s="2">
        <v>4.2</v>
      </c>
      <c r="AS20" s="2" t="s">
        <v>104</v>
      </c>
      <c r="AT20" s="9" t="str">
        <f>HYPERLINK(".\links\NR-LIGHT\AGAP012395-PA-NR-LIGHT.txt","AGAP012395-PA")</f>
        <v>AGAP012395-PA</v>
      </c>
      <c r="AU20" s="2" t="str">
        <f>HYPERLINK("http://www.ncbi.nlm.nih.gov/sutils/blink.cgi?pid=XP_320163.3","1E-136")</f>
        <v>1E-136</v>
      </c>
      <c r="AV20" s="2" t="str">
        <f>HYPERLINK("http://www.ncbi.nlm.nih.gov/protein/XP_320163.3","XP_320163.3")</f>
        <v>XP_320163.3</v>
      </c>
      <c r="AW20" s="2">
        <v>100</v>
      </c>
      <c r="AX20" s="2">
        <v>100</v>
      </c>
      <c r="AY20" s="2">
        <v>100</v>
      </c>
      <c r="AZ20" s="2" t="s">
        <v>105</v>
      </c>
      <c r="BA20" s="9" t="str">
        <f>HYPERLINK(".\links\REFSEQ-INVERTEBRATE\AGAP012395-PA-REFSEQ-INVERTEBRATE.txt","AGAP012395-PA")</f>
        <v>AGAP012395-PA</v>
      </c>
      <c r="BB20" s="2" t="str">
        <f>HYPERLINK("http://www.ncbi.nlm.nih.gov/sutils/blink.cgi?pid=XP_320163.3","1E-136")</f>
        <v>1E-136</v>
      </c>
      <c r="BC20" s="2" t="str">
        <f>HYPERLINK("http://www.ncbi.nlm.nih.gov/protein/XP_320163.3","XP_320163.3")</f>
        <v>XP_320163.3</v>
      </c>
      <c r="BD20" s="2">
        <v>100</v>
      </c>
      <c r="BE20" s="2">
        <v>100</v>
      </c>
      <c r="BF20" s="2">
        <v>100</v>
      </c>
      <c r="BG20" s="2" t="s">
        <v>105</v>
      </c>
      <c r="BH20" s="9" t="str">
        <f>HYPERLINK(".\links\REFSEQ-PROTOZOA\AGAP012395-PA-REFSEQ-PROTOZOA.txt","hypothetical protein DICPUDRAFT_47974")</f>
        <v>hypothetical protein DICPUDRAFT_47974</v>
      </c>
      <c r="BI20" s="2" t="str">
        <f>HYPERLINK("http://www.ncbi.nlm.nih.gov/sutils/blink.cgi?pid=XP_003288540.1","3E-030")</f>
        <v>3E-030</v>
      </c>
      <c r="BJ20" s="2" t="str">
        <f>HYPERLINK("http://www.ncbi.nlm.nih.gov/protein/XP_003288540.1","XP_003288540.1")</f>
        <v>XP_003288540.1</v>
      </c>
      <c r="BK20" s="2">
        <v>43</v>
      </c>
      <c r="BL20" s="2">
        <v>61</v>
      </c>
      <c r="BM20" s="2">
        <v>94</v>
      </c>
      <c r="BN20" s="2" t="s">
        <v>337</v>
      </c>
      <c r="BO20" s="9" t="str">
        <f>HYPERLINK(".\links\SWISSP\AGAP012395-PA-SWISSP.txt","Peptide methionine sulfoxide reductase")</f>
        <v>Peptide methionine sulfoxide reductase</v>
      </c>
      <c r="BP20" s="2" t="str">
        <f>HYPERLINK("http://www.uniprot.org/uniprot/P08761","8E-081")</f>
        <v>8E-081</v>
      </c>
      <c r="BQ20" s="2" t="str">
        <f>HYPERLINK("http://www.uniprot.org/uniprot/P08761#expression","P08761")</f>
        <v>P08761</v>
      </c>
      <c r="BR20" s="2">
        <v>64</v>
      </c>
      <c r="BS20" s="2">
        <v>79</v>
      </c>
      <c r="BT20" s="2">
        <v>88</v>
      </c>
      <c r="BU20" s="2" t="s">
        <v>107</v>
      </c>
      <c r="BV20" s="9" t="str">
        <f>HYPERLINK(".\links\FLYBASE\AGAP012395-PA-FLYBASE.txt","FBpp0075308")</f>
        <v>FBpp0075308</v>
      </c>
      <c r="BW20" s="2" t="str">
        <f>HYPERLINK("http://flybase.org/reports/FBgn0000565#alliance_summary_container","1E-105")</f>
        <v>1E-105</v>
      </c>
      <c r="BX20" s="2">
        <v>246</v>
      </c>
      <c r="BY20" s="2">
        <v>64</v>
      </c>
      <c r="BZ20" s="2">
        <v>79</v>
      </c>
      <c r="CA20" s="2">
        <v>88</v>
      </c>
      <c r="CB20" s="9" t="str">
        <f>HYPERLINK(".\links\CDD\AGAP012395-PA-CDD.txt","PMSR, Peptide methionine sulfoxide reductase")</f>
        <v>PMSR, Peptide methionine sulfoxide reductase</v>
      </c>
      <c r="CC20" s="15">
        <v>4.0000000000000001E-46</v>
      </c>
      <c r="CD20" s="2">
        <v>94.8</v>
      </c>
      <c r="CE20" s="2" t="s">
        <v>338</v>
      </c>
      <c r="CF20" s="2" t="s">
        <v>339</v>
      </c>
      <c r="CG20" s="9" t="str">
        <f>HYPERLINK(".\links\KOG\AGAP012395-PA-KOG.txt","Peptide methionine sulfoxide reductase")</f>
        <v>Peptide methionine sulfoxide reductase</v>
      </c>
      <c r="CH20" s="15">
        <v>9.9999999999999993E-41</v>
      </c>
      <c r="CI20" s="2">
        <v>87.4</v>
      </c>
      <c r="CJ20" s="2" t="s">
        <v>340</v>
      </c>
      <c r="CK20" s="2" t="s">
        <v>111</v>
      </c>
      <c r="CL20" s="9" t="str">
        <f>HYPERLINK(".\links\PFAM\AGAP012395-PA-PFAM.txt","PMSR, Peptide methionine sulfoxide reductase")</f>
        <v>PMSR, Peptide methionine sulfoxide reductase</v>
      </c>
      <c r="CM20" s="15">
        <v>9E-47</v>
      </c>
      <c r="CN20" s="2">
        <v>94.8</v>
      </c>
      <c r="CO20" s="2" t="s">
        <v>338</v>
      </c>
      <c r="CP20" s="9" t="str">
        <f>HYPERLINK(".\links\SMART\AGAP012395-PA-SMART.txt","c-SKI_SMAD_bind, c-SKI Smad4 binding domain")</f>
        <v>c-SKI_SMAD_bind, c-SKI Smad4 binding domain</v>
      </c>
      <c r="CQ20" s="15">
        <v>1.5</v>
      </c>
      <c r="CR20" s="2">
        <v>9.5</v>
      </c>
      <c r="CS20" s="2" t="s">
        <v>253</v>
      </c>
      <c r="CT20" s="2" t="s">
        <v>333</v>
      </c>
      <c r="CU20" s="2" t="s">
        <v>333</v>
      </c>
      <c r="CV20" s="2" t="s">
        <v>333</v>
      </c>
      <c r="CW20" s="2" t="str">
        <f>HYPERLINK(".\links\pep\AGAP012395-PA-pep.txt","AGAP012395-PA")</f>
        <v>AGAP012395-PA</v>
      </c>
      <c r="CX20" s="2" t="s">
        <v>95</v>
      </c>
      <c r="CY20" s="2">
        <v>236</v>
      </c>
      <c r="CZ20" s="2" t="s">
        <v>113</v>
      </c>
      <c r="DA20" s="2" t="s">
        <v>341</v>
      </c>
      <c r="DB20" s="2">
        <v>0</v>
      </c>
      <c r="DC20" s="2">
        <v>1</v>
      </c>
      <c r="DD20" s="2" t="str">
        <f>HYPERLINK("https://www.kegg.jp/kegg-bin/search_pathway_text?map=aga&amp;keyword=AGAP012395&amp;mode=1&amp;viewImage=true","AGAP012395")</f>
        <v>AGAP012395</v>
      </c>
      <c r="DE20" s="2" t="s">
        <v>329</v>
      </c>
      <c r="DF20" s="2" t="s">
        <v>330</v>
      </c>
      <c r="DG20" s="2" t="s">
        <v>94</v>
      </c>
      <c r="DH20" s="2" t="str">
        <f>HYPERLINK("https://vectorbase.org/vectorbase/app/record/gene/AGAP012395","AGAP012395-RA")</f>
        <v>AGAP012395-RA</v>
      </c>
      <c r="DI20" s="2" t="s">
        <v>115</v>
      </c>
      <c r="DJ20" s="2">
        <v>1027</v>
      </c>
      <c r="DK20" s="2" t="str">
        <f>HYPERLINK(".\links\netoglyc\AGAP012395-PA-netoglyc.txt","0")</f>
        <v>0</v>
      </c>
      <c r="DL20" s="2">
        <v>9.6999999999999993</v>
      </c>
      <c r="DM20" s="2">
        <v>9.3000000000000007</v>
      </c>
      <c r="DN20" s="2">
        <v>4.2</v>
      </c>
      <c r="DO20" s="2" t="s">
        <v>104</v>
      </c>
      <c r="DP20" s="2" t="s">
        <v>102</v>
      </c>
      <c r="DQ20" s="2" t="str">
        <f>HYPERLINK(".\links\Sigp\AGAP012395-PA-SigP.txt","CYT")</f>
        <v>CYT</v>
      </c>
      <c r="DR20" s="2" t="s">
        <v>102</v>
      </c>
      <c r="DS20" s="2">
        <v>26.619</v>
      </c>
      <c r="DT20" s="2">
        <v>5.43</v>
      </c>
      <c r="DU20" s="2" t="s">
        <v>102</v>
      </c>
      <c r="DV20" s="2" t="s">
        <v>102</v>
      </c>
      <c r="DW20" s="2" t="s">
        <v>336</v>
      </c>
      <c r="DX20" s="2">
        <v>236</v>
      </c>
      <c r="DY20" s="12">
        <v>0</v>
      </c>
      <c r="DZ20" s="2" t="s">
        <v>102</v>
      </c>
      <c r="EA20" s="2" t="s">
        <v>102</v>
      </c>
      <c r="EB20" s="2" t="s">
        <v>102</v>
      </c>
      <c r="EC20" s="2" t="str">
        <f>HYPERLINK(".\links\gpi\AGAP012395-PA-gpi.txt","Y-NoSP")</f>
        <v>Y-NoSP</v>
      </c>
      <c r="ED20" s="2">
        <v>0.24</v>
      </c>
      <c r="EF20" s="2">
        <v>3</v>
      </c>
      <c r="EG20" s="2" t="s">
        <v>102</v>
      </c>
      <c r="EH20" s="2" t="s">
        <v>102</v>
      </c>
      <c r="EI20" s="2">
        <v>9.7457627118644101</v>
      </c>
      <c r="EJ20" s="2">
        <v>4.2372881355932197</v>
      </c>
      <c r="EK20" s="2">
        <v>9.3220338983050794</v>
      </c>
      <c r="EL20" s="2">
        <v>13.559322033898299</v>
      </c>
      <c r="EM20" s="2" t="s">
        <v>102</v>
      </c>
      <c r="EN20" s="2">
        <v>2</v>
      </c>
      <c r="EO20" s="2">
        <v>2</v>
      </c>
      <c r="EP20" s="2" t="s">
        <v>102</v>
      </c>
      <c r="EQ20" s="2" t="s">
        <v>102</v>
      </c>
      <c r="ER20" s="2" t="s">
        <v>102</v>
      </c>
      <c r="ES20" s="2" t="s">
        <v>102</v>
      </c>
      <c r="ET20" s="2" t="str">
        <f>HYPERLINK(".\links\REFSEQ-INVERTEBRATE\AGAP012395-PA-REFSEQ-INVERTEBRATE.txt","AGAP012395-PA")</f>
        <v>AGAP012395-PA</v>
      </c>
      <c r="EU20" s="2" t="str">
        <f>HYPERLINK("http://www.ncbi.nlm.nih.gov/sutils/blink.cgi?pid=XP_320163.3","1E-178")</f>
        <v>1E-178</v>
      </c>
      <c r="EV20" s="2" t="str">
        <f>HYPERLINK("http://www.ncbi.nlm.nih.gov/protein/XP_320163.3","XP_320163.3")</f>
        <v>XP_320163.3</v>
      </c>
      <c r="EW20" s="2">
        <v>100</v>
      </c>
      <c r="EX20" s="2">
        <v>100</v>
      </c>
      <c r="EY20" s="2">
        <v>100</v>
      </c>
      <c r="EZ20" s="2" t="s">
        <v>105</v>
      </c>
    </row>
    <row r="21" spans="1:156" x14ac:dyDescent="0.25">
      <c r="A21" s="2" t="s">
        <v>342</v>
      </c>
      <c r="B21" s="2">
        <v>0.78327568245811496</v>
      </c>
      <c r="C21" s="2">
        <f t="shared" si="0"/>
        <v>1.7210340996597702</v>
      </c>
      <c r="D21" s="2">
        <v>3.67041581200237</v>
      </c>
      <c r="E21" s="2">
        <v>10.778135495954</v>
      </c>
      <c r="F21" s="2">
        <v>1.0270608569744901E-3</v>
      </c>
      <c r="G21" s="2">
        <v>3.2441297261165299E-2</v>
      </c>
      <c r="H21" s="2" t="s">
        <v>93</v>
      </c>
      <c r="I21" s="2" t="s">
        <v>94</v>
      </c>
      <c r="J21" s="2" t="str">
        <f>HYPERLINK("https://vectorbase.org/vectorbase/app/record/gene/AGAP003837","AGAP003837-RA")</f>
        <v>AGAP003837-RA</v>
      </c>
      <c r="K21" s="2" t="str">
        <f>HYPERLINK(".\links\pep\AGAP003837-PA-pep.txt","AGAP003837-PA")</f>
        <v>AGAP003837-PA</v>
      </c>
      <c r="L21" s="12" t="s">
        <v>95</v>
      </c>
      <c r="M21" s="2">
        <v>308</v>
      </c>
      <c r="N21" s="2">
        <v>0</v>
      </c>
      <c r="O21" s="2">
        <v>0</v>
      </c>
      <c r="P21" s="2" t="s">
        <v>102</v>
      </c>
      <c r="Q21" s="9" t="s">
        <v>343</v>
      </c>
      <c r="R21" s="2" t="s">
        <v>196</v>
      </c>
      <c r="S21" s="2" t="str">
        <f>HYPERLINK(".\links\REFSEQ-INVERTEBRATE\AGAP003837-PA-REFSEQ-INVERTEBRATE.txt","REFSEQ-INVERTEBRATE")</f>
        <v>REFSEQ-INVERTEBRATE</v>
      </c>
      <c r="T21" s="2">
        <v>0</v>
      </c>
      <c r="U21" s="2">
        <v>100</v>
      </c>
      <c r="V21" s="2" t="s">
        <v>343</v>
      </c>
      <c r="W21" s="10" t="s">
        <v>344</v>
      </c>
      <c r="X21" s="2" t="s">
        <v>345</v>
      </c>
      <c r="Y21" s="2" t="str">
        <f>HYPERLINK(".\links\REFSEQVERTEBRATE95\AGAP003837-PA-REFSEQVERTEBRATE95.txt","REFSEQVERTEBRATE95")</f>
        <v>REFSEQVERTEBRATE95</v>
      </c>
      <c r="Z21" s="15">
        <v>6E-9</v>
      </c>
      <c r="AA21" s="2">
        <v>49.2</v>
      </c>
      <c r="AB21" s="13" t="s">
        <v>102</v>
      </c>
      <c r="AC21" s="13" t="str">
        <f>HYPERLINK(".\links\Sigp\AGAP003837-PA-SigP.txt","CYT")</f>
        <v>CYT</v>
      </c>
      <c r="AD21" s="2" t="s">
        <v>102</v>
      </c>
      <c r="AE21" s="2">
        <v>35.738999999999997</v>
      </c>
      <c r="AF21" s="2">
        <v>8.86</v>
      </c>
      <c r="AG21" s="2" t="s">
        <v>102</v>
      </c>
      <c r="AH21" s="2" t="s">
        <v>102</v>
      </c>
      <c r="AI21" s="2" t="s">
        <v>346</v>
      </c>
      <c r="AJ21" s="13">
        <v>0</v>
      </c>
      <c r="AK21" s="2" t="s">
        <v>102</v>
      </c>
      <c r="AL21" s="2" t="s">
        <v>102</v>
      </c>
      <c r="AM21" s="2" t="s">
        <v>102</v>
      </c>
      <c r="AN21" s="13" t="str">
        <f>HYPERLINK(".\links\gpi\AGAP003837-PA-gpi.txt","N")</f>
        <v>N</v>
      </c>
      <c r="AO21" s="14" t="str">
        <f>HYPERLINK(".\links\netoglyc\AGAP003837-PA-netoglyc.txt","0")</f>
        <v>0</v>
      </c>
      <c r="AP21" s="13">
        <v>12.7</v>
      </c>
      <c r="AQ21" s="2">
        <v>5.2</v>
      </c>
      <c r="AR21" s="2">
        <v>2.9</v>
      </c>
      <c r="AS21" s="2" t="s">
        <v>104</v>
      </c>
      <c r="AT21" s="9" t="str">
        <f>HYPERLINK(".\links\NR-LIGHT\AGAP003837-PA-NR-LIGHT.txt","AGAP003837-PA")</f>
        <v>AGAP003837-PA</v>
      </c>
      <c r="AU21" s="2" t="str">
        <f>HYPERLINK("http://www.ncbi.nlm.nih.gov/sutils/blink.cgi?pid=XP_559624.5","1E-174")</f>
        <v>1E-174</v>
      </c>
      <c r="AV21" s="2" t="str">
        <f>HYPERLINK("http://www.ncbi.nlm.nih.gov/protein/XP_559624.5","XP_559624.5")</f>
        <v>XP_559624.5</v>
      </c>
      <c r="AW21" s="2">
        <v>100</v>
      </c>
      <c r="AX21" s="2">
        <v>100</v>
      </c>
      <c r="AY21" s="2">
        <v>100</v>
      </c>
      <c r="AZ21" s="2" t="s">
        <v>105</v>
      </c>
      <c r="BA21" s="9" t="str">
        <f>HYPERLINK(".\links\REFSEQ-INVERTEBRATE\AGAP003837-PA-REFSEQ-INVERTEBRATE.txt","AGAP003837-PA")</f>
        <v>AGAP003837-PA</v>
      </c>
      <c r="BB21" s="2" t="str">
        <f>HYPERLINK("http://www.ncbi.nlm.nih.gov/sutils/blink.cgi?pid=XP_559624.5","1E-174")</f>
        <v>1E-174</v>
      </c>
      <c r="BC21" s="2" t="str">
        <f>HYPERLINK("http://www.ncbi.nlm.nih.gov/protein/XP_559624.5","XP_559624.5")</f>
        <v>XP_559624.5</v>
      </c>
      <c r="BD21" s="2">
        <v>100</v>
      </c>
      <c r="BE21" s="2">
        <v>100</v>
      </c>
      <c r="BF21" s="2">
        <v>100</v>
      </c>
      <c r="BG21" s="2" t="s">
        <v>105</v>
      </c>
      <c r="BH21" s="9" t="str">
        <f>HYPERLINK(".\links\REFSEQ-PROTOZOA\AGAP003837-PA-REFSEQ-PROTOZOA.txt","hypothetical protein (macronuclear)")</f>
        <v>hypothetical protein (macronuclear)</v>
      </c>
      <c r="BI21" s="2" t="str">
        <f>HYPERLINK("http://www.ncbi.nlm.nih.gov/sutils/blink.cgi?pid=XP_001450051.1","0.001")</f>
        <v>0.001</v>
      </c>
      <c r="BJ21" s="2" t="str">
        <f>HYPERLINK("http://www.ncbi.nlm.nih.gov/protein/XP_001450051.1","XP_001450051.1")</f>
        <v>XP_001450051.1</v>
      </c>
      <c r="BK21" s="2">
        <v>25</v>
      </c>
      <c r="BL21" s="2">
        <v>50</v>
      </c>
      <c r="BM21" s="2">
        <v>64</v>
      </c>
      <c r="BN21" s="2" t="s">
        <v>347</v>
      </c>
      <c r="BO21" s="9" t="str">
        <f>HYPERLINK(".\links\SWISSP\AGAP003837-PA-SWISSP.txt","Coiled-coil domain-containing protein 51")</f>
        <v>Coiled-coil domain-containing protein 51</v>
      </c>
      <c r="BP21" s="2" t="str">
        <f>HYPERLINK("http://www.uniprot.org/uniprot/Q96ER9","8E-008")</f>
        <v>8E-008</v>
      </c>
      <c r="BQ21" s="2" t="str">
        <f>HYPERLINK("http://www.uniprot.org/uniprot/Q96ER9#expression","Q96ER9")</f>
        <v>Q96ER9</v>
      </c>
      <c r="BR21" s="2">
        <v>24</v>
      </c>
      <c r="BS21" s="2">
        <v>46</v>
      </c>
      <c r="BT21" s="2">
        <v>41</v>
      </c>
      <c r="BU21" s="2" t="s">
        <v>127</v>
      </c>
      <c r="BV21" s="9" t="str">
        <f>HYPERLINK(".\links\FLYBASE\AGAP003837-PA-FLYBASE.txt","FBpp0305146")</f>
        <v>FBpp0305146</v>
      </c>
      <c r="BW21" s="2" t="str">
        <f>HYPERLINK("http://flybase.org/reports/FBgn0015903#alliance_summary_container","1.5")</f>
        <v>1.5</v>
      </c>
      <c r="BX21" s="2">
        <v>499</v>
      </c>
      <c r="BY21" s="2">
        <v>27</v>
      </c>
      <c r="BZ21" s="2">
        <v>53</v>
      </c>
      <c r="CA21" s="2">
        <v>23</v>
      </c>
      <c r="CB21" s="9" t="str">
        <f>HYPERLINK(".\links\CDD\AGAP003837-PA-CDD.txt","TPR_21, Tetratricopeptide repeat-like domain")</f>
        <v>TPR_21, Tetratricopeptide repeat-like domain</v>
      </c>
      <c r="CC21" s="15">
        <v>4.7E-2</v>
      </c>
      <c r="CD21" s="2">
        <v>28.4</v>
      </c>
      <c r="CE21" s="2" t="s">
        <v>348</v>
      </c>
      <c r="CF21" s="2" t="s">
        <v>349</v>
      </c>
      <c r="CG21" s="9" t="str">
        <f>HYPERLINK(".\links\KOG\AGAP003837-PA-KOG.txt","contains SKI/SNO domain")</f>
        <v>contains SKI/SNO domain</v>
      </c>
      <c r="CH21" s="15">
        <v>0.32</v>
      </c>
      <c r="CI21" s="2">
        <v>15.8</v>
      </c>
      <c r="CJ21" s="2" t="s">
        <v>350</v>
      </c>
      <c r="CK21" s="2" t="s">
        <v>309</v>
      </c>
      <c r="CL21" s="9" t="str">
        <f>HYPERLINK(".\links\PFAM\AGAP003837-PA-PFAM.txt","TPR_21, Tetratricopeptide repeat-like domain")</f>
        <v>TPR_21, Tetratricopeptide repeat-like domain</v>
      </c>
      <c r="CM21" s="15">
        <v>0.01</v>
      </c>
      <c r="CN21" s="2">
        <v>28.4</v>
      </c>
      <c r="CO21" s="2" t="s">
        <v>348</v>
      </c>
      <c r="CP21" s="9" t="str">
        <f>HYPERLINK(".\links\SMART\AGAP003837-PA-SMART.txt","PKS_KR, This enzymatic domain is part of bacterial polyketide synthases")</f>
        <v>PKS_KR, This enzymatic domain is part of bacterial polyketide synthases</v>
      </c>
      <c r="CQ21" s="15">
        <v>0.74</v>
      </c>
      <c r="CR21" s="2">
        <v>15</v>
      </c>
      <c r="CS21" s="2" t="s">
        <v>351</v>
      </c>
      <c r="CT21" s="2" t="s">
        <v>343</v>
      </c>
      <c r="CU21" s="2" t="s">
        <v>343</v>
      </c>
      <c r="CV21" s="2" t="s">
        <v>343</v>
      </c>
      <c r="CW21" s="2" t="str">
        <f>HYPERLINK(".\links\pep\AGAP003837-PA-pep.txt","AGAP003837-PA")</f>
        <v>AGAP003837-PA</v>
      </c>
      <c r="CX21" s="2" t="s">
        <v>95</v>
      </c>
      <c r="CY21" s="2">
        <v>308</v>
      </c>
      <c r="CZ21" s="2" t="s">
        <v>113</v>
      </c>
      <c r="DA21" s="2" t="s">
        <v>352</v>
      </c>
      <c r="DB21" s="2">
        <v>0</v>
      </c>
      <c r="DC21" s="2">
        <v>0</v>
      </c>
      <c r="DD21" s="2" t="str">
        <f>HYPERLINK("https://www.kegg.jp/kegg-bin/search_pathway_text?map=aga&amp;keyword=AGAP003837&amp;mode=1&amp;viewImage=true","AGAP003837")</f>
        <v>AGAP003837</v>
      </c>
      <c r="DE21" s="2" t="s">
        <v>342</v>
      </c>
      <c r="DF21" s="2" t="s">
        <v>93</v>
      </c>
      <c r="DG21" s="2" t="s">
        <v>94</v>
      </c>
      <c r="DH21" s="2" t="str">
        <f>HYPERLINK("https://vectorbase.org/vectorbase/app/record/gene/AGAP003837","AGAP003837-RA")</f>
        <v>AGAP003837-RA</v>
      </c>
      <c r="DI21" s="2" t="s">
        <v>135</v>
      </c>
      <c r="DJ21" s="2">
        <v>1156</v>
      </c>
      <c r="DK21" s="2" t="str">
        <f>HYPERLINK(".\links\netoglyc\AGAP003837-PA-netoglyc.txt","0")</f>
        <v>0</v>
      </c>
      <c r="DL21" s="2">
        <v>12.7</v>
      </c>
      <c r="DM21" s="2">
        <v>5.2</v>
      </c>
      <c r="DN21" s="2">
        <v>2.9</v>
      </c>
      <c r="DO21" s="2" t="s">
        <v>104</v>
      </c>
      <c r="DP21" s="2" t="s">
        <v>102</v>
      </c>
      <c r="DQ21" s="2" t="str">
        <f>HYPERLINK(".\links\Sigp\AGAP003837-PA-SigP.txt","CYT")</f>
        <v>CYT</v>
      </c>
      <c r="DR21" s="2" t="s">
        <v>102</v>
      </c>
      <c r="DS21" s="2">
        <v>35.738999999999997</v>
      </c>
      <c r="DT21" s="2">
        <v>8.86</v>
      </c>
      <c r="DU21" s="2" t="s">
        <v>102</v>
      </c>
      <c r="DV21" s="2" t="s">
        <v>102</v>
      </c>
      <c r="DW21" s="2" t="s">
        <v>346</v>
      </c>
      <c r="DX21" s="2">
        <v>308</v>
      </c>
      <c r="DY21" s="12">
        <v>0</v>
      </c>
      <c r="DZ21" s="2" t="s">
        <v>102</v>
      </c>
      <c r="EA21" s="2" t="s">
        <v>102</v>
      </c>
      <c r="EB21" s="2" t="s">
        <v>102</v>
      </c>
      <c r="EC21" s="2" t="str">
        <f>HYPERLINK(".\links\gpi\AGAP003837-PA-gpi.txt","Y-NoSP")</f>
        <v>Y-NoSP</v>
      </c>
      <c r="ED21" s="2">
        <v>0.28999999999999998</v>
      </c>
      <c r="EF21" s="2">
        <v>1</v>
      </c>
      <c r="EG21" s="2" t="s">
        <v>102</v>
      </c>
      <c r="EH21" s="2" t="s">
        <v>102</v>
      </c>
      <c r="EI21" s="2">
        <v>12.6623376623377</v>
      </c>
      <c r="EJ21" s="2">
        <v>2.9220779220779201</v>
      </c>
      <c r="EK21" s="2">
        <v>5.1948051948051903</v>
      </c>
      <c r="EL21" s="2">
        <v>8.1168831168831197</v>
      </c>
      <c r="EM21" s="2" t="s">
        <v>102</v>
      </c>
      <c r="EN21" s="2">
        <v>1</v>
      </c>
      <c r="EO21" s="2">
        <v>2</v>
      </c>
      <c r="EP21" s="2" t="s">
        <v>102</v>
      </c>
      <c r="EQ21" s="2" t="s">
        <v>102</v>
      </c>
      <c r="ER21" s="2" t="s">
        <v>102</v>
      </c>
      <c r="ES21" s="2" t="s">
        <v>102</v>
      </c>
      <c r="ET21" s="2" t="str">
        <f>HYPERLINK(".\links\REFSEQ-INVERTEBRATE\AGAP003837-PA-REFSEQ-INVERTEBRATE.txt","AGAP003837-PA")</f>
        <v>AGAP003837-PA</v>
      </c>
      <c r="EU21" s="2" t="str">
        <f>HYPERLINK("http://www.ncbi.nlm.nih.gov/sutils/blink.cgi?pid=XP_559624.5","0.0")</f>
        <v>0.0</v>
      </c>
      <c r="EV21" s="2" t="str">
        <f>HYPERLINK("http://www.ncbi.nlm.nih.gov/protein/XP_559624.5","XP_559624.5")</f>
        <v>XP_559624.5</v>
      </c>
      <c r="EW21" s="2">
        <v>100</v>
      </c>
      <c r="EX21" s="2">
        <v>100</v>
      </c>
      <c r="EY21" s="2">
        <v>100</v>
      </c>
      <c r="EZ21" s="2" t="s">
        <v>105</v>
      </c>
    </row>
    <row r="22" spans="1:156" x14ac:dyDescent="0.25">
      <c r="A22" s="2" t="s">
        <v>353</v>
      </c>
      <c r="B22" s="2">
        <v>0.71205421111207501</v>
      </c>
      <c r="C22" s="2">
        <f t="shared" si="0"/>
        <v>1.6381349495798729</v>
      </c>
      <c r="D22" s="2">
        <v>4.5084975323358298</v>
      </c>
      <c r="E22" s="2">
        <v>16.437715955436001</v>
      </c>
      <c r="F22" s="2">
        <v>5.0274904202468603E-5</v>
      </c>
      <c r="G22" s="2">
        <v>8.2576530152554794E-3</v>
      </c>
      <c r="H22" s="2" t="s">
        <v>93</v>
      </c>
      <c r="I22" s="2" t="s">
        <v>94</v>
      </c>
      <c r="J22" s="2" t="str">
        <f>HYPERLINK("https://vectorbase.org/vectorbase/app/record/gene/AGAP028146","AGAP028146-RB")</f>
        <v>AGAP028146-RB</v>
      </c>
      <c r="K22" s="2" t="str">
        <f>HYPERLINK(".\links\pep\AGAP028146-PB-pep.txt","AGAP028146-PB")</f>
        <v>AGAP028146-PB</v>
      </c>
      <c r="L22" s="12" t="s">
        <v>95</v>
      </c>
      <c r="M22" s="2">
        <v>422</v>
      </c>
      <c r="N22" s="2">
        <v>0</v>
      </c>
      <c r="O22" s="2">
        <v>1</v>
      </c>
      <c r="P22" s="2" t="s">
        <v>102</v>
      </c>
      <c r="Q22" s="9" t="s">
        <v>354</v>
      </c>
      <c r="R22" s="2" t="s">
        <v>355</v>
      </c>
      <c r="S22" s="2" t="str">
        <f>HYPERLINK(".\links\KOG\AGAP028146-PB-KOG.txt","KOG")</f>
        <v>KOG</v>
      </c>
      <c r="T22" s="2">
        <v>2.0000000000000001E-18</v>
      </c>
      <c r="U22" s="2">
        <v>34.799999999999997</v>
      </c>
      <c r="V22" s="2" t="s">
        <v>356</v>
      </c>
      <c r="W22" s="10" t="s">
        <v>357</v>
      </c>
      <c r="X22" s="2" t="s">
        <v>358</v>
      </c>
      <c r="Y22" s="2" t="str">
        <f>HYPERLINK(".\links\REFSEQVERTEBRATE95\AGAP028146-PB-REFSEQVERTEBRATE95.txt","REFSEQVERTEBRATE95")</f>
        <v>REFSEQVERTEBRATE95</v>
      </c>
      <c r="Z22" s="2">
        <v>2.9999999999999998E-15</v>
      </c>
      <c r="AA22" s="2">
        <v>30.6</v>
      </c>
      <c r="AB22" s="13" t="s">
        <v>102</v>
      </c>
      <c r="AC22" s="13" t="str">
        <f>HYPERLINK(".\links\Sigp\AGAP028146-PB-SigP.txt","CYT")</f>
        <v>CYT</v>
      </c>
      <c r="AD22" s="2" t="s">
        <v>102</v>
      </c>
      <c r="AE22" s="2">
        <v>48.643999999999998</v>
      </c>
      <c r="AF22" s="2">
        <v>5.35</v>
      </c>
      <c r="AG22" s="2" t="s">
        <v>102</v>
      </c>
      <c r="AH22" s="2" t="s">
        <v>102</v>
      </c>
      <c r="AI22" s="2" t="s">
        <v>359</v>
      </c>
      <c r="AJ22" s="13">
        <v>0</v>
      </c>
      <c r="AK22" s="2" t="s">
        <v>102</v>
      </c>
      <c r="AL22" s="2" t="s">
        <v>102</v>
      </c>
      <c r="AM22" s="2" t="s">
        <v>102</v>
      </c>
      <c r="AN22" s="13" t="str">
        <f>HYPERLINK(".\links\gpi\AGAP028146-PB-gpi.txt","N")</f>
        <v>N</v>
      </c>
      <c r="AO22" s="14" t="str">
        <f>HYPERLINK(".\links\netoglyc\AGAP028146-PB-netoglyc.txt","0")</f>
        <v>0</v>
      </c>
      <c r="AP22" s="13">
        <v>11.6</v>
      </c>
      <c r="AQ22" s="2">
        <v>3.6</v>
      </c>
      <c r="AR22" s="2">
        <v>2.4</v>
      </c>
      <c r="AS22" s="2" t="s">
        <v>104</v>
      </c>
      <c r="AT22" s="9" t="str">
        <f>HYPERLINK(".\links\NR-LIGHT\AGAP028146-PB-NR-LIGHT.txt","BTB/POZ domain containing protein")</f>
        <v>BTB/POZ domain containing protein</v>
      </c>
      <c r="AU22" s="2" t="str">
        <f>HYPERLINK("http://www.ncbi.nlm.nih.gov/sutils/blink.cgi?pid=ETN62269.1","0.0")</f>
        <v>0.0</v>
      </c>
      <c r="AV22" s="2" t="str">
        <f>HYPERLINK("http://www.ncbi.nlm.nih.gov/protein/ETN62269.1","ETN62269.1")</f>
        <v>ETN62269.1</v>
      </c>
      <c r="AW22" s="2">
        <v>78</v>
      </c>
      <c r="AX22" s="2">
        <v>90</v>
      </c>
      <c r="AY22" s="2">
        <v>97</v>
      </c>
      <c r="AZ22" s="2" t="s">
        <v>360</v>
      </c>
      <c r="BA22" s="9" t="str">
        <f>HYPERLINK(".\links\REFSEQ-INVERTEBRATE\AGAP028146-PB-REFSEQ-INVERTEBRATE.txt","BTB/POZ domain-containing protein 6-like")</f>
        <v>BTB/POZ domain-containing protein 6-like</v>
      </c>
      <c r="BB22" s="2" t="str">
        <f>HYPERLINK("http://www.ncbi.nlm.nih.gov/sutils/blink.cgi?pid=XP_019562710.1","1E-179")</f>
        <v>1E-179</v>
      </c>
      <c r="BC22" s="2" t="str">
        <f>HYPERLINK("http://www.ncbi.nlm.nih.gov/protein/XP_019562710.1","XP_019562710.1")</f>
        <v>XP_019562710.1</v>
      </c>
      <c r="BD22" s="2">
        <v>72</v>
      </c>
      <c r="BE22" s="2">
        <v>85</v>
      </c>
      <c r="BF22" s="2">
        <v>97</v>
      </c>
      <c r="BG22" s="2" t="s">
        <v>361</v>
      </c>
      <c r="BH22" s="9" t="str">
        <f>HYPERLINK(".\links\REFSEQ-PROTOZOA\AGAP028146-PB-REFSEQ-PROTOZOA.txt","hypothetical protein H257_10694")</f>
        <v>hypothetical protein H257_10694</v>
      </c>
      <c r="BI22" s="2" t="str">
        <f>HYPERLINK("http://www.ncbi.nlm.nih.gov/sutils/blink.cgi?pid=XP_009835632.1","1E-010")</f>
        <v>1E-010</v>
      </c>
      <c r="BJ22" s="2" t="str">
        <f>HYPERLINK("http://www.ncbi.nlm.nih.gov/protein/XP_009835632.1","XP_009835632.1")</f>
        <v>XP_009835632.1</v>
      </c>
      <c r="BK22" s="2">
        <v>32</v>
      </c>
      <c r="BL22" s="2">
        <v>46</v>
      </c>
      <c r="BM22" s="2">
        <v>27</v>
      </c>
      <c r="BN22" s="2" t="s">
        <v>362</v>
      </c>
      <c r="BO22" s="9" t="str">
        <f>HYPERLINK(".\links\SWISSP\AGAP028146-PB-SWISSP.txt","Kelch repeat and BTB domain-containing protein 4")</f>
        <v>Kelch repeat and BTB domain-containing protein 4</v>
      </c>
      <c r="BP22" s="2" t="str">
        <f>HYPERLINK("http://www.uniprot.org/uniprot/Q5R4S6","3E-013")</f>
        <v>3E-013</v>
      </c>
      <c r="BQ22" s="2" t="str">
        <f>HYPERLINK("http://www.uniprot.org/uniprot/Q5R4S6#expression","Q5R4S6")</f>
        <v>Q5R4S6</v>
      </c>
      <c r="BR22" s="2">
        <v>28</v>
      </c>
      <c r="BS22" s="2">
        <v>49</v>
      </c>
      <c r="BT22" s="2">
        <v>39</v>
      </c>
      <c r="BU22" s="2" t="s">
        <v>363</v>
      </c>
      <c r="BV22" s="9" t="str">
        <f>HYPERLINK(".\links\FLYBASE\AGAP028146-PB-FLYBASE.txt","FBpp0071683")</f>
        <v>FBpp0071683</v>
      </c>
      <c r="BW22" s="2" t="str">
        <f>HYPERLINK("http://flybase.org/reports/FBgn0034706#alliance_summary_container","5E-49")</f>
        <v>5E-49</v>
      </c>
      <c r="BX22" s="2">
        <v>417</v>
      </c>
      <c r="BY22" s="2">
        <v>29</v>
      </c>
      <c r="BZ22" s="2">
        <v>50</v>
      </c>
      <c r="CA22" s="2">
        <v>99</v>
      </c>
      <c r="CB22" s="9" t="str">
        <f>HYPERLINK(".\links\CDD\AGAP028146-PB-CDD.txt","BTB, BTB/POZ domain")</f>
        <v>BTB, BTB/POZ domain</v>
      </c>
      <c r="CC22" s="15">
        <v>5.0000000000000004E-18</v>
      </c>
      <c r="CD22" s="2">
        <v>100.9</v>
      </c>
      <c r="CE22" s="2" t="s">
        <v>364</v>
      </c>
      <c r="CF22" s="2" t="s">
        <v>365</v>
      </c>
      <c r="CG22" s="9" t="str">
        <f>HYPERLINK(".\links\KOG\AGAP028146-PB-KOG.txt","involved in regulatory/signal transduction processes")</f>
        <v>involved in regulatory/signal transduction processes</v>
      </c>
      <c r="CH22" s="15">
        <v>2.0000000000000001E-18</v>
      </c>
      <c r="CI22" s="2">
        <v>34.9</v>
      </c>
      <c r="CJ22" s="2" t="s">
        <v>366</v>
      </c>
      <c r="CK22" s="2" t="s">
        <v>367</v>
      </c>
      <c r="CL22" s="9" t="str">
        <f>HYPERLINK(".\links\PFAM\AGAP028146-PB-PFAM.txt","BTB, BTB/POZ domain")</f>
        <v>BTB, BTB/POZ domain</v>
      </c>
      <c r="CM22" s="15">
        <v>9.0000000000000003E-19</v>
      </c>
      <c r="CN22" s="2">
        <v>100.9</v>
      </c>
      <c r="CO22" s="2" t="s">
        <v>364</v>
      </c>
      <c r="CP22" s="9" t="str">
        <f>HYPERLINK(".\links\SMART\AGAP028146-PB-SMART.txt","predicts BTB/POZ domains without the beta1- and alpha1-secondary structures")</f>
        <v>predicts BTB/POZ domains without the beta1- and alpha1-secondary structures</v>
      </c>
      <c r="CQ22" s="15">
        <v>2.9999999999999998E-14</v>
      </c>
      <c r="CR22" s="2">
        <v>104.1</v>
      </c>
      <c r="CS22" s="2" t="s">
        <v>368</v>
      </c>
      <c r="CT22" s="2" t="s">
        <v>356</v>
      </c>
      <c r="CU22" s="2" t="s">
        <v>356</v>
      </c>
      <c r="CV22" s="2" t="s">
        <v>356</v>
      </c>
      <c r="CW22" s="2" t="str">
        <f>HYPERLINK(".\links\pep\AGAP028146-PB-pep.txt","AGAP028146-PB")</f>
        <v>AGAP028146-PB</v>
      </c>
      <c r="CX22" s="2" t="s">
        <v>95</v>
      </c>
      <c r="CY22" s="2">
        <v>422</v>
      </c>
      <c r="CZ22" s="2" t="s">
        <v>113</v>
      </c>
      <c r="DA22" s="2" t="s">
        <v>369</v>
      </c>
      <c r="DB22" s="2">
        <v>0</v>
      </c>
      <c r="DC22" s="2">
        <v>1</v>
      </c>
      <c r="DD22" s="2" t="str">
        <f>HYPERLINK("https://www.kegg.jp/kegg-bin/search_pathway_text?map=aga&amp;keyword=AGAP028146&amp;mode=1&amp;viewImage=true","AGAP028146")</f>
        <v>AGAP028146</v>
      </c>
      <c r="DE22" s="2" t="s">
        <v>353</v>
      </c>
      <c r="DF22" s="2" t="s">
        <v>93</v>
      </c>
      <c r="DG22" s="2" t="s">
        <v>94</v>
      </c>
      <c r="DH22" s="2" t="str">
        <f>HYPERLINK("https://vectorbase.org/vectorbase/app/record/gene/AGAP028146","AGAP028146-RB")</f>
        <v>AGAP028146-RB</v>
      </c>
      <c r="DI22" s="2" t="s">
        <v>90</v>
      </c>
      <c r="DJ22" s="2">
        <v>1582</v>
      </c>
      <c r="DK22" s="2" t="str">
        <f>HYPERLINK(".\links\netoglyc\AGAP028146-PB-netoglyc.txt","0")</f>
        <v>0</v>
      </c>
      <c r="DL22" s="2">
        <v>11.6</v>
      </c>
      <c r="DM22" s="2">
        <v>3.6</v>
      </c>
      <c r="DN22" s="2">
        <v>2.4</v>
      </c>
      <c r="DO22" s="2" t="s">
        <v>104</v>
      </c>
      <c r="DP22" s="2" t="s">
        <v>102</v>
      </c>
      <c r="DQ22" s="2" t="str">
        <f>HYPERLINK(".\links\Sigp\AGAP028146-PB-SigP.txt","CYT")</f>
        <v>CYT</v>
      </c>
      <c r="DR22" s="2" t="s">
        <v>102</v>
      </c>
      <c r="DS22" s="2">
        <v>48.643999999999998</v>
      </c>
      <c r="DT22" s="2">
        <v>5.35</v>
      </c>
      <c r="DU22" s="2" t="s">
        <v>102</v>
      </c>
      <c r="DV22" s="2" t="s">
        <v>102</v>
      </c>
      <c r="DW22" s="2" t="s">
        <v>359</v>
      </c>
      <c r="DX22" s="2">
        <v>422</v>
      </c>
      <c r="DY22" s="12">
        <v>0</v>
      </c>
      <c r="DZ22" s="2" t="s">
        <v>102</v>
      </c>
      <c r="EA22" s="2" t="s">
        <v>102</v>
      </c>
      <c r="EB22" s="2" t="s">
        <v>102</v>
      </c>
      <c r="EC22" s="2" t="str">
        <f>HYPERLINK(".\links\gpi\AGAP028146-PB-gpi.txt","N")</f>
        <v>N</v>
      </c>
      <c r="ED22" s="2">
        <v>0.32</v>
      </c>
      <c r="EF22" s="2">
        <v>15</v>
      </c>
      <c r="EG22" s="2" t="s">
        <v>102</v>
      </c>
      <c r="EH22" s="2" t="s">
        <v>102</v>
      </c>
      <c r="EI22" s="2">
        <v>11.6113744075829</v>
      </c>
      <c r="EJ22" s="2">
        <v>2.3696682464454999</v>
      </c>
      <c r="EK22" s="2">
        <v>3.5545023696682501</v>
      </c>
      <c r="EL22" s="2">
        <v>5.9241706161137397</v>
      </c>
      <c r="EM22" s="2" t="s">
        <v>102</v>
      </c>
      <c r="EN22" s="2" t="s">
        <v>102</v>
      </c>
      <c r="EO22" s="2" t="s">
        <v>102</v>
      </c>
      <c r="EP22" s="2" t="s">
        <v>102</v>
      </c>
      <c r="EQ22" s="2" t="s">
        <v>102</v>
      </c>
      <c r="ER22" s="2" t="s">
        <v>102</v>
      </c>
      <c r="ES22" s="2" t="s">
        <v>102</v>
      </c>
      <c r="ET22" s="2" t="str">
        <f>HYPERLINK(".\links\REFSEQ-INVERTEBRATE\AGAP028146-PB-REFSEQ-INVERTEBRATE.txt","uncharacterized protein LOC118504779 isoform X1")</f>
        <v>uncharacterized protein LOC118504779 isoform X1</v>
      </c>
      <c r="EU22" s="2" t="str">
        <f>HYPERLINK("http://www.ncbi.nlm.nih.gov/sutils/blink.cgi?pid=XP_035895612.1","0.0")</f>
        <v>0.0</v>
      </c>
      <c r="EV22" s="2" t="str">
        <f>HYPERLINK("http://www.ncbi.nlm.nih.gov/protein/XP_035895612.1","XP_035895612.1")</f>
        <v>XP_035895612.1</v>
      </c>
      <c r="EW22" s="2">
        <v>86</v>
      </c>
      <c r="EX22" s="2">
        <v>93</v>
      </c>
      <c r="EY22" s="2">
        <v>100</v>
      </c>
      <c r="EZ22" s="2" t="s">
        <v>370</v>
      </c>
    </row>
    <row r="23" spans="1:156" x14ac:dyDescent="0.25">
      <c r="A23" s="2" t="s">
        <v>371</v>
      </c>
      <c r="B23" s="2">
        <v>0.70539942718815396</v>
      </c>
      <c r="C23" s="2">
        <f t="shared" si="0"/>
        <v>1.6305960521222611</v>
      </c>
      <c r="D23" s="2">
        <v>2.6402047760323799</v>
      </c>
      <c r="E23" s="2">
        <v>9.5014270518866493</v>
      </c>
      <c r="F23" s="2">
        <v>2.05312156024035E-3</v>
      </c>
      <c r="G23" s="2">
        <v>4.4170089227744E-2</v>
      </c>
      <c r="H23" s="2" t="s">
        <v>93</v>
      </c>
      <c r="I23" s="2" t="s">
        <v>94</v>
      </c>
      <c r="J23" s="2" t="str">
        <f>HYPERLINK("https://vectorbase.org/vectorbase/app/record/gene/AGAP013004","AGAP013004-RA")</f>
        <v>AGAP013004-RA</v>
      </c>
      <c r="K23" s="2" t="str">
        <f>HYPERLINK(".\links\pep\AGAP013004-PA-pep.txt","AGAP013004-PA")</f>
        <v>AGAP013004-PA</v>
      </c>
      <c r="L23" s="12" t="s">
        <v>95</v>
      </c>
      <c r="M23" s="2">
        <v>177</v>
      </c>
      <c r="N23" s="2">
        <v>0</v>
      </c>
      <c r="O23" s="2">
        <v>0</v>
      </c>
      <c r="P23" s="2" t="s">
        <v>102</v>
      </c>
      <c r="Q23" s="9" t="s">
        <v>372</v>
      </c>
      <c r="R23" s="2" t="s">
        <v>98</v>
      </c>
      <c r="S23" s="2" t="str">
        <f>HYPERLINK(".\links\REFSEQ-INVERTEBRATE\AGAP013004-PA-REFSEQ-INVERTEBRATE.txt","REFSEQ-INVERTEBRATE")</f>
        <v>REFSEQ-INVERTEBRATE</v>
      </c>
      <c r="T23" s="2">
        <v>7.0000000000000006E-61</v>
      </c>
      <c r="V23" s="2" t="s">
        <v>373</v>
      </c>
      <c r="W23" s="10" t="s">
        <v>374</v>
      </c>
      <c r="X23" s="2" t="s">
        <v>98</v>
      </c>
      <c r="Y23" s="2" t="str">
        <f>HYPERLINK(".\links\REFSEQ-INVERTEBRATE\AGAP013004-PA-REFSEQ-INVERTEBRATE.txt","REFSEQ-INVERTEBRATE")</f>
        <v>REFSEQ-INVERTEBRATE</v>
      </c>
      <c r="Z23" s="2">
        <v>0</v>
      </c>
      <c r="AB23" s="13" t="s">
        <v>102</v>
      </c>
      <c r="AC23" s="13" t="str">
        <f>HYPERLINK(".\links\Sigp\AGAP013004-PA-SigP.txt","SIG")</f>
        <v>SIG</v>
      </c>
      <c r="AD23" s="2" t="s">
        <v>375</v>
      </c>
      <c r="AE23" s="2">
        <v>20.393999999999998</v>
      </c>
      <c r="AF23" s="2">
        <v>8</v>
      </c>
      <c r="AG23" s="2">
        <v>17.318999999999999</v>
      </c>
      <c r="AH23" s="2">
        <v>8.0299999999999994</v>
      </c>
      <c r="AI23" s="2" t="s">
        <v>376</v>
      </c>
      <c r="AJ23" s="13" t="str">
        <f>HYPERLINK(".\links\tmhmm\AGAP013004-PA-tmhmm.txt","2")</f>
        <v>2</v>
      </c>
      <c r="AK23" s="2">
        <v>22</v>
      </c>
      <c r="AL23" s="2">
        <v>8.5</v>
      </c>
      <c r="AM23" s="2">
        <v>69.5</v>
      </c>
      <c r="AN23" s="13" t="str">
        <f>HYPERLINK(".\links\gpi\AGAP013004-PA-gpi.txt","N")</f>
        <v>N</v>
      </c>
      <c r="AO23" s="14" t="str">
        <f>HYPERLINK(".\links\netoglyc\AGAP013004-PA-netoglyc.txt","1")</f>
        <v>1</v>
      </c>
      <c r="AP23" s="13">
        <v>14.1</v>
      </c>
      <c r="AQ23" s="2">
        <v>5.0999999999999996</v>
      </c>
      <c r="AR23" s="2">
        <v>5.6</v>
      </c>
      <c r="AS23" s="2" t="s">
        <v>104</v>
      </c>
      <c r="AT23" s="9" t="str">
        <f>HYPERLINK(".\links\NR-LIGHT\AGAP013004-PA-NR-LIGHT.txt","AGAP013004-PA")</f>
        <v>AGAP013004-PA</v>
      </c>
      <c r="AU23" s="2" t="str">
        <f>HYPERLINK("http://www.ncbi.nlm.nih.gov/sutils/blink.cgi?pid=XP_003436680.1","7E-061")</f>
        <v>7E-061</v>
      </c>
      <c r="AV23" s="2" t="str">
        <f>HYPERLINK("http://www.ncbi.nlm.nih.gov/protein/XP_003436680.1","XP_003436680.1")</f>
        <v>XP_003436680.1</v>
      </c>
      <c r="AW23" s="2">
        <v>100</v>
      </c>
      <c r="AX23" s="2">
        <v>100</v>
      </c>
      <c r="AY23" s="2">
        <v>100</v>
      </c>
      <c r="AZ23" s="2" t="s">
        <v>105</v>
      </c>
      <c r="BA23" s="9" t="str">
        <f>HYPERLINK(".\links\REFSEQ-INVERTEBRATE\AGAP013004-PA-REFSEQ-INVERTEBRATE.txt","AGAP013004-PA")</f>
        <v>AGAP013004-PA</v>
      </c>
      <c r="BB23" s="2" t="str">
        <f>HYPERLINK("http://www.ncbi.nlm.nih.gov/sutils/blink.cgi?pid=XP_003436680.1","7E-061")</f>
        <v>7E-061</v>
      </c>
      <c r="BC23" s="2" t="str">
        <f>HYPERLINK("http://www.ncbi.nlm.nih.gov/protein/XP_003436680.1","XP_003436680.1")</f>
        <v>XP_003436680.1</v>
      </c>
      <c r="BD23" s="2">
        <v>100</v>
      </c>
      <c r="BE23" s="2">
        <v>100</v>
      </c>
      <c r="BF23" s="2">
        <v>100</v>
      </c>
      <c r="BG23" s="2" t="s">
        <v>105</v>
      </c>
      <c r="BH23" s="9" t="str">
        <f>HYPERLINK(".\links\REFSEQ-PROTOZOA\AGAP013004-PA-REFSEQ-PROTOZOA.txt","hypothetical protein PGSY75_0710500")</f>
        <v>hypothetical protein PGSY75_0710500</v>
      </c>
      <c r="BI23" s="2" t="str">
        <f>HYPERLINK("http://www.ncbi.nlm.nih.gov/sutils/blink.cgi?pid=XP_018642468.1","1.8")</f>
        <v>1.8</v>
      </c>
      <c r="BJ23" s="2" t="str">
        <f>HYPERLINK("http://www.ncbi.nlm.nih.gov/protein/XP_018642468.1","XP_018642468.1")</f>
        <v>XP_018642468.1</v>
      </c>
      <c r="BK23" s="2">
        <v>28</v>
      </c>
      <c r="BL23" s="2">
        <v>42</v>
      </c>
      <c r="BM23" s="2">
        <v>52</v>
      </c>
      <c r="BN23" s="2" t="s">
        <v>377</v>
      </c>
      <c r="BO23" s="9" t="str">
        <f>HYPERLINK(".\links\SWISSP\AGAP013004-PA-SWISSP.txt","Transcription factor MYB65")</f>
        <v>Transcription factor MYB65</v>
      </c>
      <c r="BP23" s="2" t="str">
        <f>HYPERLINK("http://www.uniprot.org/uniprot/Q9FR97","6.5")</f>
        <v>6.5</v>
      </c>
      <c r="BQ23" s="2" t="str">
        <f>HYPERLINK("http://www.uniprot.org/uniprot/Q9FR97#expression","Q9FR97")</f>
        <v>Q9FR97</v>
      </c>
      <c r="BR23" s="2">
        <v>32</v>
      </c>
      <c r="BS23" s="2">
        <v>40</v>
      </c>
      <c r="BT23" s="2">
        <v>14</v>
      </c>
      <c r="BU23" s="2" t="s">
        <v>280</v>
      </c>
      <c r="BV23" s="9" t="str">
        <f>HYPERLINK(".\links\FLYBASE\AGAP013004-PA-FLYBASE.txt","FBpp0297442")</f>
        <v>FBpp0297442</v>
      </c>
      <c r="BW23" s="2" t="str">
        <f>HYPERLINK("http://flybase.org/reports/FBgn0025865#alliance_summary_container","2.4")</f>
        <v>2.4</v>
      </c>
      <c r="BX23" s="2">
        <v>559</v>
      </c>
      <c r="BY23" s="2">
        <v>27</v>
      </c>
      <c r="BZ23" s="2">
        <v>43</v>
      </c>
      <c r="CA23" s="2">
        <v>17</v>
      </c>
      <c r="CB23" s="9" t="str">
        <f>HYPERLINK(".\links\CDD\AGAP013004-PA-CDD.txt","MATE_like_12, Uncharacterized subfamily of the multidrug and toxic compound extrusion (MATE) proteins")</f>
        <v>MATE_like_12, Uncharacterized subfamily of the multidrug and toxic compound extrusion (MATE) proteins</v>
      </c>
      <c r="CC23" s="15">
        <v>1.3</v>
      </c>
      <c r="CD23" s="2">
        <v>7.4</v>
      </c>
      <c r="CE23" s="2" t="s">
        <v>378</v>
      </c>
      <c r="CF23" s="2" t="s">
        <v>379</v>
      </c>
      <c r="CG23" s="9" t="str">
        <f>HYPERLINK(".\links\KOG\AGAP013004-PA-KOG.txt","Phosphatidylinositol 3-phosphate 3-phosphatase myotubularin MTM1")</f>
        <v>Phosphatidylinositol 3-phosphate 3-phosphatase myotubularin MTM1</v>
      </c>
      <c r="CH23" s="15">
        <v>0.53</v>
      </c>
      <c r="CI23" s="2">
        <v>13.4</v>
      </c>
      <c r="CJ23" s="2" t="s">
        <v>380</v>
      </c>
      <c r="CK23" s="2" t="s">
        <v>381</v>
      </c>
      <c r="CL23" s="9" t="str">
        <f>HYPERLINK(".\links\PFAM\AGAP013004-PA-PFAM.txt","TrbL, TrbL/VirB6 plasmid conjugal transfer protein")</f>
        <v>TrbL, TrbL/VirB6 plasmid conjugal transfer protein</v>
      </c>
      <c r="CM23" s="15">
        <v>0.9</v>
      </c>
      <c r="CN23" s="2">
        <v>14</v>
      </c>
      <c r="CO23" s="2" t="s">
        <v>382</v>
      </c>
      <c r="CP23" s="9" t="str">
        <f>HYPERLINK(".\links\SMART\AGAP013004-PA-SMART.txt","MYSc, Myosin")</f>
        <v>MYSc, Myosin</v>
      </c>
      <c r="CQ23" s="15">
        <v>0.17</v>
      </c>
      <c r="CR23" s="2">
        <v>2.7</v>
      </c>
      <c r="CS23" s="2" t="s">
        <v>383</v>
      </c>
      <c r="CT23" s="2" t="s">
        <v>373</v>
      </c>
      <c r="CU23" s="2" t="s">
        <v>373</v>
      </c>
      <c r="CV23" s="2" t="s">
        <v>373</v>
      </c>
      <c r="CW23" s="2" t="str">
        <f>HYPERLINK(".\links\pep\AGAP013004-PA-pep.txt","AGAP013004-PA")</f>
        <v>AGAP013004-PA</v>
      </c>
      <c r="CX23" s="2" t="s">
        <v>95</v>
      </c>
      <c r="CY23" s="2">
        <v>177</v>
      </c>
      <c r="CZ23" s="2" t="s">
        <v>113</v>
      </c>
      <c r="DA23" s="2" t="s">
        <v>384</v>
      </c>
      <c r="DB23" s="2">
        <v>0</v>
      </c>
      <c r="DC23" s="2">
        <v>0</v>
      </c>
      <c r="DD23" s="2" t="str">
        <f>HYPERLINK("https://www.kegg.jp/kegg-bin/search_pathway_text?map=aga&amp;keyword=AGAP013004&amp;mode=1&amp;viewImage=true","AGAP013004")</f>
        <v>AGAP013004</v>
      </c>
      <c r="DE23" s="2" t="s">
        <v>371</v>
      </c>
      <c r="DF23" s="2" t="s">
        <v>93</v>
      </c>
      <c r="DG23" s="2" t="s">
        <v>94</v>
      </c>
      <c r="DH23" s="2" t="str">
        <f>HYPERLINK("https://vectorbase.org/vectorbase/app/record/gene/AGAP013004","AGAP013004-RA")</f>
        <v>AGAP013004-RA</v>
      </c>
      <c r="DI23" s="2" t="s">
        <v>118</v>
      </c>
      <c r="DJ23" s="2">
        <v>2636</v>
      </c>
      <c r="DK23" s="2" t="str">
        <f>HYPERLINK(".\links\netoglyc\AGAP013004-PA-netoglyc.txt","1")</f>
        <v>1</v>
      </c>
      <c r="DL23" s="2">
        <v>14.1</v>
      </c>
      <c r="DM23" s="2">
        <v>5.0999999999999996</v>
      </c>
      <c r="DN23" s="2">
        <v>5.6</v>
      </c>
      <c r="DO23" s="2" t="s">
        <v>104</v>
      </c>
      <c r="DP23" s="2" t="s">
        <v>102</v>
      </c>
      <c r="DQ23" s="2" t="str">
        <f>HYPERLINK(".\links\Sigp\AGAP013004-PA-SigP.txt","SIG")</f>
        <v>SIG</v>
      </c>
      <c r="DR23" s="2" t="s">
        <v>375</v>
      </c>
      <c r="DS23" s="2">
        <v>20.393999999999998</v>
      </c>
      <c r="DT23" s="2">
        <v>8</v>
      </c>
      <c r="DU23" s="2">
        <v>17.318999999999999</v>
      </c>
      <c r="DV23" s="2">
        <v>8.0299999999999994</v>
      </c>
      <c r="DW23" s="2" t="s">
        <v>376</v>
      </c>
      <c r="DX23" s="2">
        <v>177</v>
      </c>
      <c r="DY23" s="12" t="str">
        <f>HYPERLINK(".\links\tmhmm\AGAP013004-PA-tmhmm.txt","2")</f>
        <v>2</v>
      </c>
      <c r="DZ23" s="2">
        <v>22</v>
      </c>
      <c r="EA23" s="2">
        <v>8.5</v>
      </c>
      <c r="EB23" s="2">
        <v>69.5</v>
      </c>
      <c r="EC23" s="2" t="str">
        <f>HYPERLINK(".\links\gpi\AGAP013004-PA-gpi.txt","N")</f>
        <v>N</v>
      </c>
      <c r="ED23" s="2">
        <v>0.34</v>
      </c>
      <c r="EF23" s="2">
        <v>0</v>
      </c>
      <c r="EG23" s="2" t="s">
        <v>102</v>
      </c>
      <c r="EH23" s="2" t="s">
        <v>102</v>
      </c>
      <c r="EI23" s="2">
        <v>14.1242937853107</v>
      </c>
      <c r="EJ23" s="2">
        <v>5.6497175141242897</v>
      </c>
      <c r="EK23" s="2">
        <v>5.0847457627118597</v>
      </c>
      <c r="EL23" s="2">
        <v>10.7344632768362</v>
      </c>
      <c r="EM23" s="2" t="s">
        <v>102</v>
      </c>
      <c r="EN23" s="2" t="s">
        <v>102</v>
      </c>
      <c r="EO23" s="2" t="s">
        <v>102</v>
      </c>
      <c r="EP23" s="2" t="s">
        <v>102</v>
      </c>
      <c r="EQ23" s="2" t="s">
        <v>102</v>
      </c>
      <c r="ER23" s="2" t="s">
        <v>102</v>
      </c>
      <c r="ES23" s="2" t="s">
        <v>102</v>
      </c>
      <c r="ET23" s="2" t="str">
        <f>HYPERLINK(".\links\REFSEQ-INVERTEBRATE\AGAP013004-PA-REFSEQ-INVERTEBRATE.txt","uncharacterized protein LOC118507014")</f>
        <v>uncharacterized protein LOC118507014</v>
      </c>
      <c r="EU23" s="2" t="str">
        <f>HYPERLINK("http://www.ncbi.nlm.nih.gov/sutils/blink.cgi?pid=XP_035900843.1","2E-90")</f>
        <v>2E-90</v>
      </c>
      <c r="EV23" s="2" t="str">
        <f>HYPERLINK("http://www.ncbi.nlm.nih.gov/protein/XP_035900843.1","XP_035900843.1")</f>
        <v>XP_035900843.1</v>
      </c>
      <c r="EW23" s="2">
        <v>75</v>
      </c>
      <c r="EX23" s="2">
        <v>87</v>
      </c>
      <c r="EY23" s="2">
        <v>101</v>
      </c>
      <c r="EZ23" s="2" t="s">
        <v>370</v>
      </c>
    </row>
    <row r="24" spans="1:156" x14ac:dyDescent="0.25">
      <c r="A24" s="2" t="s">
        <v>385</v>
      </c>
      <c r="B24" s="2">
        <v>0.66475148103332204</v>
      </c>
      <c r="C24" s="2">
        <f t="shared" si="0"/>
        <v>1.5852951664027004</v>
      </c>
      <c r="D24" s="2">
        <v>4.95307280050055</v>
      </c>
      <c r="E24" s="2">
        <v>11.0880333469484</v>
      </c>
      <c r="F24" s="2">
        <v>8.6886580674986399E-4</v>
      </c>
      <c r="G24" s="2">
        <v>3.0356607143661E-2</v>
      </c>
      <c r="H24" s="2" t="s">
        <v>386</v>
      </c>
      <c r="I24" s="2" t="s">
        <v>102</v>
      </c>
      <c r="J24" s="2" t="str">
        <f>HYPERLINK("https://vectorbase.org/vectorbase/app/record/gene/AGAP005023","AGAP005023-RA")</f>
        <v>AGAP005023-RA</v>
      </c>
      <c r="K24" s="2" t="str">
        <f>HYPERLINK(".\links\pep\AGAP005023-PA-pep.txt","AGAP005023-PA")</f>
        <v>AGAP005023-PA</v>
      </c>
      <c r="L24" s="12" t="s">
        <v>95</v>
      </c>
      <c r="M24" s="2">
        <v>103</v>
      </c>
      <c r="N24" s="2">
        <v>0</v>
      </c>
      <c r="O24" s="2">
        <v>0</v>
      </c>
      <c r="P24" s="2" t="s">
        <v>387</v>
      </c>
      <c r="Q24" s="9" t="s">
        <v>387</v>
      </c>
      <c r="R24" s="2" t="s">
        <v>388</v>
      </c>
      <c r="S24" s="2" t="str">
        <f>HYPERLINK(".\links\KOG\AGAP005023-PA-KOG.txt","KOG")</f>
        <v>KOG</v>
      </c>
      <c r="T24" s="2">
        <v>8E-41</v>
      </c>
      <c r="U24" s="2">
        <v>100</v>
      </c>
      <c r="V24" s="2" t="s">
        <v>389</v>
      </c>
      <c r="W24" s="10" t="s">
        <v>390</v>
      </c>
      <c r="X24" s="2" t="s">
        <v>388</v>
      </c>
      <c r="Y24" s="2" t="str">
        <f>HYPERLINK(".\links\KOG\AGAP005023-PA-KOG.txt","KOG")</f>
        <v>KOG</v>
      </c>
      <c r="Z24" s="15">
        <v>9.0000000000000002E-69</v>
      </c>
      <c r="AA24" s="2">
        <v>100</v>
      </c>
      <c r="AB24" s="13" t="s">
        <v>102</v>
      </c>
      <c r="AC24" s="13" t="str">
        <f>HYPERLINK(".\links\Sigp\AGAP005023-PA-SigP.txt","CYT")</f>
        <v>CYT</v>
      </c>
      <c r="AD24" s="2" t="s">
        <v>102</v>
      </c>
      <c r="AE24" s="2">
        <v>11.414999999999999</v>
      </c>
      <c r="AF24" s="2">
        <v>11.36</v>
      </c>
      <c r="AG24" s="2" t="s">
        <v>102</v>
      </c>
      <c r="AH24" s="2" t="s">
        <v>102</v>
      </c>
      <c r="AI24" s="2" t="s">
        <v>211</v>
      </c>
      <c r="AJ24" s="13">
        <v>0</v>
      </c>
      <c r="AK24" s="2" t="s">
        <v>102</v>
      </c>
      <c r="AL24" s="2" t="s">
        <v>102</v>
      </c>
      <c r="AM24" s="2" t="s">
        <v>102</v>
      </c>
      <c r="AN24" s="13" t="str">
        <f>HYPERLINK(".\links\gpi\AGAP005023-PA-gpi.txt","N")</f>
        <v>N</v>
      </c>
      <c r="AO24" s="14" t="str">
        <f>HYPERLINK(".\links\netoglyc\AGAP005023-PA-netoglyc.txt","0")</f>
        <v>0</v>
      </c>
      <c r="AP24" s="13">
        <v>8.6999999999999993</v>
      </c>
      <c r="AQ24" s="2">
        <v>16.5</v>
      </c>
      <c r="AR24" s="2">
        <v>1</v>
      </c>
      <c r="AS24" s="2" t="s">
        <v>104</v>
      </c>
      <c r="AT24" s="9" t="str">
        <f>HYPERLINK(".\links\NR-LIGHT\AGAP005023-PA-NR-LIGHT.txt","uncharacterized protein LOC110678230")</f>
        <v>uncharacterized protein LOC110678230</v>
      </c>
      <c r="AU24" s="2" t="str">
        <f>HYPERLINK("http://www.ncbi.nlm.nih.gov/sutils/blink.cgi?pid=XP_021706541.1","4E-052")</f>
        <v>4E-052</v>
      </c>
      <c r="AV24" s="2" t="str">
        <f>HYPERLINK("http://www.ncbi.nlm.nih.gov/protein/XP_021706541.1","XP_021706541.1")</f>
        <v>XP_021706541.1</v>
      </c>
      <c r="AW24" s="2">
        <v>100</v>
      </c>
      <c r="AX24" s="2">
        <v>100</v>
      </c>
      <c r="AY24" s="2">
        <v>48</v>
      </c>
      <c r="AZ24" s="2" t="s">
        <v>391</v>
      </c>
      <c r="BA24" s="9" t="str">
        <f>HYPERLINK(".\links\REFSEQ-INVERTEBRATE\AGAP005023-PA-REFSEQ-INVERTEBRATE.txt","histone H4")</f>
        <v>histone H4</v>
      </c>
      <c r="BB24" s="2" t="str">
        <f>HYPERLINK("http://www.ncbi.nlm.nih.gov/sutils/blink.cgi?pid=XP_004934168.1","4E-052")</f>
        <v>4E-052</v>
      </c>
      <c r="BC24" s="2" t="str">
        <f>HYPERLINK("http://www.ncbi.nlm.nih.gov/protein/XP_004934168.1","XP_004934168.1")</f>
        <v>XP_004934168.1</v>
      </c>
      <c r="BD24" s="2">
        <v>100</v>
      </c>
      <c r="BE24" s="2">
        <v>100</v>
      </c>
      <c r="BF24" s="2">
        <v>100</v>
      </c>
      <c r="BG24" s="2" t="s">
        <v>392</v>
      </c>
      <c r="BH24" s="9" t="str">
        <f>HYPERLINK(".\links\REFSEQ-PROTOZOA\AGAP005023-PA-REFSEQ-PROTOZOA.txt","histone H4")</f>
        <v>histone H4</v>
      </c>
      <c r="BI24" s="2" t="str">
        <f>HYPERLINK("http://www.ncbi.nlm.nih.gov/sutils/blink.cgi?pid=XP_014153277.1","1E-052")</f>
        <v>1E-052</v>
      </c>
      <c r="BJ24" s="2" t="str">
        <f>HYPERLINK("http://www.ncbi.nlm.nih.gov/protein/XP_014153277.1","XP_014153277.1")</f>
        <v>XP_014153277.1</v>
      </c>
      <c r="BK24" s="2">
        <v>98</v>
      </c>
      <c r="BL24" s="2">
        <v>100</v>
      </c>
      <c r="BM24" s="2">
        <v>100</v>
      </c>
      <c r="BN24" s="2" t="s">
        <v>393</v>
      </c>
      <c r="BO24" s="9" t="str">
        <f>HYPERLINK(".\links\SWISSP\AGAP005023-PA-SWISSP.txt","Histone H4")</f>
        <v>Histone H4</v>
      </c>
      <c r="BP24" s="2" t="str">
        <f>HYPERLINK("http://www.uniprot.org/uniprot/P84045","4E-053")</f>
        <v>4E-053</v>
      </c>
      <c r="BQ24" s="2" t="str">
        <f>HYPERLINK("http://www.uniprot.org/uniprot/P84045#expression","P84045")</f>
        <v>P84045</v>
      </c>
      <c r="BR24" s="2">
        <v>100</v>
      </c>
      <c r="BS24" s="2">
        <v>100</v>
      </c>
      <c r="BT24" s="2">
        <v>100</v>
      </c>
      <c r="BU24" s="2" t="s">
        <v>394</v>
      </c>
      <c r="BV24" s="9" t="str">
        <f>HYPERLINK(".\links\FLYBASE\AGAP005023-PA-FLYBASE.txt","FBpp0091154")</f>
        <v>FBpp0091154</v>
      </c>
      <c r="BW24" s="2" t="str">
        <f>HYPERLINK("http://flybase.org/reports/FBgn0053909#alliance_summary_container","3E-68")</f>
        <v>3E-68</v>
      </c>
      <c r="BX24" s="2">
        <v>103</v>
      </c>
      <c r="BY24" s="2">
        <v>100</v>
      </c>
      <c r="BZ24" s="2">
        <v>100</v>
      </c>
      <c r="CA24" s="2">
        <v>100</v>
      </c>
      <c r="CB24" s="9" t="str">
        <f>HYPERLINK(".\links\CDD\AGAP005023-PA-CDD.txt","PLN00035, histone H4")</f>
        <v>PLN00035, histone H4</v>
      </c>
      <c r="CC24" s="15">
        <v>1.9999999999999999E-40</v>
      </c>
      <c r="CD24" s="2">
        <v>100</v>
      </c>
      <c r="CE24" s="2" t="s">
        <v>395</v>
      </c>
      <c r="CF24" s="2" t="s">
        <v>396</v>
      </c>
      <c r="CG24" s="9" t="str">
        <f>HYPERLINK(".\links\KOG\AGAP005023-PA-KOG.txt","Histone H4")</f>
        <v>Histone H4</v>
      </c>
      <c r="CH24" s="15">
        <v>8E-41</v>
      </c>
      <c r="CI24" s="2">
        <v>100</v>
      </c>
      <c r="CJ24" s="2" t="s">
        <v>397</v>
      </c>
      <c r="CK24" s="2" t="s">
        <v>398</v>
      </c>
      <c r="CL24" s="9" t="str">
        <f>HYPERLINK(".\links\PFAM\AGAP005023-PA-PFAM.txt","CENP-T_C, Centromere kinetochore component CENP-T histone fold")</f>
        <v>CENP-T_C, Centromere kinetochore component CENP-T histone fold</v>
      </c>
      <c r="CM24" s="15">
        <v>1E-4</v>
      </c>
      <c r="CN24" s="2">
        <v>65.7</v>
      </c>
      <c r="CO24" s="2" t="s">
        <v>399</v>
      </c>
      <c r="CP24" s="9" t="str">
        <f>HYPERLINK(".\links\SMART\AGAP005023-PA-SMART.txt","H4, Histone H4")</f>
        <v>H4, Histone H4</v>
      </c>
      <c r="CQ24" s="15">
        <v>3E-32</v>
      </c>
      <c r="CR24" s="2">
        <v>100</v>
      </c>
      <c r="CS24" s="2" t="s">
        <v>400</v>
      </c>
      <c r="CT24" s="2" t="s">
        <v>389</v>
      </c>
      <c r="CU24" s="2" t="s">
        <v>389</v>
      </c>
      <c r="CV24" s="2" t="s">
        <v>389</v>
      </c>
      <c r="CW24" s="2" t="str">
        <f>HYPERLINK(".\links\pep\AGAP005023-PA-pep.txt","AGAP005023-PA")</f>
        <v>AGAP005023-PA</v>
      </c>
      <c r="CX24" s="2" t="s">
        <v>95</v>
      </c>
      <c r="CY24" s="2">
        <v>103</v>
      </c>
      <c r="CZ24" s="2" t="s">
        <v>113</v>
      </c>
      <c r="DA24" s="2">
        <v>0</v>
      </c>
      <c r="DB24" s="2">
        <v>0</v>
      </c>
      <c r="DD24" s="2" t="str">
        <f>HYPERLINK("https://www.kegg.jp/kegg-bin/search_pathway_text?map=aga&amp;keyword=AGAP005023&amp;mode=1&amp;viewImage=true","AGAP005023")</f>
        <v>AGAP005023</v>
      </c>
      <c r="DE24" s="2" t="s">
        <v>385</v>
      </c>
      <c r="DF24" s="2" t="s">
        <v>386</v>
      </c>
      <c r="DG24" s="2" t="s">
        <v>102</v>
      </c>
      <c r="DH24" s="2" t="str">
        <f>HYPERLINK("https://vectorbase.org/vectorbase/app/record/gene/AGAP005023","AGAP005023-RA")</f>
        <v>AGAP005023-RA</v>
      </c>
      <c r="DI24" s="2" t="s">
        <v>135</v>
      </c>
      <c r="DJ24" s="2">
        <v>312</v>
      </c>
      <c r="DK24" s="2" t="str">
        <f>HYPERLINK(".\links\netoglyc\AGAP005023-PA-netoglyc.txt","0")</f>
        <v>0</v>
      </c>
      <c r="DL24" s="2">
        <v>8.6999999999999993</v>
      </c>
      <c r="DM24" s="2">
        <v>16.5</v>
      </c>
      <c r="DN24" s="2">
        <v>1</v>
      </c>
      <c r="DO24" s="2" t="s">
        <v>104</v>
      </c>
      <c r="DP24" s="2" t="s">
        <v>102</v>
      </c>
      <c r="DQ24" s="2" t="str">
        <f>HYPERLINK(".\links\Sigp\AGAP005023-PA-SigP.txt","CYT")</f>
        <v>CYT</v>
      </c>
      <c r="DR24" s="2" t="s">
        <v>102</v>
      </c>
      <c r="DS24" s="2">
        <v>11.414999999999999</v>
      </c>
      <c r="DT24" s="2">
        <v>11.36</v>
      </c>
      <c r="DU24" s="2" t="s">
        <v>102</v>
      </c>
      <c r="DV24" s="2" t="s">
        <v>102</v>
      </c>
      <c r="DW24" s="2" t="s">
        <v>211</v>
      </c>
      <c r="DX24" s="2">
        <v>103</v>
      </c>
      <c r="DY24" s="12">
        <v>0</v>
      </c>
      <c r="DZ24" s="2" t="s">
        <v>102</v>
      </c>
      <c r="EA24" s="2" t="s">
        <v>102</v>
      </c>
      <c r="EB24" s="2" t="s">
        <v>102</v>
      </c>
      <c r="EC24" s="2" t="str">
        <f>HYPERLINK(".\links\gpi\AGAP005023-PA-gpi.txt","N")</f>
        <v>N</v>
      </c>
      <c r="ED24" s="2">
        <v>0.59</v>
      </c>
      <c r="EF24" s="2">
        <v>0</v>
      </c>
      <c r="EG24" s="2" t="s">
        <v>102</v>
      </c>
      <c r="EH24" s="2" t="s">
        <v>102</v>
      </c>
      <c r="EI24" s="2">
        <v>8.7378640776699008</v>
      </c>
      <c r="EJ24" s="2">
        <v>0.970873786407767</v>
      </c>
      <c r="EK24" s="2">
        <v>16.504854368932001</v>
      </c>
      <c r="EL24" s="2">
        <v>17.475728155339802</v>
      </c>
      <c r="EM24" s="2" t="s">
        <v>102</v>
      </c>
      <c r="EN24" s="2">
        <v>3</v>
      </c>
      <c r="EO24" s="2">
        <v>3</v>
      </c>
      <c r="EP24" s="2" t="s">
        <v>102</v>
      </c>
      <c r="EQ24" s="2" t="s">
        <v>102</v>
      </c>
      <c r="ER24" s="2" t="s">
        <v>102</v>
      </c>
      <c r="ES24" s="2" t="s">
        <v>102</v>
      </c>
      <c r="ET24" s="2" t="str">
        <f>HYPERLINK(".\links\REFSEQ-INVERTEBRATE\AGAP005023-PA-REFSEQ-INVERTEBRATE.txt","histone H4")</f>
        <v>histone H4</v>
      </c>
      <c r="EU24" s="2" t="str">
        <f>HYPERLINK("http://www.ncbi.nlm.nih.gov/sutils/blink.cgi?pid=XP_026499496.1","6E-66")</f>
        <v>6E-66</v>
      </c>
      <c r="EV24" s="2" t="str">
        <f>HYPERLINK("http://www.ncbi.nlm.nih.gov/protein/XP_026499496.1","XP_026499496.1")</f>
        <v>XP_026499496.1</v>
      </c>
      <c r="EW24" s="2">
        <v>100</v>
      </c>
      <c r="EX24" s="2">
        <v>100</v>
      </c>
      <c r="EY24" s="2">
        <v>100</v>
      </c>
      <c r="EZ24" s="2" t="s">
        <v>401</v>
      </c>
    </row>
    <row r="25" spans="1:156" x14ac:dyDescent="0.25">
      <c r="A25" s="2" t="s">
        <v>402</v>
      </c>
      <c r="B25" s="2">
        <v>0.65921368503937305</v>
      </c>
      <c r="C25" s="2">
        <f t="shared" si="0"/>
        <v>1.5792216627842985</v>
      </c>
      <c r="D25" s="2">
        <v>5.2415443761722003</v>
      </c>
      <c r="E25" s="2">
        <v>10.337089537775</v>
      </c>
      <c r="F25" s="2">
        <v>1.3038343824461601E-3</v>
      </c>
      <c r="G25" s="2">
        <v>3.6362353555672799E-2</v>
      </c>
      <c r="H25" s="2" t="s">
        <v>403</v>
      </c>
      <c r="I25" s="2" t="s">
        <v>94</v>
      </c>
      <c r="J25" s="2" t="str">
        <f>HYPERLINK("https://vectorbase.org/vectorbase/app/record/gene/AGAP005988","AGAP005988-RA")</f>
        <v>AGAP005988-RA</v>
      </c>
      <c r="K25" s="2" t="str">
        <f>HYPERLINK(".\links\pep\AGAP005988-PA-pep.txt","AGAP005988-PA")</f>
        <v>AGAP005988-PA</v>
      </c>
      <c r="L25" s="12" t="s">
        <v>95</v>
      </c>
      <c r="M25" s="2">
        <v>627</v>
      </c>
      <c r="N25" s="2">
        <v>0</v>
      </c>
      <c r="O25" s="2">
        <v>0</v>
      </c>
      <c r="P25" s="2" t="s">
        <v>404</v>
      </c>
      <c r="Q25" s="9" t="s">
        <v>405</v>
      </c>
      <c r="R25" s="2" t="s">
        <v>167</v>
      </c>
      <c r="S25" s="2" t="str">
        <f>HYPERLINK(".\links\KOG\AGAP005988-PA-KOG.txt","KOG")</f>
        <v>KOG</v>
      </c>
      <c r="T25" s="2">
        <v>0</v>
      </c>
      <c r="U25" s="2">
        <v>83</v>
      </c>
      <c r="V25" s="2" t="s">
        <v>406</v>
      </c>
      <c r="W25" s="10" t="s">
        <v>166</v>
      </c>
      <c r="X25" s="2" t="s">
        <v>276</v>
      </c>
      <c r="Y25" s="2" t="str">
        <f>HYPERLINK(".\links\COG\AGAP005988-PA-COG.txt","COG")</f>
        <v>COG</v>
      </c>
      <c r="Z25" s="15">
        <v>0</v>
      </c>
      <c r="AA25" s="2">
        <v>100.7</v>
      </c>
      <c r="AB25" s="13" t="str">
        <f>HYPERLINK(".\links\pep\AGAP005988-PA-sulf.txt","2")</f>
        <v>2</v>
      </c>
      <c r="AC25" s="13" t="str">
        <f>HYPERLINK(".\links\Sigp\AGAP005988-PA-SigP.txt","CYT")</f>
        <v>CYT</v>
      </c>
      <c r="AD25" s="2" t="s">
        <v>102</v>
      </c>
      <c r="AE25" s="2">
        <v>68.387</v>
      </c>
      <c r="AF25" s="2">
        <v>5.52</v>
      </c>
      <c r="AG25" s="2" t="s">
        <v>102</v>
      </c>
      <c r="AH25" s="2" t="s">
        <v>102</v>
      </c>
      <c r="AI25" s="2" t="s">
        <v>407</v>
      </c>
      <c r="AJ25" s="13" t="str">
        <f>HYPERLINK(".\links\tmhmm\AGAP005988-PA-tmhmm.txt","12")</f>
        <v>12</v>
      </c>
      <c r="AK25" s="2">
        <v>39.4</v>
      </c>
      <c r="AL25" s="2">
        <v>21.2</v>
      </c>
      <c r="AM25" s="2">
        <v>39.4</v>
      </c>
      <c r="AN25" s="13" t="str">
        <f>HYPERLINK(".\links\gpi\AGAP005988-PA-gpi.txt","N")</f>
        <v>N</v>
      </c>
      <c r="AO25" s="14" t="str">
        <f>HYPERLINK(".\links\netoglyc\AGAP005988-PA-netoglyc.txt","1")</f>
        <v>1</v>
      </c>
      <c r="AP25" s="13">
        <v>13.6</v>
      </c>
      <c r="AQ25" s="2">
        <v>9.6</v>
      </c>
      <c r="AR25" s="2">
        <v>3.5</v>
      </c>
      <c r="AS25" s="2" t="s">
        <v>104</v>
      </c>
      <c r="AT25" s="9" t="str">
        <f>HYPERLINK(".\links\NR-LIGHT\AGAP005988-PA-NR-LIGHT.txt","AGAP005988-PA, partial")</f>
        <v>AGAP005988-PA, partial</v>
      </c>
      <c r="AU25" s="2" t="str">
        <f>HYPERLINK("http://www.ncbi.nlm.nih.gov/sutils/blink.cgi?pid=XP_316031.4","0.0")</f>
        <v>0.0</v>
      </c>
      <c r="AV25" s="2" t="str">
        <f>HYPERLINK("http://www.ncbi.nlm.nih.gov/protein/XP_316031.4","XP_316031.4")</f>
        <v>XP_316031.4</v>
      </c>
      <c r="AW25" s="2">
        <v>98</v>
      </c>
      <c r="AX25" s="2">
        <v>98</v>
      </c>
      <c r="AY25" s="2">
        <v>100</v>
      </c>
      <c r="AZ25" s="2" t="s">
        <v>105</v>
      </c>
      <c r="BA25" s="9" t="str">
        <f>HYPERLINK(".\links\REFSEQ-INVERTEBRATE\AGAP005988-PA-REFSEQ-INVERTEBRATE.txt","AGAP005988-PA, partial")</f>
        <v>AGAP005988-PA, partial</v>
      </c>
      <c r="BB25" s="2" t="str">
        <f>HYPERLINK("http://www.ncbi.nlm.nih.gov/sutils/blink.cgi?pid=XP_316031.4","0.0")</f>
        <v>0.0</v>
      </c>
      <c r="BC25" s="2" t="str">
        <f>HYPERLINK("http://www.ncbi.nlm.nih.gov/protein/XP_316031.4","XP_316031.4")</f>
        <v>XP_316031.4</v>
      </c>
      <c r="BD25" s="2">
        <v>98</v>
      </c>
      <c r="BE25" s="2">
        <v>98</v>
      </c>
      <c r="BF25" s="2">
        <v>100</v>
      </c>
      <c r="BG25" s="2" t="s">
        <v>105</v>
      </c>
      <c r="BH25" s="9" t="str">
        <f>HYPERLINK(".\links\REFSEQ-PROTOZOA\AGAP005988-PA-REFSEQ-PROTOZOA.txt","hypothetical protein SARC_07245")</f>
        <v>hypothetical protein SARC_07245</v>
      </c>
      <c r="BI25" s="2" t="str">
        <f>HYPERLINK("http://www.ncbi.nlm.nih.gov/sutils/blink.cgi?pid=XP_014154290.1","3E-094")</f>
        <v>3E-094</v>
      </c>
      <c r="BJ25" s="2" t="str">
        <f>HYPERLINK("http://www.ncbi.nlm.nih.gov/protein/XP_014154290.1","XP_014154290.1")</f>
        <v>XP_014154290.1</v>
      </c>
      <c r="BK25" s="2">
        <v>36</v>
      </c>
      <c r="BL25" s="2">
        <v>57</v>
      </c>
      <c r="BM25" s="2">
        <v>95</v>
      </c>
      <c r="BN25" s="2" t="s">
        <v>393</v>
      </c>
      <c r="BO25" s="9" t="str">
        <f>HYPERLINK(".\links\SWISSP\AGAP005988-PA-SWISSP.txt","Solute carrier family 28 member 3")</f>
        <v>Solute carrier family 28 member 3</v>
      </c>
      <c r="BP25" s="2" t="str">
        <f>HYPERLINK("http://www.uniprot.org/uniprot/Q9UA35","1E-109")</f>
        <v>1E-109</v>
      </c>
      <c r="BQ25" s="2" t="str">
        <f>HYPERLINK("http://www.uniprot.org/uniprot/Q9UA35#expression","Q9UA35")</f>
        <v>Q9UA35</v>
      </c>
      <c r="BR25" s="2">
        <v>39</v>
      </c>
      <c r="BS25" s="2">
        <v>60</v>
      </c>
      <c r="BT25" s="2">
        <v>81</v>
      </c>
      <c r="BU25" s="2" t="s">
        <v>408</v>
      </c>
      <c r="BV25" s="9" t="str">
        <f>HYPERLINK(".\links\FLYBASE\AGAP005988-PA-FLYBASE.txt","FBpp0089108")</f>
        <v>FBpp0089108</v>
      </c>
      <c r="BW25" s="2" t="str">
        <f>HYPERLINK("http://flybase.org/reports/FBgn0025709#alliance_summary_container","0.0")</f>
        <v>0.0</v>
      </c>
      <c r="BX25" s="2">
        <v>603</v>
      </c>
      <c r="BY25" s="2">
        <v>55</v>
      </c>
      <c r="BZ25" s="2">
        <v>72</v>
      </c>
      <c r="CA25" s="2">
        <v>95</v>
      </c>
      <c r="CB25" s="9" t="str">
        <f>HYPERLINK(".\links\CDD\AGAP005988-PA-CDD.txt","Purine_nucleoside_transport_protein_NupG, nucleoside transporter")</f>
        <v>Purine_nucleoside_transport_protein_NupG, nucleoside transporter</v>
      </c>
      <c r="CC25" s="15">
        <v>9.9999999999999998E-121</v>
      </c>
      <c r="CD25" s="2">
        <v>101</v>
      </c>
      <c r="CE25" s="2" t="s">
        <v>409</v>
      </c>
      <c r="CF25" s="2" t="s">
        <v>410</v>
      </c>
      <c r="CG25" s="9" t="str">
        <f>HYPERLINK(".\links\KOG\AGAP005988-PA-KOG.txt","Concentrative Na+-nucleoside cotransporter CNT1/CNT2")</f>
        <v>Concentrative Na+-nucleoside cotransporter CNT1/CNT2</v>
      </c>
      <c r="CH25" s="15">
        <v>1E-175</v>
      </c>
      <c r="CI25" s="2">
        <v>83.1</v>
      </c>
      <c r="CJ25" s="2" t="s">
        <v>411</v>
      </c>
      <c r="CK25" s="2" t="s">
        <v>412</v>
      </c>
      <c r="CL25" s="9" t="str">
        <f>HYPERLINK(".\links\PFAM\AGAP005988-PA-PFAM.txt","Nucleos_tra2_C, Na+ dependent nucleoside transporter C-terminus")</f>
        <v>Nucleos_tra2_C, Na+ dependent nucleoside transporter C-terminus</v>
      </c>
      <c r="CM25" s="15">
        <v>1.9999999999999999E-76</v>
      </c>
      <c r="CN25" s="2">
        <v>106.1</v>
      </c>
      <c r="CO25" s="2" t="s">
        <v>413</v>
      </c>
      <c r="CP25" s="9" t="str">
        <f>HYPERLINK(".\links\SMART\AGAP005988-PA-SMART.txt","Gp_dh_N, Glyceraldehyde 3-phosphate dehydrogenase, NAD binding domain")</f>
        <v>Gp_dh_N, Glyceraldehyde 3-phosphate dehydrogenase, NAD binding domain</v>
      </c>
      <c r="CQ25" s="15">
        <v>5.2</v>
      </c>
      <c r="CR25" s="2">
        <v>6.7</v>
      </c>
      <c r="CS25" s="2" t="s">
        <v>414</v>
      </c>
      <c r="CT25" s="2" t="s">
        <v>406</v>
      </c>
      <c r="CU25" s="2" t="s">
        <v>406</v>
      </c>
      <c r="CV25" s="2" t="s">
        <v>406</v>
      </c>
      <c r="CW25" s="2" t="str">
        <f>HYPERLINK(".\links\pep\AGAP005988-PA-pep.txt","AGAP005988-PA")</f>
        <v>AGAP005988-PA</v>
      </c>
      <c r="CX25" s="2" t="s">
        <v>95</v>
      </c>
      <c r="CY25" s="2">
        <v>627</v>
      </c>
      <c r="CZ25" s="2" t="s">
        <v>113</v>
      </c>
      <c r="DA25" s="2" t="s">
        <v>415</v>
      </c>
      <c r="DB25" s="2">
        <v>0</v>
      </c>
      <c r="DC25" s="2">
        <v>0</v>
      </c>
      <c r="DD25" s="2" t="str">
        <f>HYPERLINK("https://www.kegg.jp/kegg-bin/search_pathway_text?map=aga&amp;keyword=AGAP005988&amp;mode=1&amp;viewImage=true","AGAP005988")</f>
        <v>AGAP005988</v>
      </c>
      <c r="DE25" s="2" t="s">
        <v>402</v>
      </c>
      <c r="DF25" s="2" t="s">
        <v>403</v>
      </c>
      <c r="DG25" s="2" t="s">
        <v>94</v>
      </c>
      <c r="DH25" s="2" t="str">
        <f>HYPERLINK("https://vectorbase.org/vectorbase/app/record/gene/AGAP005988","AGAP005988-RA")</f>
        <v>AGAP005988-RA</v>
      </c>
      <c r="DI25" s="2" t="s">
        <v>90</v>
      </c>
      <c r="DJ25" s="2">
        <v>2175</v>
      </c>
      <c r="DK25" s="2" t="str">
        <f>HYPERLINK(".\links\netoglyc\AGAP005988-PA-netoglyc.txt","1")</f>
        <v>1</v>
      </c>
      <c r="DL25" s="2">
        <v>13.6</v>
      </c>
      <c r="DM25" s="2">
        <v>9.6</v>
      </c>
      <c r="DN25" s="2">
        <v>3.5</v>
      </c>
      <c r="DO25" s="2" t="s">
        <v>104</v>
      </c>
      <c r="DP25" s="2" t="s">
        <v>102</v>
      </c>
      <c r="DQ25" s="2" t="str">
        <f>HYPERLINK(".\links\Sigp\AGAP005988-PA-SigP.txt","CYT")</f>
        <v>CYT</v>
      </c>
      <c r="DR25" s="2" t="s">
        <v>102</v>
      </c>
      <c r="DS25" s="2">
        <v>68.387</v>
      </c>
      <c r="DT25" s="2">
        <v>5.52</v>
      </c>
      <c r="DU25" s="2" t="s">
        <v>102</v>
      </c>
      <c r="DV25" s="2" t="s">
        <v>102</v>
      </c>
      <c r="DW25" s="2" t="s">
        <v>407</v>
      </c>
      <c r="DX25" s="2">
        <v>627</v>
      </c>
      <c r="DY25" s="12" t="str">
        <f>HYPERLINK(".\links\tmhmm\AGAP005988-PA-tmhmm.txt","12")</f>
        <v>12</v>
      </c>
      <c r="DZ25" s="2">
        <v>39.4</v>
      </c>
      <c r="EA25" s="2">
        <v>21.2</v>
      </c>
      <c r="EB25" s="2">
        <v>39.4</v>
      </c>
      <c r="EC25" s="2" t="str">
        <f>HYPERLINK(".\links\gpi\AGAP005988-PA-gpi.txt","Y-NoSP")</f>
        <v>Y-NoSP</v>
      </c>
      <c r="ED25" s="2">
        <v>0.36</v>
      </c>
      <c r="EF25" s="2">
        <v>8</v>
      </c>
      <c r="EG25" s="2" t="str">
        <f>HYPERLINK(".\links\pep\AGAP005988-PA-sulf.txt","2")</f>
        <v>2</v>
      </c>
      <c r="EH25" s="2" t="s">
        <v>102</v>
      </c>
      <c r="EI25" s="2">
        <v>13.5566188197767</v>
      </c>
      <c r="EJ25" s="2">
        <v>3.5087719298245599</v>
      </c>
      <c r="EK25" s="2">
        <v>9.5693779904306204</v>
      </c>
      <c r="EL25" s="2">
        <v>13.0781499202552</v>
      </c>
      <c r="EM25" s="2">
        <v>1</v>
      </c>
      <c r="EN25" s="2" t="s">
        <v>102</v>
      </c>
      <c r="EO25" s="2">
        <v>1</v>
      </c>
      <c r="EP25" s="2" t="s">
        <v>102</v>
      </c>
      <c r="EQ25" s="2" t="s">
        <v>102</v>
      </c>
      <c r="ER25" s="2" t="s">
        <v>102</v>
      </c>
      <c r="ES25" s="2" t="s">
        <v>102</v>
      </c>
      <c r="ET25" s="2" t="str">
        <f>HYPERLINK(".\links\REFSEQ-INVERTEBRATE\AGAP005988-PA-REFSEQ-INVERTEBRATE.txt","AGAP005988-PA, partial")</f>
        <v>AGAP005988-PA, partial</v>
      </c>
      <c r="EU25" s="2" t="str">
        <f>HYPERLINK("http://www.ncbi.nlm.nih.gov/sutils/blink.cgi?pid=XP_316031.4","0.0")</f>
        <v>0.0</v>
      </c>
      <c r="EV25" s="2" t="str">
        <f>HYPERLINK("http://www.ncbi.nlm.nih.gov/protein/XP_316031.4","XP_316031.4")</f>
        <v>XP_316031.4</v>
      </c>
      <c r="EW25" s="2">
        <v>98</v>
      </c>
      <c r="EX25" s="2">
        <v>98</v>
      </c>
      <c r="EY25" s="2">
        <v>100</v>
      </c>
      <c r="EZ25" s="2" t="s">
        <v>105</v>
      </c>
    </row>
    <row r="26" spans="1:156" x14ac:dyDescent="0.25">
      <c r="A26" s="2" t="s">
        <v>416</v>
      </c>
      <c r="B26" s="2">
        <v>0.62855678688551697</v>
      </c>
      <c r="C26" s="2">
        <f t="shared" si="0"/>
        <v>1.5460176468965103</v>
      </c>
      <c r="D26" s="2">
        <v>4.1243486973317198</v>
      </c>
      <c r="E26" s="2">
        <v>16.777958028809099</v>
      </c>
      <c r="F26" s="2">
        <v>4.20185582532686E-5</v>
      </c>
      <c r="G26" s="2">
        <v>7.8955731312014606E-3</v>
      </c>
      <c r="H26" s="2" t="s">
        <v>417</v>
      </c>
      <c r="I26" s="2" t="s">
        <v>94</v>
      </c>
      <c r="J26" s="2" t="str">
        <f>HYPERLINK("https://vectorbase.org/vectorbase/app/record/gene/AGAP004685","AGAP004685-RB")</f>
        <v>AGAP004685-RB</v>
      </c>
      <c r="K26" s="2" t="str">
        <f>HYPERLINK(".\links\pep\AGAP004685-PB-pep.txt","AGAP004685-PB")</f>
        <v>AGAP004685-PB</v>
      </c>
      <c r="L26" s="12" t="s">
        <v>95</v>
      </c>
      <c r="M26" s="2">
        <v>951</v>
      </c>
      <c r="N26" s="2">
        <v>0</v>
      </c>
      <c r="O26" s="2">
        <v>3</v>
      </c>
      <c r="P26" s="2" t="s">
        <v>418</v>
      </c>
      <c r="Q26" s="9" t="s">
        <v>419</v>
      </c>
      <c r="R26" s="2" t="s">
        <v>420</v>
      </c>
      <c r="S26" s="2" t="str">
        <f>HYPERLINK(".\links\KOG\AGAP004685-PB-KOG.txt","KOG")</f>
        <v>KOG</v>
      </c>
      <c r="T26" s="2">
        <v>3.0000000000000002E-40</v>
      </c>
      <c r="U26" s="2">
        <v>56.6</v>
      </c>
      <c r="V26" s="2" t="s">
        <v>421</v>
      </c>
      <c r="W26" s="10" t="s">
        <v>422</v>
      </c>
      <c r="X26" s="2" t="s">
        <v>388</v>
      </c>
      <c r="Y26" s="2" t="str">
        <f>HYPERLINK(".\links\REFSEQVERTEBRATE95\AGAP004685-PB-REFSEQVERTEBRATE95.txt","REFSEQVERTEBRATE95")</f>
        <v>REFSEQVERTEBRATE95</v>
      </c>
      <c r="Z26" s="2">
        <v>0</v>
      </c>
      <c r="AA26" s="2">
        <v>90.4</v>
      </c>
      <c r="AB26" s="13" t="s">
        <v>102</v>
      </c>
      <c r="AC26" s="13" t="str">
        <f>HYPERLINK(".\links\Sigp\AGAP004685-PB-SigP.txt","CYT")</f>
        <v>CYT</v>
      </c>
      <c r="AD26" s="2" t="s">
        <v>102</v>
      </c>
      <c r="AE26" s="2">
        <v>107.828</v>
      </c>
      <c r="AF26" s="2">
        <v>8.7100000000000009</v>
      </c>
      <c r="AG26" s="2" t="s">
        <v>102</v>
      </c>
      <c r="AH26" s="2" t="s">
        <v>102</v>
      </c>
      <c r="AI26" s="2" t="s">
        <v>423</v>
      </c>
      <c r="AJ26" s="13">
        <v>0</v>
      </c>
      <c r="AK26" s="2" t="s">
        <v>102</v>
      </c>
      <c r="AL26" s="2" t="s">
        <v>102</v>
      </c>
      <c r="AM26" s="2" t="s">
        <v>102</v>
      </c>
      <c r="AN26" s="13" t="str">
        <f>HYPERLINK(".\links\gpi\AGAP004685-PB-gpi.txt","N")</f>
        <v>N</v>
      </c>
      <c r="AO26" s="14" t="str">
        <f>HYPERLINK(".\links\netoglyc\AGAP004685-PB-netoglyc.txt","0")</f>
        <v>0</v>
      </c>
      <c r="AP26" s="13">
        <v>15</v>
      </c>
      <c r="AQ26" s="2">
        <v>4.4000000000000004</v>
      </c>
      <c r="AR26" s="2">
        <v>2.7</v>
      </c>
      <c r="AS26" s="2" t="s">
        <v>104</v>
      </c>
      <c r="AT26" s="9" t="str">
        <f>HYPERLINK(".\links\NR-LIGHT\AGAP004685-PB-NR-LIGHT.txt","AGAP004685-PB")</f>
        <v>AGAP004685-PB</v>
      </c>
      <c r="AU26" s="2" t="str">
        <f>HYPERLINK("http://www.ncbi.nlm.nih.gov/sutils/blink.cgi?pid=XP_001687806.1","0.0")</f>
        <v>0.0</v>
      </c>
      <c r="AV26" s="2" t="str">
        <f>HYPERLINK("http://www.ncbi.nlm.nih.gov/protein/XP_001687806.1","XP_001687806.1")</f>
        <v>XP_001687806.1</v>
      </c>
      <c r="AW26" s="2">
        <v>100</v>
      </c>
      <c r="AX26" s="2">
        <v>100</v>
      </c>
      <c r="AY26" s="2">
        <v>100</v>
      </c>
      <c r="AZ26" s="2" t="s">
        <v>105</v>
      </c>
      <c r="BA26" s="9" t="str">
        <f>HYPERLINK(".\links\REFSEQ-INVERTEBRATE\AGAP004685-PB-REFSEQ-INVERTEBRATE.txt","AGAP004685-PB")</f>
        <v>AGAP004685-PB</v>
      </c>
      <c r="BB26" s="2" t="str">
        <f>HYPERLINK("http://www.ncbi.nlm.nih.gov/sutils/blink.cgi?pid=XP_001687806.1","0.0")</f>
        <v>0.0</v>
      </c>
      <c r="BC26" s="2" t="str">
        <f>HYPERLINK("http://www.ncbi.nlm.nih.gov/protein/XP_001687806.1","XP_001687806.1")</f>
        <v>XP_001687806.1</v>
      </c>
      <c r="BD26" s="2">
        <v>100</v>
      </c>
      <c r="BE26" s="2">
        <v>100</v>
      </c>
      <c r="BF26" s="2">
        <v>100</v>
      </c>
      <c r="BG26" s="2" t="s">
        <v>105</v>
      </c>
      <c r="BH26" s="9" t="str">
        <f>HYPERLINK(".\links\REFSEQ-PROTOZOA\AGAP004685-PB-REFSEQ-PROTOZOA.txt","helicase")</f>
        <v>helicase</v>
      </c>
      <c r="BI26" s="2" t="str">
        <f>HYPERLINK("http://www.ncbi.nlm.nih.gov/sutils/blink.cgi?pid=XP_001308336.1","7E-081")</f>
        <v>7E-081</v>
      </c>
      <c r="BJ26" s="2" t="str">
        <f>HYPERLINK("http://www.ncbi.nlm.nih.gov/protein/XP_001308336.1","XP_001308336.1")</f>
        <v>XP_001308336.1</v>
      </c>
      <c r="BK26" s="2">
        <v>27</v>
      </c>
      <c r="BL26" s="2">
        <v>46</v>
      </c>
      <c r="BM26" s="2">
        <v>91</v>
      </c>
      <c r="BN26" s="2" t="s">
        <v>292</v>
      </c>
      <c r="BO26" s="9" t="str">
        <f>HYPERLINK(".\links\SWISSP\AGAP004685-PB-SWISSP.txt","DNA replication ATP-dependent helicase/nuclease DNA2")</f>
        <v>DNA replication ATP-dependent helicase/nuclease DNA2</v>
      </c>
      <c r="BP26" s="2" t="str">
        <f>HYPERLINK("http://www.uniprot.org/uniprot/D3ZG52","1E-128")</f>
        <v>1E-128</v>
      </c>
      <c r="BQ26" s="2" t="str">
        <f>HYPERLINK("http://www.uniprot.org/uniprot/D3ZG52#expression","D3ZG52")</f>
        <v>D3ZG52</v>
      </c>
      <c r="BR26" s="2">
        <v>33</v>
      </c>
      <c r="BS26" s="2">
        <v>51</v>
      </c>
      <c r="BT26" s="2">
        <v>92</v>
      </c>
      <c r="BU26" s="2" t="s">
        <v>305</v>
      </c>
      <c r="BV26" s="9" t="str">
        <f>HYPERLINK(".\links\FLYBASE\AGAP004685-PB-FLYBASE.txt","FBpp0071350")</f>
        <v>FBpp0071350</v>
      </c>
      <c r="BW26" s="2" t="str">
        <f>HYPERLINK("http://flybase.org/reports/FBgn0030170#alliance_summary_container","0.0")</f>
        <v>0.0</v>
      </c>
      <c r="BX26" s="2">
        <v>1100</v>
      </c>
      <c r="BY26" s="2">
        <v>38</v>
      </c>
      <c r="BZ26" s="2">
        <v>56</v>
      </c>
      <c r="CA26" s="2">
        <v>88</v>
      </c>
      <c r="CB26" s="9" t="str">
        <f>HYPERLINK(".\links\CDD\AGAP004685-PB-CDD.txt","DNA-binding_protein_SMUBP-2, DNA helicase, putative")</f>
        <v>DNA-binding_protein_SMUBP-2, DNA helicase, putative</v>
      </c>
      <c r="CC26" s="15">
        <v>1.9999999999999999E-40</v>
      </c>
      <c r="CD26" s="2">
        <v>109.3</v>
      </c>
      <c r="CE26" s="2" t="s">
        <v>424</v>
      </c>
      <c r="CF26" s="2" t="s">
        <v>425</v>
      </c>
      <c r="CG26" s="9" t="str">
        <f>HYPERLINK(".\links\KOG\AGAP004685-PB-KOG.txt","DNA replication helicase")</f>
        <v>DNA replication helicase</v>
      </c>
      <c r="CH26" s="15">
        <v>1E-174</v>
      </c>
      <c r="CI26" s="2">
        <v>88.1</v>
      </c>
      <c r="CJ26" s="2" t="s">
        <v>426</v>
      </c>
      <c r="CK26" s="2" t="s">
        <v>427</v>
      </c>
      <c r="CL26" s="9" t="str">
        <f>HYPERLINK(".\links\PFAM\AGAP004685-PB-PFAM.txt","AAA_12, AAA domain")</f>
        <v>AAA_12, AAA domain</v>
      </c>
      <c r="CM26" s="15">
        <v>8.0000000000000001E-35</v>
      </c>
      <c r="CN26" s="2">
        <v>136.69999999999999</v>
      </c>
      <c r="CO26" s="2" t="s">
        <v>428</v>
      </c>
      <c r="CP26" s="9" t="str">
        <f>HYPERLINK(".\links\SMART\AGAP004685-PB-SMART.txt","DEXDc, DEAD-like helicases superfamily")</f>
        <v>DEXDc, DEAD-like helicases superfamily</v>
      </c>
      <c r="CQ26" s="15">
        <v>2.0000000000000001E-4</v>
      </c>
      <c r="CR26" s="2">
        <v>87.6</v>
      </c>
      <c r="CS26" s="2" t="s">
        <v>429</v>
      </c>
      <c r="CT26" s="2" t="s">
        <v>421</v>
      </c>
      <c r="CU26" s="2" t="s">
        <v>421</v>
      </c>
      <c r="CV26" s="2" t="s">
        <v>421</v>
      </c>
      <c r="CW26" s="2" t="str">
        <f>HYPERLINK(".\links\pep\AGAP004685-PB-pep.txt","AGAP004685-PB")</f>
        <v>AGAP004685-PB</v>
      </c>
      <c r="CX26" s="2" t="s">
        <v>95</v>
      </c>
      <c r="CY26" s="2">
        <v>951</v>
      </c>
      <c r="CZ26" s="2" t="s">
        <v>113</v>
      </c>
      <c r="DA26" s="2" t="s">
        <v>430</v>
      </c>
      <c r="DB26" s="2">
        <v>0</v>
      </c>
      <c r="DC26" s="2">
        <v>3</v>
      </c>
      <c r="DD26" s="2" t="str">
        <f>HYPERLINK("https://www.kegg.jp/kegg-bin/search_pathway_text?map=aga&amp;keyword=AGAP004685&amp;mode=1&amp;viewImage=true","AGAP004685")</f>
        <v>AGAP004685</v>
      </c>
      <c r="DE26" s="2" t="s">
        <v>416</v>
      </c>
      <c r="DF26" s="2" t="s">
        <v>417</v>
      </c>
      <c r="DG26" s="2" t="s">
        <v>94</v>
      </c>
      <c r="DH26" s="2" t="str">
        <f>HYPERLINK("https://vectorbase.org/vectorbase/app/record/gene/AGAP004685","AGAP004685-RB")</f>
        <v>AGAP004685-RB</v>
      </c>
      <c r="DI26" s="2" t="s">
        <v>118</v>
      </c>
      <c r="DJ26" s="2">
        <v>3451</v>
      </c>
      <c r="DK26" s="2" t="str">
        <f>HYPERLINK(".\links\netoglyc\AGAP004685-PB-netoglyc.txt","0")</f>
        <v>0</v>
      </c>
      <c r="DL26" s="2">
        <v>15</v>
      </c>
      <c r="DM26" s="2">
        <v>4.4000000000000004</v>
      </c>
      <c r="DN26" s="2">
        <v>2.7</v>
      </c>
      <c r="DO26" s="2" t="s">
        <v>104</v>
      </c>
      <c r="DP26" s="2" t="s">
        <v>431</v>
      </c>
      <c r="DQ26" s="2" t="str">
        <f>HYPERLINK(".\links\Sigp\AGAP004685-PB-SigP.txt","CYT")</f>
        <v>CYT</v>
      </c>
      <c r="DR26" s="2" t="s">
        <v>102</v>
      </c>
      <c r="DS26" s="2">
        <v>107.828</v>
      </c>
      <c r="DT26" s="2">
        <v>8.7100000000000009</v>
      </c>
      <c r="DU26" s="2" t="s">
        <v>102</v>
      </c>
      <c r="DV26" s="2" t="s">
        <v>102</v>
      </c>
      <c r="DW26" s="2" t="s">
        <v>423</v>
      </c>
      <c r="DX26" s="2">
        <v>951</v>
      </c>
      <c r="DY26" s="12">
        <v>0</v>
      </c>
      <c r="DZ26" s="2" t="s">
        <v>102</v>
      </c>
      <c r="EA26" s="2" t="s">
        <v>102</v>
      </c>
      <c r="EB26" s="2" t="s">
        <v>102</v>
      </c>
      <c r="EC26" s="2" t="str">
        <f>HYPERLINK(".\links\gpi\AGAP004685-PB-gpi.txt","Y-NoSP")</f>
        <v>Y-NoSP</v>
      </c>
      <c r="ED26" s="2">
        <v>0.23</v>
      </c>
      <c r="EF26" s="2">
        <v>21</v>
      </c>
      <c r="EG26" s="2" t="s">
        <v>102</v>
      </c>
      <c r="EH26" s="2" t="s">
        <v>102</v>
      </c>
      <c r="EI26" s="2">
        <v>15.0368033648791</v>
      </c>
      <c r="EJ26" s="2">
        <v>2.7339642481598299</v>
      </c>
      <c r="EK26" s="2">
        <v>4.41640378548896</v>
      </c>
      <c r="EL26" s="2">
        <v>7.1503680336487898</v>
      </c>
      <c r="EM26" s="2">
        <v>1</v>
      </c>
      <c r="EN26" s="2">
        <v>4</v>
      </c>
      <c r="EO26" s="2">
        <v>4</v>
      </c>
      <c r="EP26" s="2" t="s">
        <v>102</v>
      </c>
      <c r="EQ26" s="2" t="s">
        <v>102</v>
      </c>
      <c r="ER26" s="2" t="s">
        <v>102</v>
      </c>
      <c r="ES26" s="2" t="s">
        <v>102</v>
      </c>
      <c r="ET26" s="2" t="str">
        <f>HYPERLINK(".\links\REFSEQ-INVERTEBRATE\AGAP004685-PB-REFSEQ-INVERTEBRATE.txt","AGAP004685-PB")</f>
        <v>AGAP004685-PB</v>
      </c>
      <c r="EU26" s="2" t="str">
        <f>HYPERLINK("http://www.ncbi.nlm.nih.gov/sutils/blink.cgi?pid=XP_001687806.1","0.0")</f>
        <v>0.0</v>
      </c>
      <c r="EV26" s="2" t="str">
        <f>HYPERLINK("http://www.ncbi.nlm.nih.gov/protein/XP_001687806.1","XP_001687806.1")</f>
        <v>XP_001687806.1</v>
      </c>
      <c r="EW26" s="2">
        <v>100</v>
      </c>
      <c r="EX26" s="2">
        <v>100</v>
      </c>
      <c r="EY26" s="2">
        <v>100</v>
      </c>
      <c r="EZ26" s="2" t="s">
        <v>105</v>
      </c>
    </row>
    <row r="27" spans="1:156" x14ac:dyDescent="0.25">
      <c r="A27" s="2" t="s">
        <v>432</v>
      </c>
      <c r="B27" s="2">
        <v>0.60973851407485402</v>
      </c>
      <c r="C27" s="2">
        <f t="shared" si="0"/>
        <v>1.5259826022457068</v>
      </c>
      <c r="D27" s="2">
        <v>6.4548904513012104</v>
      </c>
      <c r="E27" s="2">
        <v>15.518131048252</v>
      </c>
      <c r="F27" s="2">
        <v>8.1717680431499099E-5</v>
      </c>
      <c r="G27" s="2">
        <v>9.5872350077669498E-3</v>
      </c>
      <c r="H27" s="2" t="s">
        <v>93</v>
      </c>
      <c r="I27" s="2" t="s">
        <v>94</v>
      </c>
      <c r="J27" s="2" t="str">
        <f>HYPERLINK("https://vectorbase.org/vectorbase/app/record/gene/AGAP007751","AGAP007751-RB")</f>
        <v>AGAP007751-RB</v>
      </c>
      <c r="K27" s="2" t="str">
        <f>HYPERLINK(".\links\pep\AGAP007751-PB-pep.txt","AGAP007751-PB")</f>
        <v>AGAP007751-PB</v>
      </c>
      <c r="L27" s="12" t="s">
        <v>95</v>
      </c>
      <c r="M27" s="2">
        <v>188</v>
      </c>
      <c r="N27" s="2">
        <v>0</v>
      </c>
      <c r="O27" s="2">
        <v>0</v>
      </c>
      <c r="P27" s="2" t="s">
        <v>102</v>
      </c>
      <c r="Q27" s="9" t="s">
        <v>433</v>
      </c>
      <c r="R27" s="2" t="s">
        <v>196</v>
      </c>
      <c r="S27" s="2" t="str">
        <f>HYPERLINK(".\links\REFSEQ-INVERTEBRATE\AGAP007751-PB-REFSEQ-INVERTEBRATE.txt","REFSEQ-INVERTEBRATE")</f>
        <v>REFSEQ-INVERTEBRATE</v>
      </c>
      <c r="T27" s="2">
        <v>0</v>
      </c>
      <c r="U27" s="2">
        <v>100</v>
      </c>
      <c r="V27" s="2" t="s">
        <v>434</v>
      </c>
      <c r="W27" s="10" t="s">
        <v>197</v>
      </c>
      <c r="X27" s="2" t="s">
        <v>196</v>
      </c>
      <c r="Y27" s="2" t="str">
        <f>HYPERLINK(".\links\ARTHORPODA\AGAP007751-PB-ARTHORPODA.txt","ARTHORPODA")</f>
        <v>ARTHORPODA</v>
      </c>
      <c r="Z27" s="15">
        <v>0</v>
      </c>
      <c r="AA27" s="2">
        <v>64</v>
      </c>
      <c r="AB27" s="13" t="s">
        <v>102</v>
      </c>
      <c r="AC27" s="13" t="str">
        <f>HYPERLINK(".\links\Sigp\AGAP007751-PB-SigP.txt","CYT")</f>
        <v>CYT</v>
      </c>
      <c r="AD27" s="2" t="s">
        <v>102</v>
      </c>
      <c r="AE27" s="2">
        <v>19.948</v>
      </c>
      <c r="AF27" s="2">
        <v>5.54</v>
      </c>
      <c r="AG27" s="2" t="s">
        <v>102</v>
      </c>
      <c r="AH27" s="2" t="s">
        <v>102</v>
      </c>
      <c r="AI27" s="2" t="s">
        <v>211</v>
      </c>
      <c r="AJ27" s="13">
        <v>0</v>
      </c>
      <c r="AK27" s="2" t="s">
        <v>102</v>
      </c>
      <c r="AL27" s="2" t="s">
        <v>102</v>
      </c>
      <c r="AM27" s="2" t="s">
        <v>102</v>
      </c>
      <c r="AN27" s="13" t="str">
        <f>HYPERLINK(".\links\gpi\AGAP007751-PB-gpi.txt","N")</f>
        <v>N</v>
      </c>
      <c r="AO27" s="14" t="str">
        <f>HYPERLINK(".\links\netoglyc\AGAP007751-PB-netoglyc.txt","0")</f>
        <v>0</v>
      </c>
      <c r="AP27" s="13">
        <v>21.3</v>
      </c>
      <c r="AQ27" s="2">
        <v>6.9</v>
      </c>
      <c r="AR27" s="2">
        <v>2.7</v>
      </c>
      <c r="AS27" s="2">
        <v>1.6</v>
      </c>
      <c r="AT27" s="9" t="str">
        <f>HYPERLINK(".\links\NR-LIGHT\AGAP007751-PB-NR-LIGHT.txt","AGAP007751-PA")</f>
        <v>AGAP007751-PA</v>
      </c>
      <c r="AU27" s="2" t="str">
        <f>HYPERLINK("http://www.ncbi.nlm.nih.gov/sutils/blink.cgi?pid=XP_317770.3","1E-106")</f>
        <v>1E-106</v>
      </c>
      <c r="AV27" s="2" t="str">
        <f>HYPERLINK("http://www.ncbi.nlm.nih.gov/protein/XP_317770.3","XP_317770.3")</f>
        <v>XP_317770.3</v>
      </c>
      <c r="AW27" s="2">
        <v>100</v>
      </c>
      <c r="AX27" s="2">
        <v>100</v>
      </c>
      <c r="AY27" s="2">
        <v>100</v>
      </c>
      <c r="AZ27" s="2" t="s">
        <v>105</v>
      </c>
      <c r="BA27" s="9" t="str">
        <f>HYPERLINK(".\links\REFSEQ-INVERTEBRATE\AGAP007751-PB-REFSEQ-INVERTEBRATE.txt","AGAP007751-PA")</f>
        <v>AGAP007751-PA</v>
      </c>
      <c r="BB27" s="2" t="str">
        <f>HYPERLINK("http://www.ncbi.nlm.nih.gov/sutils/blink.cgi?pid=XP_317770.3","1E-106")</f>
        <v>1E-106</v>
      </c>
      <c r="BC27" s="2" t="str">
        <f>HYPERLINK("http://www.ncbi.nlm.nih.gov/protein/XP_317770.3","XP_317770.3")</f>
        <v>XP_317770.3</v>
      </c>
      <c r="BD27" s="2">
        <v>100</v>
      </c>
      <c r="BE27" s="2">
        <v>100</v>
      </c>
      <c r="BF27" s="2">
        <v>100</v>
      </c>
      <c r="BG27" s="2" t="s">
        <v>105</v>
      </c>
      <c r="BH27" s="9" t="str">
        <f>HYPERLINK(".\links\REFSEQ-PROTOZOA\AGAP007751-PB-REFSEQ-PROTOZOA.txt","hypothetical protein PTSG_12656")</f>
        <v>hypothetical protein PTSG_12656</v>
      </c>
      <c r="BI27" s="2" t="str">
        <f>HYPERLINK("http://www.ncbi.nlm.nih.gov/sutils/blink.cgi?pid=XP_004991737.1","1E-012")</f>
        <v>1E-012</v>
      </c>
      <c r="BJ27" s="2" t="str">
        <f>HYPERLINK("http://www.ncbi.nlm.nih.gov/protein/XP_004991737.1","XP_004991737.1")</f>
        <v>XP_004991737.1</v>
      </c>
      <c r="BK27" s="2">
        <v>41</v>
      </c>
      <c r="BL27" s="2">
        <v>55</v>
      </c>
      <c r="BM27" s="2">
        <v>63</v>
      </c>
      <c r="BN27" s="2" t="s">
        <v>435</v>
      </c>
      <c r="BO27" s="9" t="str">
        <f>HYPERLINK(".\links\SWISSP\AGAP007751-PB-SWISSP.txt","Protein pinocchio")</f>
        <v>Protein pinocchio</v>
      </c>
      <c r="BP27" s="2" t="str">
        <f>HYPERLINK("http://www.uniprot.org/uniprot/Q9VPW8","6E-048")</f>
        <v>6E-048</v>
      </c>
      <c r="BQ27" s="2" t="str">
        <f>HYPERLINK("http://www.uniprot.org/uniprot/Q9VPW8#expression","Q9VPW8")</f>
        <v>Q9VPW8</v>
      </c>
      <c r="BR27" s="2">
        <v>52</v>
      </c>
      <c r="BS27" s="2">
        <v>65</v>
      </c>
      <c r="BT27" s="2">
        <v>76</v>
      </c>
      <c r="BU27" s="2" t="s">
        <v>107</v>
      </c>
      <c r="BV27" s="9" t="str">
        <f>HYPERLINK(".\links\FLYBASE\AGAP007751-PB-FLYBASE.txt","FBpp0304561")</f>
        <v>FBpp0304561</v>
      </c>
      <c r="BW27" s="2" t="str">
        <f>HYPERLINK("http://flybase.org/reports/FBgn0016926#alliance_summary_container","8E-56")</f>
        <v>8E-56</v>
      </c>
      <c r="BX27" s="2">
        <v>171</v>
      </c>
      <c r="BY27" s="2">
        <v>52</v>
      </c>
      <c r="BZ27" s="2">
        <v>65</v>
      </c>
      <c r="CA27" s="2">
        <v>110</v>
      </c>
      <c r="CB27" s="9" t="str">
        <f>HYPERLINK(".\links\CDD\AGAP007751-PB-CDD.txt","HypA, Hydrogenase/urease nickel incorporation, metallochaperone, hypA")</f>
        <v>HypA, Hydrogenase/urease nickel incorporation, metallochaperone, hypA</v>
      </c>
      <c r="CC27" s="15">
        <v>6.4000000000000001E-2</v>
      </c>
      <c r="CD27" s="2">
        <v>36.6</v>
      </c>
      <c r="CE27" s="2" t="s">
        <v>436</v>
      </c>
      <c r="CF27" s="2" t="s">
        <v>437</v>
      </c>
      <c r="CG27" s="9" t="str">
        <f>HYPERLINK(".\links\KOG\AGAP007751-PB-KOG.txt","Glucose-repressible protein and related proteins")</f>
        <v>Glucose-repressible protein and related proteins</v>
      </c>
      <c r="CH27" s="15">
        <v>0.39</v>
      </c>
      <c r="CI27" s="2">
        <v>8.6</v>
      </c>
      <c r="CJ27" s="2" t="s">
        <v>438</v>
      </c>
      <c r="CK27" s="2" t="s">
        <v>191</v>
      </c>
      <c r="CL27" s="9" t="str">
        <f>HYPERLINK(".\links\PFAM\AGAP007751-PB-PFAM.txt","HypA, Hydrogenase/urease nickel incorporation, metallochaperone, hypA")</f>
        <v>HypA, Hydrogenase/urease nickel incorporation, metallochaperone, hypA</v>
      </c>
      <c r="CM27" s="15">
        <v>1.4E-2</v>
      </c>
      <c r="CN27" s="2">
        <v>36.6</v>
      </c>
      <c r="CO27" s="2" t="s">
        <v>436</v>
      </c>
      <c r="CP27" s="9" t="str">
        <f>HYPERLINK(".\links\SMART\AGAP007751-PB-SMART.txt","IG_like, Immunoglobulin like")</f>
        <v>IG_like, Immunoglobulin like</v>
      </c>
      <c r="CQ27" s="15">
        <v>1.3</v>
      </c>
      <c r="CR27" s="2">
        <v>40</v>
      </c>
      <c r="CS27" s="2" t="s">
        <v>439</v>
      </c>
      <c r="CT27" s="2" t="s">
        <v>434</v>
      </c>
      <c r="CU27" s="2" t="s">
        <v>434</v>
      </c>
      <c r="CV27" s="2" t="s">
        <v>434</v>
      </c>
      <c r="CW27" s="2" t="str">
        <f>HYPERLINK(".\links\pep\AGAP007751-PB-pep.txt","AGAP007751-PB")</f>
        <v>AGAP007751-PB</v>
      </c>
      <c r="CX27" s="2" t="s">
        <v>95</v>
      </c>
      <c r="CY27" s="2">
        <v>188</v>
      </c>
      <c r="CZ27" s="2" t="s">
        <v>113</v>
      </c>
      <c r="DA27" s="2" t="s">
        <v>440</v>
      </c>
      <c r="DB27" s="2">
        <v>0</v>
      </c>
      <c r="DC27" s="2">
        <v>0</v>
      </c>
      <c r="DD27" s="2" t="str">
        <f>HYPERLINK("https://www.kegg.jp/kegg-bin/search_pathway_text?map=aga&amp;keyword=AGAP007751&amp;mode=1&amp;viewImage=true","AGAP007751")</f>
        <v>AGAP007751</v>
      </c>
      <c r="DE27" s="2" t="s">
        <v>432</v>
      </c>
      <c r="DF27" s="2" t="s">
        <v>93</v>
      </c>
      <c r="DG27" s="2" t="s">
        <v>94</v>
      </c>
      <c r="DH27" s="2" t="str">
        <f>HYPERLINK("https://vectorbase.org/vectorbase/app/record/gene/AGAP007751","AGAP007751-RB")</f>
        <v>AGAP007751-RB</v>
      </c>
      <c r="DI27" s="2" t="s">
        <v>115</v>
      </c>
      <c r="DJ27" s="2">
        <v>1829</v>
      </c>
      <c r="DK27" s="2" t="str">
        <f>HYPERLINK(".\links\netoglyc\AGAP007751-PB-netoglyc.txt","0")</f>
        <v>0</v>
      </c>
      <c r="DL27" s="2">
        <v>21.3</v>
      </c>
      <c r="DM27" s="2">
        <v>6.9</v>
      </c>
      <c r="DN27" s="2">
        <v>2.7</v>
      </c>
      <c r="DO27" s="2">
        <v>1.6</v>
      </c>
      <c r="DP27" s="2" t="s">
        <v>102</v>
      </c>
      <c r="DQ27" s="2" t="str">
        <f>HYPERLINK(".\links\Sigp\AGAP007751-PB-SigP.txt","CYT")</f>
        <v>CYT</v>
      </c>
      <c r="DR27" s="2" t="s">
        <v>102</v>
      </c>
      <c r="DS27" s="2">
        <v>19.948</v>
      </c>
      <c r="DT27" s="2">
        <v>5.54</v>
      </c>
      <c r="DU27" s="2" t="s">
        <v>102</v>
      </c>
      <c r="DV27" s="2" t="s">
        <v>102</v>
      </c>
      <c r="DW27" s="2" t="s">
        <v>211</v>
      </c>
      <c r="DX27" s="2">
        <v>188</v>
      </c>
      <c r="DY27" s="12">
        <v>0</v>
      </c>
      <c r="DZ27" s="2" t="s">
        <v>102</v>
      </c>
      <c r="EA27" s="2" t="s">
        <v>102</v>
      </c>
      <c r="EB27" s="2" t="s">
        <v>102</v>
      </c>
      <c r="EC27" s="2" t="str">
        <f>HYPERLINK(".\links\gpi\AGAP007751-PB-gpi.txt","Y-NoSP")</f>
        <v>Y-NoSP</v>
      </c>
      <c r="ED27" s="2">
        <v>0.45</v>
      </c>
      <c r="EE27" s="2" t="s">
        <v>441</v>
      </c>
      <c r="EF27" s="2">
        <v>13</v>
      </c>
      <c r="EG27" s="2" t="s">
        <v>102</v>
      </c>
      <c r="EH27" s="2" t="s">
        <v>102</v>
      </c>
      <c r="EI27" s="2">
        <v>21.2765957446809</v>
      </c>
      <c r="EJ27" s="2">
        <v>2.6595744680851099</v>
      </c>
      <c r="EK27" s="2">
        <v>6.9148936170212796</v>
      </c>
      <c r="EL27" s="2">
        <v>9.5744680851063801</v>
      </c>
      <c r="EM27" s="2" t="s">
        <v>102</v>
      </c>
      <c r="EN27" s="2" t="s">
        <v>102</v>
      </c>
      <c r="EO27" s="2" t="s">
        <v>102</v>
      </c>
      <c r="EP27" s="2" t="s">
        <v>102</v>
      </c>
      <c r="EQ27" s="2" t="s">
        <v>102</v>
      </c>
      <c r="ER27" s="2" t="s">
        <v>102</v>
      </c>
      <c r="ES27" s="2" t="s">
        <v>102</v>
      </c>
      <c r="ET27" s="2" t="str">
        <f>HYPERLINK(".\links\REFSEQ-INVERTEBRATE\AGAP007751-PB-REFSEQ-INVERTEBRATE.txt","AGAP007751-PA")</f>
        <v>AGAP007751-PA</v>
      </c>
      <c r="EU27" s="2" t="str">
        <f>HYPERLINK("http://www.ncbi.nlm.nih.gov/sutils/blink.cgi?pid=XP_317770.3","1E-134")</f>
        <v>1E-134</v>
      </c>
      <c r="EV27" s="2" t="str">
        <f>HYPERLINK("http://www.ncbi.nlm.nih.gov/protein/XP_317770.3","XP_317770.3")</f>
        <v>XP_317770.3</v>
      </c>
      <c r="EW27" s="2">
        <v>100</v>
      </c>
      <c r="EX27" s="2">
        <v>100</v>
      </c>
      <c r="EY27" s="2">
        <v>100</v>
      </c>
      <c r="EZ27" s="2" t="s">
        <v>105</v>
      </c>
    </row>
    <row r="28" spans="1:156" x14ac:dyDescent="0.25">
      <c r="A28" s="2" t="s">
        <v>442</v>
      </c>
      <c r="B28" s="2">
        <v>0.59728290397086903</v>
      </c>
      <c r="C28" s="2">
        <f t="shared" si="0"/>
        <v>1.5128646320118231</v>
      </c>
      <c r="D28" s="2">
        <v>4.34757730728938</v>
      </c>
      <c r="E28" s="2">
        <v>11.962561689034899</v>
      </c>
      <c r="F28" s="2">
        <v>5.4280193436731495E-4</v>
      </c>
      <c r="G28" s="2">
        <v>2.6293505281983199E-2</v>
      </c>
      <c r="H28" s="2" t="s">
        <v>93</v>
      </c>
      <c r="I28" s="2" t="s">
        <v>94</v>
      </c>
      <c r="J28" s="2" t="str">
        <f>HYPERLINK("https://vectorbase.org/vectorbase/app/record/gene/AGAP006598","AGAP006598-RA")</f>
        <v>AGAP006598-RA</v>
      </c>
      <c r="K28" s="2" t="str">
        <f>HYPERLINK(".\links\pep\AGAP006598-PA-pep.txt","AGAP006598-PA")</f>
        <v>AGAP006598-PA</v>
      </c>
      <c r="L28" s="12" t="s">
        <v>95</v>
      </c>
      <c r="M28" s="2">
        <v>1020</v>
      </c>
      <c r="N28" s="2">
        <v>0</v>
      </c>
      <c r="O28" s="2">
        <v>0</v>
      </c>
      <c r="P28" s="2" t="s">
        <v>102</v>
      </c>
      <c r="Q28" s="9" t="s">
        <v>443</v>
      </c>
      <c r="R28" s="2" t="s">
        <v>444</v>
      </c>
      <c r="S28" s="2" t="str">
        <f>HYPERLINK(".\links\REFSEQ-INVERTEBRATE\AGAP006598-PA-REFSEQ-INVERTEBRATE.txt","REFSEQ-INVERTEBRATE")</f>
        <v>REFSEQ-INVERTEBRATE</v>
      </c>
      <c r="T28" s="2">
        <v>0</v>
      </c>
      <c r="U28" s="2">
        <v>111.4</v>
      </c>
      <c r="V28" s="2" t="s">
        <v>445</v>
      </c>
      <c r="W28" s="10" t="s">
        <v>446</v>
      </c>
      <c r="X28" s="2" t="s">
        <v>447</v>
      </c>
      <c r="Y28" s="2" t="str">
        <f>HYPERLINK(".\links\UNIPROTKB\AGAP006598-PA-UNIPROTKB.txt","UNIPROTKB")</f>
        <v>UNIPROTKB</v>
      </c>
      <c r="Z28" s="15">
        <v>2.0000000000000002E-31</v>
      </c>
      <c r="AA28" s="2">
        <v>36.299999999999997</v>
      </c>
      <c r="AB28" s="13" t="s">
        <v>102</v>
      </c>
      <c r="AC28" s="13" t="str">
        <f>HYPERLINK(".\links\Sigp\AGAP006598-PA-SigP.txt","CYT")</f>
        <v>CYT</v>
      </c>
      <c r="AD28" s="2" t="s">
        <v>102</v>
      </c>
      <c r="AE28" s="2">
        <v>110.604</v>
      </c>
      <c r="AF28" s="2">
        <v>9.41</v>
      </c>
      <c r="AG28" s="2" t="s">
        <v>102</v>
      </c>
      <c r="AH28" s="2" t="s">
        <v>102</v>
      </c>
      <c r="AI28" s="2" t="s">
        <v>423</v>
      </c>
      <c r="AJ28" s="13">
        <v>0</v>
      </c>
      <c r="AK28" s="2" t="s">
        <v>102</v>
      </c>
      <c r="AL28" s="2" t="s">
        <v>102</v>
      </c>
      <c r="AM28" s="2" t="s">
        <v>102</v>
      </c>
      <c r="AN28" s="13" t="str">
        <f>HYPERLINK(".\links\gpi\AGAP006598-PA-gpi.txt","N")</f>
        <v>N</v>
      </c>
      <c r="AO28" s="14" t="str">
        <f>HYPERLINK(".\links\netoglyc\AGAP006598-PA-netoglyc.txt","11")</f>
        <v>11</v>
      </c>
      <c r="AP28" s="13">
        <v>21.5</v>
      </c>
      <c r="AQ28" s="2">
        <v>6.9</v>
      </c>
      <c r="AR28" s="2">
        <v>6.5</v>
      </c>
      <c r="AS28" s="2" t="s">
        <v>104</v>
      </c>
      <c r="AT28" s="9" t="str">
        <f>HYPERLINK(".\links\NR-LIGHT\AGAP006598-PA-NR-LIGHT.txt","AGAP006598-PA")</f>
        <v>AGAP006598-PA</v>
      </c>
      <c r="AU28" s="2" t="str">
        <f>HYPERLINK("http://www.ncbi.nlm.nih.gov/sutils/blink.cgi?pid=XP_316625.4","0.0")</f>
        <v>0.0</v>
      </c>
      <c r="AV28" s="2" t="str">
        <f>HYPERLINK("http://www.ncbi.nlm.nih.gov/protein/XP_316625.4","XP_316625.4")</f>
        <v>XP_316625.4</v>
      </c>
      <c r="AW28" s="2">
        <v>100</v>
      </c>
      <c r="AX28" s="2">
        <v>100</v>
      </c>
      <c r="AY28" s="2">
        <v>100</v>
      </c>
      <c r="AZ28" s="2" t="s">
        <v>105</v>
      </c>
      <c r="BA28" s="9" t="str">
        <f>HYPERLINK(".\links\REFSEQ-INVERTEBRATE\AGAP006598-PA-REFSEQ-INVERTEBRATE.txt","AGAP006598-PA")</f>
        <v>AGAP006598-PA</v>
      </c>
      <c r="BB28" s="2" t="str">
        <f>HYPERLINK("http://www.ncbi.nlm.nih.gov/sutils/blink.cgi?pid=XP_316625.4","0.0")</f>
        <v>0.0</v>
      </c>
      <c r="BC28" s="2" t="str">
        <f>HYPERLINK("http://www.ncbi.nlm.nih.gov/protein/XP_316625.4","XP_316625.4")</f>
        <v>XP_316625.4</v>
      </c>
      <c r="BD28" s="2">
        <v>100</v>
      </c>
      <c r="BE28" s="2">
        <v>100</v>
      </c>
      <c r="BF28" s="2">
        <v>100</v>
      </c>
      <c r="BG28" s="2" t="s">
        <v>105</v>
      </c>
      <c r="BH28" s="9" t="str">
        <f>HYPERLINK(".\links\REFSEQ-PROTOZOA\AGAP006598-PA-REFSEQ-PROTOZOA.txt","uncharacterized protein, partial")</f>
        <v>uncharacterized protein, partial</v>
      </c>
      <c r="BI28" s="2" t="str">
        <f>HYPERLINK("http://www.ncbi.nlm.nih.gov/sutils/blink.cgi?pid=XP_003886575.1","1E-015")</f>
        <v>1E-015</v>
      </c>
      <c r="BJ28" s="2" t="str">
        <f>HYPERLINK("http://www.ncbi.nlm.nih.gov/protein/XP_003886575.1","XP_003886575.1")</f>
        <v>XP_003886575.1</v>
      </c>
      <c r="BK28" s="2">
        <v>21</v>
      </c>
      <c r="BL28" s="2">
        <v>39</v>
      </c>
      <c r="BM28" s="2">
        <v>13</v>
      </c>
      <c r="BN28" s="2" t="s">
        <v>448</v>
      </c>
      <c r="BO28" s="9" t="str">
        <f>HYPERLINK(".\links\SWISSP\AGAP006598-PA-SWISSP.txt","Storkhead-box protein 1")</f>
        <v>Storkhead-box protein 1</v>
      </c>
      <c r="BP28" s="2" t="str">
        <f>HYPERLINK("http://www.uniprot.org/uniprot/Q6ZVD7","2E-029")</f>
        <v>2E-029</v>
      </c>
      <c r="BQ28" s="2" t="str">
        <f>HYPERLINK("http://www.uniprot.org/uniprot/Q6ZVD7#expression","Q6ZVD7")</f>
        <v>Q6ZVD7</v>
      </c>
      <c r="BR28" s="2">
        <v>26</v>
      </c>
      <c r="BS28" s="2">
        <v>43</v>
      </c>
      <c r="BT28" s="2">
        <v>36</v>
      </c>
      <c r="BU28" s="2" t="s">
        <v>127</v>
      </c>
      <c r="BV28" s="9" t="str">
        <f>HYPERLINK(".\links\FLYBASE\AGAP006598-PA-FLYBASE.txt","FBpp0305640")</f>
        <v>FBpp0305640</v>
      </c>
      <c r="BW28" s="2" t="str">
        <f>HYPERLINK("http://flybase.org/reports/FBgn0020294#alliance_summary_container","0.0")</f>
        <v>0.0</v>
      </c>
      <c r="BX28" s="2">
        <v>1049</v>
      </c>
      <c r="BY28" s="2">
        <v>58</v>
      </c>
      <c r="BZ28" s="2">
        <v>70</v>
      </c>
      <c r="CA28" s="2">
        <v>59</v>
      </c>
      <c r="CB28" s="9" t="str">
        <f>HYPERLINK(".\links\CDD\AGAP006598-PA-CDD.txt","Stork_head, Winged helix Storkhead-box1 domain")</f>
        <v>Stork_head, Winged helix Storkhead-box1 domain</v>
      </c>
      <c r="CC28" s="15">
        <v>2.0000000000000002E-30</v>
      </c>
      <c r="CD28" s="2">
        <v>100</v>
      </c>
      <c r="CE28" s="2" t="s">
        <v>449</v>
      </c>
      <c r="CF28" s="2" t="s">
        <v>450</v>
      </c>
      <c r="CG28" s="9" t="str">
        <f>HYPERLINK(".\links\KOG\AGAP006598-PA-KOG.txt","Conserved protein Knockout")</f>
        <v>Conserved protein Knockout</v>
      </c>
      <c r="CH28" s="15">
        <v>9.9999999999999998E-67</v>
      </c>
      <c r="CI28" s="2">
        <v>81.8</v>
      </c>
      <c r="CJ28" s="2" t="s">
        <v>451</v>
      </c>
      <c r="CK28" s="2" t="s">
        <v>284</v>
      </c>
      <c r="CL28" s="9" t="str">
        <f>HYPERLINK(".\links\PFAM\AGAP006598-PA-PFAM.txt","Stork_head, Winged helix Storkhead-box1 domain")</f>
        <v>Stork_head, Winged helix Storkhead-box1 domain</v>
      </c>
      <c r="CM28" s="15">
        <v>2.9999999999999998E-31</v>
      </c>
      <c r="CN28" s="2">
        <v>100</v>
      </c>
      <c r="CO28" s="2" t="s">
        <v>449</v>
      </c>
      <c r="CP28" s="9" t="str">
        <f>HYPERLINK(".\links\SMART\AGAP006598-PA-SMART.txt","RNAse_Pc, Pancreatic ribonuclease")</f>
        <v>RNAse_Pc, Pancreatic ribonuclease</v>
      </c>
      <c r="CQ28" s="15">
        <v>2.4</v>
      </c>
      <c r="CR28" s="2">
        <v>51.2</v>
      </c>
      <c r="CS28" s="2" t="s">
        <v>452</v>
      </c>
      <c r="CT28" s="2" t="s">
        <v>445</v>
      </c>
      <c r="CU28" s="2" t="s">
        <v>445</v>
      </c>
      <c r="CV28" s="2" t="s">
        <v>445</v>
      </c>
      <c r="CW28" s="2" t="str">
        <f>HYPERLINK(".\links\pep\AGAP006598-PA-pep.txt","AGAP006598-PA")</f>
        <v>AGAP006598-PA</v>
      </c>
      <c r="CX28" s="2" t="s">
        <v>95</v>
      </c>
      <c r="CY28" s="2">
        <v>1020</v>
      </c>
      <c r="CZ28" s="2" t="s">
        <v>113</v>
      </c>
      <c r="DA28" s="2" t="s">
        <v>453</v>
      </c>
      <c r="DB28" s="2">
        <v>0</v>
      </c>
      <c r="DC28" s="2">
        <v>0</v>
      </c>
      <c r="DD28" s="2" t="str">
        <f>HYPERLINK("https://www.kegg.jp/kegg-bin/search_pathway_text?map=aga&amp;keyword=AGAP006598&amp;mode=1&amp;viewImage=true","AGAP006598")</f>
        <v>AGAP006598</v>
      </c>
      <c r="DE28" s="2" t="s">
        <v>442</v>
      </c>
      <c r="DF28" s="2" t="s">
        <v>93</v>
      </c>
      <c r="DG28" s="2" t="s">
        <v>94</v>
      </c>
      <c r="DH28" s="2" t="str">
        <f>HYPERLINK("https://vectorbase.org/vectorbase/app/record/gene/AGAP006598","AGAP006598-RA")</f>
        <v>AGAP006598-RA</v>
      </c>
      <c r="DI28" s="2" t="s">
        <v>115</v>
      </c>
      <c r="DJ28" s="2">
        <v>3991</v>
      </c>
      <c r="DK28" s="2" t="str">
        <f>HYPERLINK(".\links\netoglyc\AGAP006598-PA-netoglyc.txt","11")</f>
        <v>11</v>
      </c>
      <c r="DL28" s="2">
        <v>21.5</v>
      </c>
      <c r="DM28" s="2">
        <v>6.9</v>
      </c>
      <c r="DN28" s="2">
        <v>6.5</v>
      </c>
      <c r="DO28" s="2" t="s">
        <v>104</v>
      </c>
      <c r="DP28" s="2" t="s">
        <v>454</v>
      </c>
      <c r="DQ28" s="2" t="str">
        <f>HYPERLINK(".\links\Sigp\AGAP006598-PA-SigP.txt","CYT")</f>
        <v>CYT</v>
      </c>
      <c r="DR28" s="2" t="s">
        <v>102</v>
      </c>
      <c r="DS28" s="2">
        <v>110.604</v>
      </c>
      <c r="DT28" s="2">
        <v>9.41</v>
      </c>
      <c r="DU28" s="2" t="s">
        <v>102</v>
      </c>
      <c r="DV28" s="2" t="s">
        <v>102</v>
      </c>
      <c r="DW28" s="2" t="s">
        <v>423</v>
      </c>
      <c r="DX28" s="2">
        <v>1020</v>
      </c>
      <c r="DY28" s="12">
        <v>0</v>
      </c>
      <c r="DZ28" s="2" t="s">
        <v>102</v>
      </c>
      <c r="EA28" s="2" t="s">
        <v>102</v>
      </c>
      <c r="EB28" s="2" t="s">
        <v>102</v>
      </c>
      <c r="EC28" s="2" t="str">
        <f>HYPERLINK(".\links\gpi\AGAP006598-PA-gpi.txt","Y-NoSP")</f>
        <v>Y-NoSP</v>
      </c>
      <c r="ED28" s="2">
        <v>0.21</v>
      </c>
      <c r="EF28" s="2">
        <v>12</v>
      </c>
      <c r="EG28" s="2" t="s">
        <v>102</v>
      </c>
      <c r="EH28" s="2" t="s">
        <v>102</v>
      </c>
      <c r="EI28" s="2">
        <v>21.470588235294102</v>
      </c>
      <c r="EJ28" s="2">
        <v>6.4705882352941204</v>
      </c>
      <c r="EK28" s="2">
        <v>6.8627450980392197</v>
      </c>
      <c r="EL28" s="2">
        <v>13.3333333333333</v>
      </c>
      <c r="EM28" s="2">
        <v>1</v>
      </c>
      <c r="EN28" s="2">
        <v>2</v>
      </c>
      <c r="EO28" s="2">
        <v>2</v>
      </c>
      <c r="EP28" s="2" t="s">
        <v>102</v>
      </c>
      <c r="EQ28" s="2" t="s">
        <v>102</v>
      </c>
      <c r="ER28" s="2" t="s">
        <v>102</v>
      </c>
      <c r="ES28" s="2" t="s">
        <v>102</v>
      </c>
      <c r="ET28" s="2" t="str">
        <f>HYPERLINK(".\links\REFSEQ-INVERTEBRATE\AGAP006598-PA-REFSEQ-INVERTEBRATE.txt","AGAP006598-PA")</f>
        <v>AGAP006598-PA</v>
      </c>
      <c r="EU28" s="2" t="str">
        <f>HYPERLINK("http://www.ncbi.nlm.nih.gov/sutils/blink.cgi?pid=XP_316625.4","0.0")</f>
        <v>0.0</v>
      </c>
      <c r="EV28" s="2" t="str">
        <f>HYPERLINK("http://www.ncbi.nlm.nih.gov/protein/XP_316625.4","XP_316625.4")</f>
        <v>XP_316625.4</v>
      </c>
      <c r="EW28" s="2">
        <v>100</v>
      </c>
      <c r="EX28" s="2">
        <v>100</v>
      </c>
      <c r="EY28" s="2">
        <v>100</v>
      </c>
      <c r="EZ28" s="2" t="s">
        <v>105</v>
      </c>
    </row>
    <row r="29" spans="1:156" x14ac:dyDescent="0.25">
      <c r="A29" s="2" t="s">
        <v>455</v>
      </c>
      <c r="B29" s="2">
        <v>0.50935916838920303</v>
      </c>
      <c r="C29" s="2">
        <f t="shared" si="0"/>
        <v>1.4234177863172783</v>
      </c>
      <c r="D29" s="2">
        <v>5.6320755636668096</v>
      </c>
      <c r="E29" s="2">
        <v>13.637183579220199</v>
      </c>
      <c r="F29" s="2">
        <v>2.2174981941166499E-4</v>
      </c>
      <c r="G29" s="2">
        <v>1.6570189653382202E-2</v>
      </c>
      <c r="H29" s="2" t="s">
        <v>93</v>
      </c>
      <c r="I29" s="2" t="s">
        <v>94</v>
      </c>
      <c r="J29" s="2" t="str">
        <f>HYPERLINK("https://vectorbase.org/vectorbase/app/record/gene/AGAP004208","AGAP004208-RA")</f>
        <v>AGAP004208-RA</v>
      </c>
      <c r="K29" s="2" t="str">
        <f>HYPERLINK(".\links\pep\AGAP004208-PA-pep.txt","AGAP004208-PA")</f>
        <v>AGAP004208-PA</v>
      </c>
      <c r="L29" s="12" t="s">
        <v>95</v>
      </c>
      <c r="M29" s="2">
        <v>457</v>
      </c>
      <c r="N29" s="2">
        <v>0</v>
      </c>
      <c r="O29" s="2">
        <v>0</v>
      </c>
      <c r="P29" s="2" t="s">
        <v>102</v>
      </c>
      <c r="Q29" s="9" t="s">
        <v>456</v>
      </c>
      <c r="R29" s="2" t="s">
        <v>196</v>
      </c>
      <c r="S29" s="2" t="str">
        <f>HYPERLINK(".\links\REFSEQ-INVERTEBRATE\AGAP004208-PA-REFSEQ-INVERTEBRATE.txt","REFSEQ-INVERTEBRATE")</f>
        <v>REFSEQ-INVERTEBRATE</v>
      </c>
      <c r="T29" s="2">
        <v>0</v>
      </c>
      <c r="U29" s="2">
        <v>102</v>
      </c>
      <c r="V29" s="2" t="s">
        <v>457</v>
      </c>
      <c r="W29" s="10" t="s">
        <v>458</v>
      </c>
      <c r="X29" s="2" t="s">
        <v>196</v>
      </c>
      <c r="Y29" s="2" t="str">
        <f>HYPERLINK(".\links\ARTHORPODA\AGAP004208-PA-ARTHORPODA.txt","ARTHORPODA")</f>
        <v>ARTHORPODA</v>
      </c>
      <c r="Z29" s="2">
        <v>0</v>
      </c>
      <c r="AA29" s="2">
        <v>102</v>
      </c>
      <c r="AB29" s="13" t="s">
        <v>102</v>
      </c>
      <c r="AC29" s="13" t="str">
        <f>HYPERLINK(".\links\Sigp\AGAP004208-PA-SigP.txt","CYT")</f>
        <v>CYT</v>
      </c>
      <c r="AD29" s="2" t="s">
        <v>102</v>
      </c>
      <c r="AE29" s="2">
        <v>55.723999999999997</v>
      </c>
      <c r="AF29" s="2">
        <v>8.56</v>
      </c>
      <c r="AG29" s="2" t="s">
        <v>102</v>
      </c>
      <c r="AH29" s="2" t="s">
        <v>102</v>
      </c>
      <c r="AI29" s="2" t="s">
        <v>211</v>
      </c>
      <c r="AJ29" s="13">
        <v>0</v>
      </c>
      <c r="AK29" s="2" t="s">
        <v>102</v>
      </c>
      <c r="AL29" s="2" t="s">
        <v>102</v>
      </c>
      <c r="AM29" s="2" t="s">
        <v>102</v>
      </c>
      <c r="AN29" s="13" t="str">
        <f>HYPERLINK(".\links\gpi\AGAP004208-PA-gpi.txt","N")</f>
        <v>N</v>
      </c>
      <c r="AO29" s="14" t="str">
        <f>HYPERLINK(".\links\netoglyc\AGAP004208-PA-netoglyc.txt","0")</f>
        <v>0</v>
      </c>
      <c r="AP29" s="13">
        <v>4.8</v>
      </c>
      <c r="AQ29" s="2">
        <v>0.9</v>
      </c>
      <c r="AR29" s="2">
        <v>0.4</v>
      </c>
      <c r="AS29" s="2" t="s">
        <v>104</v>
      </c>
      <c r="AT29" s="9" t="str">
        <f>HYPERLINK(".\links\NR-LIGHT\AGAP004208-PA-NR-LIGHT.txt","AGAP004208-PA, partial")</f>
        <v>AGAP004208-PA, partial</v>
      </c>
      <c r="AU29" s="2" t="str">
        <f>HYPERLINK("http://www.ncbi.nlm.nih.gov/sutils/blink.cgi?pid=XP_313110.5","0.0")</f>
        <v>0.0</v>
      </c>
      <c r="AV29" s="2" t="str">
        <f>HYPERLINK("http://www.ncbi.nlm.nih.gov/protein/XP_313110.5","XP_313110.5")</f>
        <v>XP_313110.5</v>
      </c>
      <c r="AW29" s="2">
        <v>97</v>
      </c>
      <c r="AX29" s="2">
        <v>97</v>
      </c>
      <c r="AY29" s="2">
        <v>103</v>
      </c>
      <c r="AZ29" s="2" t="s">
        <v>105</v>
      </c>
      <c r="BA29" s="9" t="str">
        <f>HYPERLINK(".\links\REFSEQ-INVERTEBRATE\AGAP004208-PA-REFSEQ-INVERTEBRATE.txt","AGAP004208-PA, partial")</f>
        <v>AGAP004208-PA, partial</v>
      </c>
      <c r="BB29" s="2" t="str">
        <f>HYPERLINK("http://www.ncbi.nlm.nih.gov/sutils/blink.cgi?pid=XP_313110.5","0.0")</f>
        <v>0.0</v>
      </c>
      <c r="BC29" s="2" t="str">
        <f>HYPERLINK("http://www.ncbi.nlm.nih.gov/protein/XP_313110.5","XP_313110.5")</f>
        <v>XP_313110.5</v>
      </c>
      <c r="BD29" s="2">
        <v>97</v>
      </c>
      <c r="BE29" s="2">
        <v>97</v>
      </c>
      <c r="BF29" s="2">
        <v>103</v>
      </c>
      <c r="BG29" s="2" t="s">
        <v>105</v>
      </c>
      <c r="BH29" s="9" t="str">
        <f>HYPERLINK(".\links\REFSEQ-PROTOZOA\AGAP004208-PA-REFSEQ-PROTOZOA.txt","hypothetical protein")</f>
        <v>hypothetical protein</v>
      </c>
      <c r="BI29" s="2" t="str">
        <f>HYPERLINK("http://www.ncbi.nlm.nih.gov/sutils/blink.cgi?pid=XP_001750460.1","5E-046")</f>
        <v>5E-046</v>
      </c>
      <c r="BJ29" s="2" t="str">
        <f>HYPERLINK("http://www.ncbi.nlm.nih.gov/protein/XP_001750460.1","XP_001750460.1")</f>
        <v>XP_001750460.1</v>
      </c>
      <c r="BK29" s="2">
        <v>29</v>
      </c>
      <c r="BL29" s="2">
        <v>52</v>
      </c>
      <c r="BM29" s="2">
        <v>82</v>
      </c>
      <c r="BN29" s="2" t="s">
        <v>248</v>
      </c>
      <c r="BO29" s="9" t="str">
        <f>HYPERLINK(".\links\SWISSP\AGAP004208-PA-SWISSP.txt","Meiosis-specific nuclear structural protein 1")</f>
        <v>Meiosis-specific nuclear structural protein 1</v>
      </c>
      <c r="BP29" s="2" t="str">
        <f>HYPERLINK("http://www.uniprot.org/uniprot/A4IJ21","6E-054")</f>
        <v>6E-054</v>
      </c>
      <c r="BQ29" s="2" t="str">
        <f>HYPERLINK("http://www.uniprot.org/uniprot/A4IJ21#expression","A4IJ21")</f>
        <v>A4IJ21</v>
      </c>
      <c r="BR29" s="2">
        <v>28</v>
      </c>
      <c r="BS29" s="2">
        <v>56</v>
      </c>
      <c r="BT29" s="2">
        <v>89</v>
      </c>
      <c r="BU29" s="2" t="s">
        <v>459</v>
      </c>
      <c r="BV29" s="9" t="str">
        <f>HYPERLINK(".\links\FLYBASE\AGAP004208-PA-FLYBASE.txt","FBpp0081332")</f>
        <v>FBpp0081332</v>
      </c>
      <c r="BW29" s="2" t="str">
        <f>HYPERLINK("http://flybase.org/reports/FBgn0037581#alliance_summary_container","0.065")</f>
        <v>0.065</v>
      </c>
      <c r="BX29" s="2">
        <v>466</v>
      </c>
      <c r="BY29" s="2">
        <v>40</v>
      </c>
      <c r="BZ29" s="2">
        <v>59</v>
      </c>
      <c r="CA29" s="2">
        <v>12</v>
      </c>
      <c r="CB29" s="9" t="str">
        <f>HYPERLINK(".\links\CDD\AGAP004208-PA-CDD.txt","PTZ00121, MAEBL")</f>
        <v>PTZ00121, MAEBL</v>
      </c>
      <c r="CC29" s="15">
        <v>3.9999999999999998E-6</v>
      </c>
      <c r="CD29" s="2">
        <v>21</v>
      </c>
      <c r="CE29" s="2" t="s">
        <v>460</v>
      </c>
      <c r="CF29" s="2" t="s">
        <v>461</v>
      </c>
      <c r="CG29" s="9" t="str">
        <f>HYPERLINK(".\links\KOG\AGAP004208-PA-KOG.txt","Endocytic adaptor protein intersectin")</f>
        <v>Endocytic adaptor protein intersectin</v>
      </c>
      <c r="CH29" s="15">
        <v>3.0000000000000001E-6</v>
      </c>
      <c r="CI29" s="2">
        <v>31</v>
      </c>
      <c r="CJ29" s="2" t="s">
        <v>462</v>
      </c>
      <c r="CK29" s="2" t="s">
        <v>463</v>
      </c>
      <c r="CL29" s="9" t="str">
        <f>HYPERLINK(".\links\PFAM\AGAP004208-PA-PFAM.txt","TPH, Trichohyalin-plectin-homology domain")</f>
        <v>TPH, Trichohyalin-plectin-homology domain</v>
      </c>
      <c r="CM29" s="15">
        <v>2.4E-2</v>
      </c>
      <c r="CN29" s="2">
        <v>94.3</v>
      </c>
      <c r="CO29" s="2" t="s">
        <v>464</v>
      </c>
      <c r="CP29" s="9" t="str">
        <f>HYPERLINK(".\links\SMART\AGAP004208-PA-SMART.txt","vertebrate formins have been assigned functions within the nucleus")</f>
        <v>vertebrate formins have been assigned functions within the nucleus</v>
      </c>
      <c r="CQ29" s="15">
        <v>1.2</v>
      </c>
      <c r="CR29" s="2">
        <v>15.3</v>
      </c>
      <c r="CS29" s="2" t="s">
        <v>465</v>
      </c>
      <c r="CT29" s="2" t="s">
        <v>457</v>
      </c>
      <c r="CU29" s="2" t="s">
        <v>457</v>
      </c>
      <c r="CV29" s="2" t="s">
        <v>457</v>
      </c>
      <c r="CW29" s="2" t="str">
        <f>HYPERLINK(".\links\pep\AGAP004208-PA-pep.txt","AGAP004208-PA")</f>
        <v>AGAP004208-PA</v>
      </c>
      <c r="CX29" s="2" t="s">
        <v>95</v>
      </c>
      <c r="CY29" s="2">
        <v>457</v>
      </c>
      <c r="CZ29" s="2" t="s">
        <v>113</v>
      </c>
      <c r="DA29" s="2" t="s">
        <v>466</v>
      </c>
      <c r="DB29" s="2">
        <v>0</v>
      </c>
      <c r="DC29" s="2">
        <v>0</v>
      </c>
      <c r="DD29" s="2" t="str">
        <f>HYPERLINK("https://www.kegg.jp/kegg-bin/search_pathway_text?map=aga&amp;keyword=AGAP004208&amp;mode=1&amp;viewImage=true","AGAP004208")</f>
        <v>AGAP004208</v>
      </c>
      <c r="DE29" s="2" t="s">
        <v>455</v>
      </c>
      <c r="DF29" s="2" t="s">
        <v>93</v>
      </c>
      <c r="DG29" s="2" t="s">
        <v>94</v>
      </c>
      <c r="DH29" s="2" t="str">
        <f>HYPERLINK("https://vectorbase.org/vectorbase/app/record/gene/AGAP004208","AGAP004208-RA")</f>
        <v>AGAP004208-RA</v>
      </c>
      <c r="DI29" s="2" t="s">
        <v>135</v>
      </c>
      <c r="DJ29" s="2">
        <v>1571</v>
      </c>
      <c r="DK29" s="2" t="str">
        <f>HYPERLINK(".\links\netoglyc\AGAP004208-PA-netoglyc.txt","0")</f>
        <v>0</v>
      </c>
      <c r="DL29" s="2">
        <v>4.8</v>
      </c>
      <c r="DM29" s="2">
        <v>0.9</v>
      </c>
      <c r="DN29" s="2">
        <v>0.4</v>
      </c>
      <c r="DO29" s="2" t="s">
        <v>104</v>
      </c>
      <c r="DP29" s="2" t="s">
        <v>467</v>
      </c>
      <c r="DQ29" s="2" t="str">
        <f>HYPERLINK(".\links\Sigp\AGAP004208-PA-SigP.txt","CYT")</f>
        <v>CYT</v>
      </c>
      <c r="DR29" s="2" t="s">
        <v>102</v>
      </c>
      <c r="DS29" s="2">
        <v>55.723999999999997</v>
      </c>
      <c r="DT29" s="2">
        <v>8.56</v>
      </c>
      <c r="DU29" s="2" t="s">
        <v>102</v>
      </c>
      <c r="DV29" s="2" t="s">
        <v>102</v>
      </c>
      <c r="DW29" s="2" t="s">
        <v>211</v>
      </c>
      <c r="DX29" s="2">
        <v>457</v>
      </c>
      <c r="DY29" s="12">
        <v>0</v>
      </c>
      <c r="DZ29" s="2" t="s">
        <v>102</v>
      </c>
      <c r="EA29" s="2" t="s">
        <v>102</v>
      </c>
      <c r="EB29" s="2" t="s">
        <v>102</v>
      </c>
      <c r="EC29" s="2" t="str">
        <f>HYPERLINK(".\links\gpi\AGAP004208-PA-gpi.txt","N")</f>
        <v>N</v>
      </c>
      <c r="ED29" s="2">
        <v>0.65</v>
      </c>
      <c r="EF29" s="2">
        <v>5</v>
      </c>
      <c r="EG29" s="2" t="s">
        <v>102</v>
      </c>
      <c r="EH29" s="2" t="s">
        <v>102</v>
      </c>
      <c r="EI29" s="2">
        <v>4.8140043763676204</v>
      </c>
      <c r="EJ29" s="2">
        <v>0.43763676148796499</v>
      </c>
      <c r="EK29" s="2">
        <v>0.87527352297592997</v>
      </c>
      <c r="EL29" s="2">
        <v>1.31291028446389</v>
      </c>
      <c r="EM29" s="2" t="s">
        <v>102</v>
      </c>
      <c r="EN29" s="2">
        <v>1</v>
      </c>
      <c r="EO29" s="2">
        <v>1</v>
      </c>
      <c r="EP29" s="2" t="s">
        <v>102</v>
      </c>
      <c r="EQ29" s="2" t="s">
        <v>102</v>
      </c>
      <c r="ER29" s="2" t="s">
        <v>102</v>
      </c>
      <c r="ES29" s="2" t="s">
        <v>102</v>
      </c>
      <c r="ET29" s="2" t="str">
        <f>HYPERLINK(".\links\REFSEQ-INVERTEBRATE\AGAP004208-PA-REFSEQ-INVERTEBRATE.txt","AGAP004208-PA, partial")</f>
        <v>AGAP004208-PA, partial</v>
      </c>
      <c r="EU29" s="2" t="str">
        <f>HYPERLINK("http://www.ncbi.nlm.nih.gov/sutils/blink.cgi?pid=XP_313110.5","0.0")</f>
        <v>0.0</v>
      </c>
      <c r="EV29" s="2" t="str">
        <f>HYPERLINK("http://www.ncbi.nlm.nih.gov/protein/XP_313110.5","XP_313110.5")</f>
        <v>XP_313110.5</v>
      </c>
      <c r="EW29" s="2">
        <v>97</v>
      </c>
      <c r="EX29" s="2">
        <v>97</v>
      </c>
      <c r="EY29" s="2">
        <v>103</v>
      </c>
      <c r="EZ29" s="2" t="s">
        <v>105</v>
      </c>
    </row>
    <row r="30" spans="1:156" x14ac:dyDescent="0.25">
      <c r="A30" s="2" t="s">
        <v>468</v>
      </c>
      <c r="B30" s="2">
        <v>0.50437896714947195</v>
      </c>
      <c r="C30" s="2">
        <f t="shared" si="0"/>
        <v>1.418512601650562</v>
      </c>
      <c r="D30" s="2">
        <v>7.1814237803604</v>
      </c>
      <c r="E30" s="2">
        <v>17.510760209443301</v>
      </c>
      <c r="F30" s="2">
        <v>2.85686245347617E-5</v>
      </c>
      <c r="G30" s="2">
        <v>6.6268708801854098E-3</v>
      </c>
      <c r="H30" s="2" t="s">
        <v>469</v>
      </c>
      <c r="I30" s="2" t="s">
        <v>94</v>
      </c>
      <c r="J30" s="2" t="str">
        <f>HYPERLINK("https://vectorbase.org/vectorbase/app/record/gene/AGAP009897","AGAP009897-RA")</f>
        <v>AGAP009897-RA</v>
      </c>
      <c r="K30" s="2" t="str">
        <f>HYPERLINK(".\links\pep\AGAP009897-PA-pep.txt","AGAP009897-PA")</f>
        <v>AGAP009897-PA</v>
      </c>
      <c r="L30" s="12" t="s">
        <v>95</v>
      </c>
      <c r="M30" s="2">
        <v>494</v>
      </c>
      <c r="N30" s="2">
        <v>0</v>
      </c>
      <c r="O30" s="2">
        <v>0</v>
      </c>
      <c r="P30" s="2" t="s">
        <v>470</v>
      </c>
      <c r="Q30" s="9" t="s">
        <v>471</v>
      </c>
      <c r="R30" s="2" t="s">
        <v>167</v>
      </c>
      <c r="S30" s="2" t="str">
        <f>HYPERLINK(".\links\KOG\AGAP009897-PA-KOG.txt","KOG")</f>
        <v>KOG</v>
      </c>
      <c r="T30" s="2">
        <v>0</v>
      </c>
      <c r="U30" s="2">
        <v>100.4</v>
      </c>
      <c r="V30" s="2" t="s">
        <v>472</v>
      </c>
      <c r="W30" s="10" t="s">
        <v>473</v>
      </c>
      <c r="X30" s="2" t="s">
        <v>167</v>
      </c>
      <c r="Y30" s="2" t="str">
        <f>HYPERLINK(".\links\REFSEQVERTEBRATE95\AGAP009897-PA-REFSEQVERTEBRATE95.txt","REFSEQVERTEBRATE95")</f>
        <v>REFSEQVERTEBRATE95</v>
      </c>
      <c r="Z30" s="2">
        <v>0</v>
      </c>
      <c r="AA30" s="2">
        <v>90</v>
      </c>
      <c r="AB30" s="13" t="s">
        <v>102</v>
      </c>
      <c r="AC30" s="13" t="str">
        <f>HYPERLINK(".\links\Sigp\AGAP009897-PA-SigP.txt","CYT")</f>
        <v>CYT</v>
      </c>
      <c r="AD30" s="2" t="s">
        <v>102</v>
      </c>
      <c r="AE30" s="2">
        <v>54.832000000000001</v>
      </c>
      <c r="AF30" s="2">
        <v>6.79</v>
      </c>
      <c r="AG30" s="2" t="s">
        <v>102</v>
      </c>
      <c r="AH30" s="2" t="s">
        <v>102</v>
      </c>
      <c r="AI30" s="2" t="s">
        <v>474</v>
      </c>
      <c r="AJ30" s="13" t="str">
        <f>HYPERLINK(".\links\tmhmm\AGAP009897-PA-tmhmm.txt","11")</f>
        <v>11</v>
      </c>
      <c r="AK30" s="2">
        <v>47.2</v>
      </c>
      <c r="AL30" s="2">
        <v>13.8</v>
      </c>
      <c r="AM30" s="2">
        <v>39.1</v>
      </c>
      <c r="AN30" s="13" t="str">
        <f>HYPERLINK(".\links\gpi\AGAP009897-PA-gpi.txt","N")</f>
        <v>N</v>
      </c>
      <c r="AO30" s="14" t="str">
        <f>HYPERLINK(".\links\netoglyc\AGAP009897-PA-netoglyc.txt","0")</f>
        <v>0</v>
      </c>
      <c r="AP30" s="13">
        <v>10.1</v>
      </c>
      <c r="AQ30" s="2">
        <v>7.9</v>
      </c>
      <c r="AR30" s="2">
        <v>4.5</v>
      </c>
      <c r="AS30" s="2" t="s">
        <v>104</v>
      </c>
      <c r="AT30" s="9" t="str">
        <f>HYPERLINK(".\links\NR-LIGHT\AGAP009897-PA-NR-LIGHT.txt","AGAP009897-PA")</f>
        <v>AGAP009897-PA</v>
      </c>
      <c r="AU30" s="2" t="str">
        <f>HYPERLINK("http://www.ncbi.nlm.nih.gov/sutils/blink.cgi?pid=XP_319019.4","0.0")</f>
        <v>0.0</v>
      </c>
      <c r="AV30" s="2" t="str">
        <f>HYPERLINK("http://www.ncbi.nlm.nih.gov/protein/XP_319019.4","XP_319019.4")</f>
        <v>XP_319019.4</v>
      </c>
      <c r="AW30" s="2">
        <v>100</v>
      </c>
      <c r="AX30" s="2">
        <v>100</v>
      </c>
      <c r="AY30" s="2">
        <v>100</v>
      </c>
      <c r="AZ30" s="2" t="s">
        <v>105</v>
      </c>
      <c r="BA30" s="9" t="str">
        <f>HYPERLINK(".\links\REFSEQ-INVERTEBRATE\AGAP009897-PA-REFSEQ-INVERTEBRATE.txt","AGAP009897-PA")</f>
        <v>AGAP009897-PA</v>
      </c>
      <c r="BB30" s="2" t="str">
        <f>HYPERLINK("http://www.ncbi.nlm.nih.gov/sutils/blink.cgi?pid=XP_319019.4","0.0")</f>
        <v>0.0</v>
      </c>
      <c r="BC30" s="2" t="str">
        <f>HYPERLINK("http://www.ncbi.nlm.nih.gov/protein/XP_319019.4","XP_319019.4")</f>
        <v>XP_319019.4</v>
      </c>
      <c r="BD30" s="2">
        <v>100</v>
      </c>
      <c r="BE30" s="2">
        <v>100</v>
      </c>
      <c r="BF30" s="2">
        <v>100</v>
      </c>
      <c r="BG30" s="2" t="s">
        <v>105</v>
      </c>
      <c r="BH30" s="9" t="str">
        <f>HYPERLINK(".\links\REFSEQ-PROTOZOA\AGAP009897-PA-REFSEQ-PROTOZOA.txt","hypothetical protein, partial")</f>
        <v>hypothetical protein, partial</v>
      </c>
      <c r="BI30" s="2" t="str">
        <f>HYPERLINK("http://www.ncbi.nlm.nih.gov/sutils/blink.cgi?pid=XP_001744195.1","3E-047")</f>
        <v>3E-047</v>
      </c>
      <c r="BJ30" s="2" t="str">
        <f>HYPERLINK("http://www.ncbi.nlm.nih.gov/protein/XP_001744195.1","XP_001744195.1")</f>
        <v>XP_001744195.1</v>
      </c>
      <c r="BK30" s="2">
        <v>31</v>
      </c>
      <c r="BL30" s="2">
        <v>52</v>
      </c>
      <c r="BM30" s="2">
        <v>106</v>
      </c>
      <c r="BN30" s="2" t="s">
        <v>248</v>
      </c>
      <c r="BO30" s="9" t="str">
        <f>HYPERLINK(".\links\SWISSP\AGAP009897-PA-SWISSP.txt","Proton-coupled amino acid transporter-like protein pathetic")</f>
        <v>Proton-coupled amino acid transporter-like protein pathetic</v>
      </c>
      <c r="BP30" s="2" t="str">
        <f>HYPERLINK("http://www.uniprot.org/uniprot/Q9VT04","1E-111")</f>
        <v>1E-111</v>
      </c>
      <c r="BQ30" s="2" t="str">
        <f>HYPERLINK("http://www.uniprot.org/uniprot/Q9VT04#expression","Q9VT04")</f>
        <v>Q9VT04</v>
      </c>
      <c r="BR30" s="2">
        <v>48</v>
      </c>
      <c r="BS30" s="2">
        <v>66</v>
      </c>
      <c r="BT30" s="2">
        <v>90</v>
      </c>
      <c r="BU30" s="2" t="s">
        <v>107</v>
      </c>
      <c r="BV30" s="9" t="str">
        <f>HYPERLINK(".\links\FLYBASE\AGAP009897-PA-FLYBASE.txt","FBpp0302704")</f>
        <v>FBpp0302704</v>
      </c>
      <c r="BW30" s="2" t="str">
        <f>HYPERLINK("http://flybase.org/reports/FBgn0263776#alliance_summary_container","0.0")</f>
        <v>0.0</v>
      </c>
      <c r="BX30" s="2">
        <v>502</v>
      </c>
      <c r="BY30" s="2">
        <v>61</v>
      </c>
      <c r="BZ30" s="2">
        <v>76</v>
      </c>
      <c r="CA30" s="2">
        <v>99</v>
      </c>
      <c r="CB30" s="9" t="str">
        <f>HYPERLINK(".\links\CDD\AGAP009897-PA-CDD.txt","Aa_trans, Transmembrane amino acid transporter protein")</f>
        <v>Aa_trans, Transmembrane amino acid transporter protein</v>
      </c>
      <c r="CC30" s="15">
        <v>9E-60</v>
      </c>
      <c r="CD30" s="2">
        <v>102.9</v>
      </c>
      <c r="CE30" s="2" t="s">
        <v>475</v>
      </c>
      <c r="CF30" s="2" t="s">
        <v>476</v>
      </c>
      <c r="CG30" s="9" t="str">
        <f>HYPERLINK(".\links\KOG\AGAP009897-PA-KOG.txt","Amino acid transporters")</f>
        <v>Amino acid transporters</v>
      </c>
      <c r="CH30" s="15">
        <v>9.9999999999999998E-150</v>
      </c>
      <c r="CI30" s="2">
        <v>100.4</v>
      </c>
      <c r="CJ30" s="2" t="s">
        <v>477</v>
      </c>
      <c r="CK30" s="2" t="s">
        <v>267</v>
      </c>
      <c r="CL30" s="9" t="str">
        <f>HYPERLINK(".\links\PFAM\AGAP009897-PA-PFAM.txt","Aa_trans, Transmembrane amino acid transporter protein")</f>
        <v>Aa_trans, Transmembrane amino acid transporter protein</v>
      </c>
      <c r="CM30" s="15">
        <v>1.9999999999999999E-60</v>
      </c>
      <c r="CN30" s="2">
        <v>102.9</v>
      </c>
      <c r="CO30" s="2" t="s">
        <v>475</v>
      </c>
      <c r="CP30" s="9" t="str">
        <f>HYPERLINK(".\links\SMART\AGAP009897-PA-SMART.txt","CYCLIN, domain present in cyclins, TFIIB and Retinoblastoma")</f>
        <v>CYCLIN, domain present in cyclins, TFIIB and Retinoblastoma</v>
      </c>
      <c r="CQ30" s="15">
        <v>1.1000000000000001</v>
      </c>
      <c r="CR30" s="2">
        <v>36.1</v>
      </c>
      <c r="CS30" s="2" t="s">
        <v>478</v>
      </c>
      <c r="CT30" s="2" t="s">
        <v>472</v>
      </c>
      <c r="CU30" s="2" t="s">
        <v>472</v>
      </c>
      <c r="CV30" s="2" t="s">
        <v>472</v>
      </c>
      <c r="CW30" s="2" t="str">
        <f>HYPERLINK(".\links\pep\AGAP009897-PA-pep.txt","AGAP009897-PA")</f>
        <v>AGAP009897-PA</v>
      </c>
      <c r="CX30" s="2" t="s">
        <v>95</v>
      </c>
      <c r="CY30" s="2">
        <v>494</v>
      </c>
      <c r="CZ30" s="2" t="s">
        <v>113</v>
      </c>
      <c r="DA30" s="2" t="s">
        <v>479</v>
      </c>
      <c r="DB30" s="2">
        <v>0</v>
      </c>
      <c r="DC30" s="2">
        <v>0</v>
      </c>
      <c r="DD30" s="2" t="str">
        <f>HYPERLINK("https://www.kegg.jp/kegg-bin/search_pathway_text?map=aga&amp;keyword=AGAP009897&amp;mode=1&amp;viewImage=true","AGAP009897")</f>
        <v>AGAP009897</v>
      </c>
      <c r="DE30" s="2" t="s">
        <v>468</v>
      </c>
      <c r="DF30" s="2" t="s">
        <v>469</v>
      </c>
      <c r="DG30" s="2" t="s">
        <v>94</v>
      </c>
      <c r="DH30" s="2" t="str">
        <f>HYPERLINK("https://vectorbase.org/vectorbase/app/record/gene/AGAP009897","AGAP009897-RA")</f>
        <v>AGAP009897-RA</v>
      </c>
      <c r="DI30" s="2" t="s">
        <v>115</v>
      </c>
      <c r="DJ30" s="2">
        <v>3642</v>
      </c>
      <c r="DK30" s="2" t="str">
        <f>HYPERLINK(".\links\netoglyc\AGAP009897-PA-netoglyc.txt","0")</f>
        <v>0</v>
      </c>
      <c r="DL30" s="2">
        <v>10.1</v>
      </c>
      <c r="DM30" s="2">
        <v>7.9</v>
      </c>
      <c r="DN30" s="2">
        <v>4.5</v>
      </c>
      <c r="DO30" s="2" t="s">
        <v>104</v>
      </c>
      <c r="DP30" s="2" t="s">
        <v>102</v>
      </c>
      <c r="DQ30" s="2" t="str">
        <f>HYPERLINK(".\links\Sigp\AGAP009897-PA-SigP.txt","CYT")</f>
        <v>CYT</v>
      </c>
      <c r="DR30" s="2" t="s">
        <v>102</v>
      </c>
      <c r="DS30" s="2">
        <v>54.832000000000001</v>
      </c>
      <c r="DT30" s="2">
        <v>6.79</v>
      </c>
      <c r="DU30" s="2" t="s">
        <v>102</v>
      </c>
      <c r="DV30" s="2" t="s">
        <v>102</v>
      </c>
      <c r="DW30" s="2" t="s">
        <v>474</v>
      </c>
      <c r="DX30" s="2">
        <v>494</v>
      </c>
      <c r="DY30" s="12" t="str">
        <f>HYPERLINK(".\links\tmhmm\AGAP009897-PA-tmhmm.txt","11")</f>
        <v>11</v>
      </c>
      <c r="DZ30" s="2">
        <v>47.2</v>
      </c>
      <c r="EA30" s="2">
        <v>13.8</v>
      </c>
      <c r="EB30" s="2">
        <v>39.1</v>
      </c>
      <c r="EC30" s="2" t="str">
        <f>HYPERLINK(".\links\gpi\AGAP009897-PA-gpi.txt","N")</f>
        <v>N</v>
      </c>
      <c r="ED30" s="2">
        <v>0.34</v>
      </c>
      <c r="EF30" s="2">
        <v>9</v>
      </c>
      <c r="EG30" s="2" t="s">
        <v>102</v>
      </c>
      <c r="EH30" s="2" t="s">
        <v>102</v>
      </c>
      <c r="EI30" s="2">
        <v>10.1214574898785</v>
      </c>
      <c r="EJ30" s="2">
        <v>4.4534412955465603</v>
      </c>
      <c r="EK30" s="2">
        <v>7.8947368421052602</v>
      </c>
      <c r="EL30" s="2">
        <v>12.3481781376518</v>
      </c>
      <c r="EM30" s="2" t="s">
        <v>102</v>
      </c>
      <c r="EN30" s="2">
        <v>3</v>
      </c>
      <c r="EO30" s="2">
        <v>4</v>
      </c>
      <c r="EP30" s="2" t="s">
        <v>102</v>
      </c>
      <c r="EQ30" s="2" t="s">
        <v>102</v>
      </c>
      <c r="ER30" s="2" t="s">
        <v>102</v>
      </c>
      <c r="ES30" s="2" t="s">
        <v>102</v>
      </c>
      <c r="ET30" s="2" t="str">
        <f>HYPERLINK(".\links\REFSEQ-INVERTEBRATE\AGAP009897-PA-REFSEQ-INVERTEBRATE.txt","AGAP009897-PA")</f>
        <v>AGAP009897-PA</v>
      </c>
      <c r="EU30" s="2" t="str">
        <f>HYPERLINK("http://www.ncbi.nlm.nih.gov/sutils/blink.cgi?pid=XP_319019.4","0.0")</f>
        <v>0.0</v>
      </c>
      <c r="EV30" s="2" t="str">
        <f>HYPERLINK("http://www.ncbi.nlm.nih.gov/protein/XP_319019.4","XP_319019.4")</f>
        <v>XP_319019.4</v>
      </c>
      <c r="EW30" s="2">
        <v>100</v>
      </c>
      <c r="EX30" s="2">
        <v>100</v>
      </c>
      <c r="EY30" s="2">
        <v>100</v>
      </c>
      <c r="EZ30" s="2" t="s">
        <v>105</v>
      </c>
    </row>
    <row r="31" spans="1:156" x14ac:dyDescent="0.25">
      <c r="A31" s="2" t="s">
        <v>480</v>
      </c>
      <c r="B31" s="2">
        <v>0.49321226737437701</v>
      </c>
      <c r="C31" s="2">
        <f t="shared" si="0"/>
        <v>1.4075754602321102</v>
      </c>
      <c r="D31" s="2">
        <v>5.5898698005835099</v>
      </c>
      <c r="E31" s="2">
        <v>23.799025492528902</v>
      </c>
      <c r="F31" s="2">
        <v>1.0693658820493299E-6</v>
      </c>
      <c r="G31" s="2">
        <v>9.5805461523601097E-4</v>
      </c>
      <c r="H31" s="2" t="s">
        <v>93</v>
      </c>
      <c r="I31" s="2" t="s">
        <v>94</v>
      </c>
      <c r="J31" s="2" t="str">
        <f>HYPERLINK("https://vectorbase.org/vectorbase/app/record/gene/AGAP011234","AGAP011234-RA")</f>
        <v>AGAP011234-RA</v>
      </c>
      <c r="K31" s="2" t="str">
        <f>HYPERLINK(".\links\pep\AGAP011234-PA-pep.txt","AGAP011234-PA")</f>
        <v>AGAP011234-PA</v>
      </c>
      <c r="L31" s="12" t="s">
        <v>95</v>
      </c>
      <c r="M31" s="2">
        <v>646</v>
      </c>
      <c r="N31" s="2">
        <v>0</v>
      </c>
      <c r="O31" s="2">
        <v>2</v>
      </c>
      <c r="P31" s="2" t="s">
        <v>102</v>
      </c>
      <c r="Q31" s="9" t="s">
        <v>481</v>
      </c>
      <c r="R31" s="2" t="s">
        <v>196</v>
      </c>
      <c r="S31" s="2" t="str">
        <f>HYPERLINK(".\links\REFSEQ-INVERTEBRATE\AGAP011234-PA-REFSEQ-INVERTEBRATE.txt","REFSEQ-INVERTEBRATE")</f>
        <v>REFSEQ-INVERTEBRATE</v>
      </c>
      <c r="T31" s="2">
        <v>0</v>
      </c>
      <c r="U31" s="2">
        <v>100</v>
      </c>
      <c r="V31" s="2" t="s">
        <v>481</v>
      </c>
      <c r="W31" s="10" t="s">
        <v>197</v>
      </c>
      <c r="X31" s="2" t="s">
        <v>196</v>
      </c>
      <c r="Y31" s="2" t="str">
        <f>HYPERLINK(".\links\ARTHORPODA\AGAP011234-PA-ARTHORPODA.txt","ARTHORPODA")</f>
        <v>ARTHORPODA</v>
      </c>
      <c r="Z31" s="15">
        <v>0</v>
      </c>
      <c r="AA31" s="2">
        <v>100</v>
      </c>
      <c r="AB31" s="13" t="str">
        <f>HYPERLINK(".\links\pep\AGAP011234-PA-sulf.txt","1")</f>
        <v>1</v>
      </c>
      <c r="AC31" s="13" t="str">
        <f>HYPERLINK(".\links\Sigp\AGAP011234-PA-SigP.txt","CYT")</f>
        <v>CYT</v>
      </c>
      <c r="AD31" s="2" t="s">
        <v>102</v>
      </c>
      <c r="AE31" s="2">
        <v>75.037999999999997</v>
      </c>
      <c r="AF31" s="2">
        <v>6.52</v>
      </c>
      <c r="AG31" s="2" t="s">
        <v>102</v>
      </c>
      <c r="AH31" s="2" t="s">
        <v>102</v>
      </c>
      <c r="AI31" s="2" t="s">
        <v>482</v>
      </c>
      <c r="AJ31" s="13">
        <v>0</v>
      </c>
      <c r="AK31" s="2" t="s">
        <v>102</v>
      </c>
      <c r="AL31" s="2" t="s">
        <v>102</v>
      </c>
      <c r="AM31" s="2" t="s">
        <v>102</v>
      </c>
      <c r="AN31" s="13" t="str">
        <f>HYPERLINK(".\links\gpi\AGAP011234-PA-gpi.txt","N")</f>
        <v>N</v>
      </c>
      <c r="AO31" s="14" t="str">
        <f>HYPERLINK(".\links\netoglyc\AGAP011234-PA-netoglyc.txt","0")</f>
        <v>0</v>
      </c>
      <c r="AP31" s="13">
        <v>10.5</v>
      </c>
      <c r="AQ31" s="2">
        <v>3.6</v>
      </c>
      <c r="AR31" s="2">
        <v>4.2</v>
      </c>
      <c r="AS31" s="2" t="s">
        <v>104</v>
      </c>
      <c r="AT31" s="9" t="str">
        <f>HYPERLINK(".\links\NR-LIGHT\AGAP011234-PA-NR-LIGHT.txt","AGAP011234-PA")</f>
        <v>AGAP011234-PA</v>
      </c>
      <c r="AU31" s="2" t="str">
        <f>HYPERLINK("http://www.ncbi.nlm.nih.gov/sutils/blink.cgi?pid=XP_564258.1","0.0")</f>
        <v>0.0</v>
      </c>
      <c r="AV31" s="2" t="str">
        <f>HYPERLINK("http://www.ncbi.nlm.nih.gov/protein/XP_564258.1","XP_564258.1")</f>
        <v>XP_564258.1</v>
      </c>
      <c r="AW31" s="2">
        <v>100</v>
      </c>
      <c r="AX31" s="2">
        <v>100</v>
      </c>
      <c r="AY31" s="2">
        <v>100</v>
      </c>
      <c r="AZ31" s="2" t="s">
        <v>105</v>
      </c>
      <c r="BA31" s="9" t="str">
        <f>HYPERLINK(".\links\REFSEQ-INVERTEBRATE\AGAP011234-PA-REFSEQ-INVERTEBRATE.txt","AGAP011234-PA")</f>
        <v>AGAP011234-PA</v>
      </c>
      <c r="BB31" s="2" t="str">
        <f>HYPERLINK("http://www.ncbi.nlm.nih.gov/sutils/blink.cgi?pid=XP_564258.1","0.0")</f>
        <v>0.0</v>
      </c>
      <c r="BC31" s="2" t="str">
        <f>HYPERLINK("http://www.ncbi.nlm.nih.gov/protein/XP_564258.1","XP_564258.1")</f>
        <v>XP_564258.1</v>
      </c>
      <c r="BD31" s="2">
        <v>100</v>
      </c>
      <c r="BE31" s="2">
        <v>100</v>
      </c>
      <c r="BF31" s="2">
        <v>100</v>
      </c>
      <c r="BG31" s="2" t="s">
        <v>105</v>
      </c>
      <c r="BH31" s="9" t="str">
        <f>HYPERLINK(".\links\REFSEQ-PROTOZOA\AGAP011234-PA-REFSEQ-PROTOZOA.txt","hypothetical protein EMIHUDRAFT_452240")</f>
        <v>hypothetical protein EMIHUDRAFT_452240</v>
      </c>
      <c r="BI31" s="2" t="str">
        <f>HYPERLINK("http://www.ncbi.nlm.nih.gov/sutils/blink.cgi?pid=XP_005764476.1","2E-013")</f>
        <v>2E-013</v>
      </c>
      <c r="BJ31" s="2" t="str">
        <f>HYPERLINK("http://www.ncbi.nlm.nih.gov/protein/XP_005764476.1","XP_005764476.1")</f>
        <v>XP_005764476.1</v>
      </c>
      <c r="BK31" s="2">
        <v>26</v>
      </c>
      <c r="BL31" s="2">
        <v>39</v>
      </c>
      <c r="BM31" s="2">
        <v>65</v>
      </c>
      <c r="BN31" s="2" t="s">
        <v>169</v>
      </c>
      <c r="BO31" s="9" t="str">
        <f>HYPERLINK(".\links\SWISSP\AGAP011234-PA-SWISSP.txt","SET and MYND domain-containing protein 4")</f>
        <v>SET and MYND domain-containing protein 4</v>
      </c>
      <c r="BP31" s="2" t="str">
        <f>HYPERLINK("http://www.uniprot.org/uniprot/Q5F3V0","4E-018")</f>
        <v>4E-018</v>
      </c>
      <c r="BQ31" s="2" t="str">
        <f>HYPERLINK("http://www.uniprot.org/uniprot/Q5F3V0#expression","Q5F3V0")</f>
        <v>Q5F3V0</v>
      </c>
      <c r="BR31" s="2">
        <v>23</v>
      </c>
      <c r="BS31" s="2">
        <v>37</v>
      </c>
      <c r="BT31" s="2">
        <v>74</v>
      </c>
      <c r="BU31" s="2" t="s">
        <v>483</v>
      </c>
      <c r="BV31" s="9" t="str">
        <f>HYPERLINK(".\links\FLYBASE\AGAP011234-PA-FLYBASE.txt","FBpp0087091")</f>
        <v>FBpp0087091</v>
      </c>
      <c r="BW31" s="2" t="str">
        <f>HYPERLINK("http://flybase.org/reports/FBgn0027495#alliance_summary_container","2E-67")</f>
        <v>2E-67</v>
      </c>
      <c r="BX31" s="2">
        <v>573</v>
      </c>
      <c r="BY31" s="2">
        <v>31</v>
      </c>
      <c r="BZ31" s="2">
        <v>49</v>
      </c>
      <c r="CA31" s="2">
        <v>84</v>
      </c>
      <c r="CB31" s="9" t="str">
        <f>HYPERLINK(".\links\CDD\AGAP011234-PA-CDD.txt","zf-MYND, MYND finger")</f>
        <v>zf-MYND, MYND finger</v>
      </c>
      <c r="CC31" s="15">
        <v>3.0000000000000001E-6</v>
      </c>
      <c r="CD31" s="2">
        <v>105.1</v>
      </c>
      <c r="CE31" s="2" t="s">
        <v>484</v>
      </c>
      <c r="CF31" s="2" t="s">
        <v>485</v>
      </c>
      <c r="CG31" s="9" t="str">
        <f>HYPERLINK(".\links\KOG\AGAP011234-PA-KOG.txt","Predicted histone tail methylase containing SET domain")</f>
        <v>Predicted histone tail methylase containing SET domain</v>
      </c>
      <c r="CH31" s="15">
        <v>8.9999999999999996E-7</v>
      </c>
      <c r="CI31" s="2">
        <v>36.700000000000003</v>
      </c>
      <c r="CJ31" s="2" t="s">
        <v>486</v>
      </c>
      <c r="CK31" s="2" t="s">
        <v>398</v>
      </c>
      <c r="CL31" s="9" t="str">
        <f>HYPERLINK(".\links\PFAM\AGAP011234-PA-PFAM.txt","zf-MYND, MYND finger")</f>
        <v>zf-MYND, MYND finger</v>
      </c>
      <c r="CM31" s="15">
        <v>5.9999999999999997E-7</v>
      </c>
      <c r="CN31" s="2">
        <v>105.1</v>
      </c>
      <c r="CO31" s="2" t="s">
        <v>484</v>
      </c>
      <c r="CP31" s="9" t="str">
        <f>HYPERLINK(".\links\SMART\AGAP011234-PA-SMART.txt","SET, SET (Su(var)3-9, Enhancer-of-zeste, Trithorax) domain")</f>
        <v>SET, SET (Su(var)3-9, Enhancer-of-zeste, Trithorax) domain</v>
      </c>
      <c r="CQ31" s="15">
        <v>7.9999999999999996E-6</v>
      </c>
      <c r="CR31" s="2">
        <v>35.5</v>
      </c>
      <c r="CS31" s="2" t="s">
        <v>487</v>
      </c>
      <c r="CT31" s="2" t="s">
        <v>481</v>
      </c>
      <c r="CU31" s="2" t="s">
        <v>481</v>
      </c>
      <c r="CV31" s="2" t="s">
        <v>481</v>
      </c>
      <c r="CW31" s="2" t="str">
        <f>HYPERLINK(".\links\pep\AGAP011234-PA-pep.txt","AGAP011234-PA")</f>
        <v>AGAP011234-PA</v>
      </c>
      <c r="CX31" s="2" t="s">
        <v>95</v>
      </c>
      <c r="CY31" s="2">
        <v>646</v>
      </c>
      <c r="CZ31" s="2" t="s">
        <v>113</v>
      </c>
      <c r="DA31" s="2" t="s">
        <v>488</v>
      </c>
      <c r="DB31" s="2">
        <v>0</v>
      </c>
      <c r="DC31" s="2">
        <v>2</v>
      </c>
      <c r="DD31" s="2" t="str">
        <f>HYPERLINK("https://www.kegg.jp/kegg-bin/search_pathway_text?map=aga&amp;keyword=AGAP011234&amp;mode=1&amp;viewImage=true","AGAP011234")</f>
        <v>AGAP011234</v>
      </c>
      <c r="DE31" s="2" t="s">
        <v>480</v>
      </c>
      <c r="DF31" s="2" t="s">
        <v>93</v>
      </c>
      <c r="DG31" s="2" t="s">
        <v>94</v>
      </c>
      <c r="DH31" s="2" t="str">
        <f>HYPERLINK("https://vectorbase.org/vectorbase/app/record/gene/AGAP011234","AGAP011234-RA")</f>
        <v>AGAP011234-RA</v>
      </c>
      <c r="DI31" s="2" t="s">
        <v>135</v>
      </c>
      <c r="DJ31" s="2">
        <v>2422</v>
      </c>
      <c r="DK31" s="2" t="str">
        <f>HYPERLINK(".\links\netoglyc\AGAP011234-PA-netoglyc.txt","0")</f>
        <v>0</v>
      </c>
      <c r="DL31" s="2">
        <v>10.5</v>
      </c>
      <c r="DM31" s="2">
        <v>3.6</v>
      </c>
      <c r="DN31" s="2">
        <v>4.2</v>
      </c>
      <c r="DO31" s="2" t="s">
        <v>104</v>
      </c>
      <c r="DP31" s="2" t="s">
        <v>102</v>
      </c>
      <c r="DQ31" s="2" t="str">
        <f>HYPERLINK(".\links\Sigp\AGAP011234-PA-SigP.txt","CYT")</f>
        <v>CYT</v>
      </c>
      <c r="DR31" s="2" t="s">
        <v>102</v>
      </c>
      <c r="DS31" s="2">
        <v>75.037999999999997</v>
      </c>
      <c r="DT31" s="2">
        <v>6.52</v>
      </c>
      <c r="DU31" s="2" t="s">
        <v>102</v>
      </c>
      <c r="DV31" s="2" t="s">
        <v>102</v>
      </c>
      <c r="DW31" s="2" t="s">
        <v>482</v>
      </c>
      <c r="DX31" s="2">
        <v>646</v>
      </c>
      <c r="DY31" s="12">
        <v>0</v>
      </c>
      <c r="DZ31" s="2" t="s">
        <v>102</v>
      </c>
      <c r="EA31" s="2" t="s">
        <v>102</v>
      </c>
      <c r="EB31" s="2" t="s">
        <v>102</v>
      </c>
      <c r="EC31" s="2" t="str">
        <f>HYPERLINK(".\links\gpi\AGAP011234-PA-gpi.txt","N")</f>
        <v>N</v>
      </c>
      <c r="ED31" s="2">
        <v>0.26</v>
      </c>
      <c r="EF31" s="2">
        <v>20</v>
      </c>
      <c r="EG31" s="2" t="str">
        <f>HYPERLINK(".\links\pep\AGAP011234-PA-sulf.txt","1")</f>
        <v>1</v>
      </c>
      <c r="EH31" s="2" t="s">
        <v>102</v>
      </c>
      <c r="EI31" s="2">
        <v>10.526315789473699</v>
      </c>
      <c r="EJ31" s="2">
        <v>4.1795665634674899</v>
      </c>
      <c r="EK31" s="2">
        <v>3.56037151702786</v>
      </c>
      <c r="EL31" s="2">
        <v>7.7399380804953601</v>
      </c>
      <c r="EM31" s="2" t="s">
        <v>102</v>
      </c>
      <c r="EN31" s="2" t="s">
        <v>102</v>
      </c>
      <c r="EO31" s="2">
        <v>2</v>
      </c>
      <c r="EP31" s="2" t="s">
        <v>102</v>
      </c>
      <c r="EQ31" s="2" t="s">
        <v>102</v>
      </c>
      <c r="ER31" s="2" t="s">
        <v>102</v>
      </c>
      <c r="ES31" s="2" t="s">
        <v>102</v>
      </c>
      <c r="ET31" s="2" t="str">
        <f>HYPERLINK(".\links\REFSEQ-INVERTEBRATE\AGAP011234-PA-REFSEQ-INVERTEBRATE.txt","AGAP011234-PA")</f>
        <v>AGAP011234-PA</v>
      </c>
      <c r="EU31" s="2" t="str">
        <f>HYPERLINK("http://www.ncbi.nlm.nih.gov/sutils/blink.cgi?pid=XP_564258.1","0.0")</f>
        <v>0.0</v>
      </c>
      <c r="EV31" s="2" t="str">
        <f>HYPERLINK("http://www.ncbi.nlm.nih.gov/protein/XP_564258.1","XP_564258.1")</f>
        <v>XP_564258.1</v>
      </c>
      <c r="EW31" s="2">
        <v>100</v>
      </c>
      <c r="EX31" s="2">
        <v>100</v>
      </c>
      <c r="EY31" s="2">
        <v>100</v>
      </c>
      <c r="EZ31" s="2" t="s">
        <v>105</v>
      </c>
    </row>
    <row r="32" spans="1:156" x14ac:dyDescent="0.25">
      <c r="A32" s="2" t="s">
        <v>489</v>
      </c>
      <c r="B32" s="2">
        <v>0.49254351143000802</v>
      </c>
      <c r="C32" s="2">
        <f t="shared" si="0"/>
        <v>1.4069231350424622</v>
      </c>
      <c r="D32" s="2">
        <v>4.4101657227181601</v>
      </c>
      <c r="E32" s="2">
        <v>10.541837062052799</v>
      </c>
      <c r="F32" s="2">
        <v>1.1670236501665401E-3</v>
      </c>
      <c r="G32" s="2">
        <v>3.4434185845482801E-2</v>
      </c>
      <c r="H32" s="2" t="s">
        <v>490</v>
      </c>
      <c r="I32" s="2" t="s">
        <v>102</v>
      </c>
      <c r="J32" s="2" t="str">
        <f>HYPERLINK("https://vectorbase.org/vectorbase/app/record/gene/AGAP005121","AGAP005121-RB")</f>
        <v>AGAP005121-RB</v>
      </c>
      <c r="K32" s="2" t="str">
        <f>HYPERLINK(".\links\pep\AGAP005121-PB-pep.txt","AGAP005121-PB")</f>
        <v>AGAP005121-PB</v>
      </c>
      <c r="L32" s="12" t="s">
        <v>95</v>
      </c>
      <c r="M32" s="2">
        <v>190</v>
      </c>
      <c r="N32" s="2">
        <v>0</v>
      </c>
      <c r="O32" s="2">
        <v>1</v>
      </c>
      <c r="P32" s="2" t="s">
        <v>491</v>
      </c>
      <c r="Q32" s="9" t="s">
        <v>492</v>
      </c>
      <c r="R32" s="2" t="s">
        <v>167</v>
      </c>
      <c r="S32" s="2" t="str">
        <f>HYPERLINK(".\links\KOG\AGAP005121-PB-KOG.txt","KOG")</f>
        <v>KOG</v>
      </c>
      <c r="T32" s="2">
        <v>3.9999999999999999E-48</v>
      </c>
      <c r="U32" s="2">
        <v>99.4</v>
      </c>
      <c r="V32" s="2" t="s">
        <v>493</v>
      </c>
      <c r="W32" s="10" t="s">
        <v>494</v>
      </c>
      <c r="X32" s="2" t="s">
        <v>495</v>
      </c>
      <c r="Y32" s="2" t="str">
        <f>HYPERLINK(".\links\KOG\AGAP005121-PB-KOG.txt","KOG")</f>
        <v>KOG</v>
      </c>
      <c r="Z32" s="15">
        <v>5.9999999999999998E-50</v>
      </c>
      <c r="AA32" s="2">
        <v>97.3</v>
      </c>
      <c r="AB32" s="13" t="s">
        <v>102</v>
      </c>
      <c r="AC32" s="13" t="str">
        <f>HYPERLINK(".\links\Sigp\AGAP005121-PB-SigP.txt","CYT")</f>
        <v>CYT</v>
      </c>
      <c r="AD32" s="2" t="s">
        <v>102</v>
      </c>
      <c r="AE32" s="2">
        <v>21.248999999999999</v>
      </c>
      <c r="AF32" s="2">
        <v>9.64</v>
      </c>
      <c r="AG32" s="2" t="s">
        <v>102</v>
      </c>
      <c r="AH32" s="2" t="s">
        <v>102</v>
      </c>
      <c r="AI32" s="2" t="s">
        <v>496</v>
      </c>
      <c r="AJ32" s="13" t="str">
        <f>HYPERLINK(".\links\tmhmm\AGAP005121-PB-tmhmm.txt","4")</f>
        <v>4</v>
      </c>
      <c r="AK32" s="2">
        <v>39.5</v>
      </c>
      <c r="AL32" s="2">
        <v>4.2</v>
      </c>
      <c r="AM32" s="2">
        <v>56.3</v>
      </c>
      <c r="AN32" s="13" t="str">
        <f>HYPERLINK(".\links\gpi\AGAP005121-PB-gpi.txt","N")</f>
        <v>N</v>
      </c>
      <c r="AO32" s="14" t="str">
        <f>HYPERLINK(".\links\netoglyc\AGAP005121-PB-netoglyc.txt","2")</f>
        <v>2</v>
      </c>
      <c r="AP32" s="13">
        <v>11.1</v>
      </c>
      <c r="AQ32" s="2">
        <v>5.8</v>
      </c>
      <c r="AR32" s="2">
        <v>4.2</v>
      </c>
      <c r="AS32" s="2" t="s">
        <v>104</v>
      </c>
      <c r="AT32" s="9" t="str">
        <f>HYPERLINK(".\links\NR-LIGHT\AGAP005121-PB-NR-LIGHT.txt","AGAP005121-PB")</f>
        <v>AGAP005121-PB</v>
      </c>
      <c r="AU32" s="2" t="str">
        <f>HYPERLINK("http://www.ncbi.nlm.nih.gov/sutils/blink.cgi?pid=XP_314002.4","1E-102")</f>
        <v>1E-102</v>
      </c>
      <c r="AV32" s="2" t="str">
        <f>HYPERLINK("http://www.ncbi.nlm.nih.gov/protein/XP_314002.4","XP_314002.4")</f>
        <v>XP_314002.4</v>
      </c>
      <c r="AW32" s="2">
        <v>100</v>
      </c>
      <c r="AX32" s="2">
        <v>100</v>
      </c>
      <c r="AY32" s="2">
        <v>100</v>
      </c>
      <c r="AZ32" s="2" t="s">
        <v>105</v>
      </c>
      <c r="BA32" s="9" t="str">
        <f>HYPERLINK(".\links\REFSEQ-INVERTEBRATE\AGAP005121-PB-REFSEQ-INVERTEBRATE.txt","AGAP005121-PA")</f>
        <v>AGAP005121-PA</v>
      </c>
      <c r="BB32" s="2" t="str">
        <f>HYPERLINK("http://www.ncbi.nlm.nih.gov/sutils/blink.cgi?pid=XP_001688502.1","1E-102")</f>
        <v>1E-102</v>
      </c>
      <c r="BC32" s="2" t="str">
        <f>HYPERLINK("http://www.ncbi.nlm.nih.gov/protein/XP_001688502.1","XP_001688502.1")</f>
        <v>XP_001688502.1</v>
      </c>
      <c r="BD32" s="2">
        <v>100</v>
      </c>
      <c r="BE32" s="2">
        <v>100</v>
      </c>
      <c r="BF32" s="2">
        <v>100</v>
      </c>
      <c r="BG32" s="2" t="s">
        <v>105</v>
      </c>
      <c r="BH32" s="9" t="str">
        <f>HYPERLINK(".\links\REFSEQ-PROTOZOA\AGAP005121-PB-REFSEQ-PROTOZOA.txt","hypothetical protein DICPUDRAFT_99208")</f>
        <v>hypothetical protein DICPUDRAFT_99208</v>
      </c>
      <c r="BI32" s="2" t="str">
        <f>HYPERLINK("http://www.ncbi.nlm.nih.gov/sutils/blink.cgi?pid=XP_003292023.1","1E-008")</f>
        <v>1E-008</v>
      </c>
      <c r="BJ32" s="2" t="str">
        <f>HYPERLINK("http://www.ncbi.nlm.nih.gov/protein/XP_003292023.1","XP_003292023.1")</f>
        <v>XP_003292023.1</v>
      </c>
      <c r="BK32" s="2">
        <v>30</v>
      </c>
      <c r="BL32" s="2">
        <v>47</v>
      </c>
      <c r="BM32" s="2">
        <v>109</v>
      </c>
      <c r="BN32" s="2" t="s">
        <v>337</v>
      </c>
      <c r="BO32" s="9" t="str">
        <f>HYPERLINK(".\links\SWISSP\AGAP005121-PB-SWISSP.txt","PRA1 family protein 3")</f>
        <v>PRA1 family protein 3</v>
      </c>
      <c r="BP32" s="2" t="str">
        <f>HYPERLINK("http://www.uniprot.org/uniprot/Q5F433","1E-031")</f>
        <v>1E-031</v>
      </c>
      <c r="BQ32" s="2" t="str">
        <f>HYPERLINK("http://www.uniprot.org/uniprot/Q5F433#expression","Q5F433")</f>
        <v>Q5F433</v>
      </c>
      <c r="BR32" s="2">
        <v>42</v>
      </c>
      <c r="BS32" s="2">
        <v>63</v>
      </c>
      <c r="BT32" s="2">
        <v>91</v>
      </c>
      <c r="BU32" s="2" t="s">
        <v>483</v>
      </c>
      <c r="BV32" s="9" t="str">
        <f>HYPERLINK(".\links\FLYBASE\AGAP005121-PB-FLYBASE.txt","FBpp0309815")</f>
        <v>FBpp0309815</v>
      </c>
      <c r="BW32" s="2" t="str">
        <f>HYPERLINK("http://flybase.org/reports/FBgn0032704#alliance_summary_container","2E-44")</f>
        <v>2E-44</v>
      </c>
      <c r="BX32" s="2">
        <v>249</v>
      </c>
      <c r="BY32" s="2">
        <v>47</v>
      </c>
      <c r="BZ32" s="2">
        <v>67</v>
      </c>
      <c r="CA32" s="2">
        <v>74</v>
      </c>
      <c r="CB32" s="9" t="str">
        <f>HYPERLINK(".\links\CDD\AGAP005121-PB-CDD.txt","PRA1, PRA1 family protein")</f>
        <v>PRA1, PRA1 family protein</v>
      </c>
      <c r="CC32" s="15">
        <v>6.0000000000000001E-28</v>
      </c>
      <c r="CD32" s="2">
        <v>105</v>
      </c>
      <c r="CE32" s="2" t="s">
        <v>497</v>
      </c>
      <c r="CF32" s="2" t="s">
        <v>498</v>
      </c>
      <c r="CG32" s="9" t="str">
        <f>HYPERLINK(".\links\KOG\AGAP005121-PB-KOG.txt","Glutamate transporter EAAC1-interacting protein GTRAP3-18")</f>
        <v>Glutamate transporter EAAC1-interacting protein GTRAP3-18</v>
      </c>
      <c r="CH32" s="15">
        <v>3.9999999999999999E-48</v>
      </c>
      <c r="CI32" s="2">
        <v>99.5</v>
      </c>
      <c r="CJ32" s="2" t="s">
        <v>499</v>
      </c>
      <c r="CK32" s="2" t="s">
        <v>500</v>
      </c>
      <c r="CL32" s="9" t="str">
        <f>HYPERLINK(".\links\PFAM\AGAP005121-PB-PFAM.txt","PRA1, PRA1 family protein")</f>
        <v>PRA1, PRA1 family protein</v>
      </c>
      <c r="CM32" s="15">
        <v>9.9999999999999997E-29</v>
      </c>
      <c r="CN32" s="2">
        <v>105</v>
      </c>
      <c r="CO32" s="2" t="s">
        <v>497</v>
      </c>
      <c r="CP32" s="9" t="str">
        <f>HYPERLINK(".\links\SMART\AGAP005121-PB-SMART.txt","TSPc, tail specific protease")</f>
        <v>TSPc, tail specific protease</v>
      </c>
      <c r="CQ32" s="15">
        <v>0.17</v>
      </c>
      <c r="CR32" s="2">
        <v>21.9</v>
      </c>
      <c r="CS32" s="2" t="s">
        <v>501</v>
      </c>
      <c r="CT32" s="2" t="s">
        <v>493</v>
      </c>
      <c r="CU32" s="2" t="s">
        <v>493</v>
      </c>
      <c r="CV32" s="2" t="s">
        <v>493</v>
      </c>
      <c r="CW32" s="2" t="str">
        <f>HYPERLINK(".\links\pep\AGAP005121-PB-pep.txt","AGAP005121-PB")</f>
        <v>AGAP005121-PB</v>
      </c>
      <c r="CX32" s="2" t="s">
        <v>95</v>
      </c>
      <c r="CY32" s="2">
        <v>190</v>
      </c>
      <c r="CZ32" s="2" t="s">
        <v>113</v>
      </c>
      <c r="DA32" s="2">
        <v>0</v>
      </c>
      <c r="DB32" s="2">
        <v>1</v>
      </c>
      <c r="DD32" s="2" t="str">
        <f>HYPERLINK("https://www.kegg.jp/kegg-bin/search_pathway_text?map=aga&amp;keyword=AGAP005121&amp;mode=1&amp;viewImage=true","AGAP005121")</f>
        <v>AGAP005121</v>
      </c>
      <c r="DE32" s="2" t="s">
        <v>489</v>
      </c>
      <c r="DF32" s="2" t="s">
        <v>490</v>
      </c>
      <c r="DG32" s="2" t="s">
        <v>102</v>
      </c>
      <c r="DH32" s="2" t="str">
        <f>HYPERLINK("https://vectorbase.org/vectorbase/app/record/gene/AGAP005121","AGAP005121-RB")</f>
        <v>AGAP005121-RB</v>
      </c>
      <c r="DI32" s="2" t="s">
        <v>118</v>
      </c>
      <c r="DJ32" s="2">
        <v>1053</v>
      </c>
      <c r="DK32" s="2" t="str">
        <f>HYPERLINK(".\links\netoglyc\AGAP005121-PB-netoglyc.txt","2")</f>
        <v>2</v>
      </c>
      <c r="DL32" s="2">
        <v>11.1</v>
      </c>
      <c r="DM32" s="2">
        <v>5.8</v>
      </c>
      <c r="DN32" s="2">
        <v>4.2</v>
      </c>
      <c r="DO32" s="2" t="s">
        <v>104</v>
      </c>
      <c r="DP32" s="2" t="s">
        <v>102</v>
      </c>
      <c r="DQ32" s="2" t="str">
        <f>HYPERLINK(".\links\Sigp\AGAP005121-PB-SigP.txt","CYT")</f>
        <v>CYT</v>
      </c>
      <c r="DR32" s="2" t="s">
        <v>102</v>
      </c>
      <c r="DS32" s="2">
        <v>21.248999999999999</v>
      </c>
      <c r="DT32" s="2">
        <v>9.64</v>
      </c>
      <c r="DU32" s="2" t="s">
        <v>102</v>
      </c>
      <c r="DV32" s="2" t="s">
        <v>102</v>
      </c>
      <c r="DW32" s="2" t="s">
        <v>496</v>
      </c>
      <c r="DX32" s="2">
        <v>190</v>
      </c>
      <c r="DY32" s="12" t="str">
        <f>HYPERLINK(".\links\tmhmm\AGAP005121-PB-tmhmm.txt","4")</f>
        <v>4</v>
      </c>
      <c r="DZ32" s="2">
        <v>39.5</v>
      </c>
      <c r="EA32" s="2">
        <v>4.2</v>
      </c>
      <c r="EB32" s="2">
        <v>56.3</v>
      </c>
      <c r="EC32" s="2" t="str">
        <f>HYPERLINK(".\links\gpi\AGAP005121-PB-gpi.txt","N")</f>
        <v>N</v>
      </c>
      <c r="ED32" s="2">
        <v>0.37</v>
      </c>
      <c r="EF32" s="2">
        <v>0</v>
      </c>
      <c r="EG32" s="2" t="s">
        <v>102</v>
      </c>
      <c r="EH32" s="2" t="s">
        <v>102</v>
      </c>
      <c r="EI32" s="2">
        <v>11.0526315789474</v>
      </c>
      <c r="EJ32" s="2">
        <v>4.2105263157894699</v>
      </c>
      <c r="EK32" s="2">
        <v>5.7894736842105301</v>
      </c>
      <c r="EL32" s="2">
        <v>10</v>
      </c>
      <c r="EM32" s="2" t="s">
        <v>102</v>
      </c>
      <c r="EN32" s="2" t="s">
        <v>102</v>
      </c>
      <c r="EO32" s="2" t="s">
        <v>102</v>
      </c>
      <c r="EP32" s="2" t="s">
        <v>102</v>
      </c>
      <c r="EQ32" s="2" t="s">
        <v>102</v>
      </c>
      <c r="ER32" s="2" t="s">
        <v>102</v>
      </c>
      <c r="ES32" s="2" t="s">
        <v>102</v>
      </c>
      <c r="ET32" s="2" t="str">
        <f>HYPERLINK(".\links\REFSEQ-INVERTEBRATE\AGAP005121-PB-REFSEQ-INVERTEBRATE.txt","AGAP005121-PA")</f>
        <v>AGAP005121-PA</v>
      </c>
      <c r="EU32" s="2" t="str">
        <f>HYPERLINK("http://www.ncbi.nlm.nih.gov/sutils/blink.cgi?pid=XP_001688502.1","1E-136")</f>
        <v>1E-136</v>
      </c>
      <c r="EV32" s="2" t="str">
        <f>HYPERLINK("http://www.ncbi.nlm.nih.gov/protein/XP_001688502.1","XP_001688502.1")</f>
        <v>XP_001688502.1</v>
      </c>
      <c r="EW32" s="2">
        <v>100</v>
      </c>
      <c r="EX32" s="2">
        <v>100</v>
      </c>
      <c r="EY32" s="2">
        <v>100</v>
      </c>
      <c r="EZ32" s="2" t="s">
        <v>105</v>
      </c>
    </row>
    <row r="33" spans="1:156" x14ac:dyDescent="0.25">
      <c r="A33" s="2" t="s">
        <v>502</v>
      </c>
      <c r="B33" s="2">
        <v>0.49141163180988001</v>
      </c>
      <c r="C33" s="2">
        <f t="shared" si="0"/>
        <v>1.4058197534896559</v>
      </c>
      <c r="D33" s="2">
        <v>5.2970606134235201</v>
      </c>
      <c r="E33" s="2">
        <v>16.543037393711501</v>
      </c>
      <c r="F33" s="2">
        <v>4.7558286151011897E-5</v>
      </c>
      <c r="G33" s="2">
        <v>8.2031694884326396E-3</v>
      </c>
      <c r="H33" s="2" t="s">
        <v>503</v>
      </c>
      <c r="I33" s="2" t="s">
        <v>88</v>
      </c>
      <c r="J33" s="8" t="s">
        <v>504</v>
      </c>
      <c r="Q33" s="9"/>
      <c r="W33" s="10"/>
      <c r="AB33" s="9"/>
      <c r="AC33" s="9"/>
      <c r="AJ33" s="9"/>
      <c r="AN33" s="9"/>
      <c r="AO33" s="11"/>
      <c r="AP33" s="9"/>
      <c r="AT33" s="9"/>
      <c r="BA33" s="9"/>
      <c r="BH33" s="9"/>
      <c r="BO33" s="9"/>
      <c r="BV33" s="9"/>
      <c r="CB33" s="9"/>
      <c r="CG33" s="9"/>
      <c r="CL33" s="9"/>
      <c r="CP33" s="9"/>
      <c r="DE33" s="2" t="s">
        <v>502</v>
      </c>
      <c r="DF33" s="2" t="s">
        <v>503</v>
      </c>
      <c r="DG33" s="2" t="s">
        <v>88</v>
      </c>
      <c r="DH33" s="8" t="s">
        <v>504</v>
      </c>
      <c r="DI33" s="2" t="s">
        <v>135</v>
      </c>
      <c r="DJ33" s="2">
        <v>2107</v>
      </c>
      <c r="DQ33" s="2" t="s">
        <v>141</v>
      </c>
      <c r="DS33" s="2">
        <v>55934</v>
      </c>
      <c r="DT33" s="2">
        <v>8.2899999999999991</v>
      </c>
      <c r="DX33" s="2">
        <v>488</v>
      </c>
      <c r="DY33" s="12"/>
    </row>
    <row r="34" spans="1:156" x14ac:dyDescent="0.25">
      <c r="A34" s="2" t="s">
        <v>505</v>
      </c>
      <c r="B34" s="2">
        <v>0.49133216736796298</v>
      </c>
      <c r="C34" s="2">
        <f t="shared" si="0"/>
        <v>1.4057423222914891</v>
      </c>
      <c r="D34" s="2">
        <v>8.3034700390633702</v>
      </c>
      <c r="E34" s="2">
        <v>9.1761424601908903</v>
      </c>
      <c r="F34" s="2">
        <v>2.4519026407028499E-3</v>
      </c>
      <c r="G34" s="2">
        <v>4.6584949255024502E-2</v>
      </c>
      <c r="H34" s="2" t="s">
        <v>93</v>
      </c>
      <c r="I34" s="2" t="s">
        <v>94</v>
      </c>
      <c r="J34" s="2" t="str">
        <f>HYPERLINK("https://vectorbase.org/vectorbase/app/record/gene/AGAP007959","AGAP007959-RB")</f>
        <v>AGAP007959-RB</v>
      </c>
      <c r="K34" s="2" t="str">
        <f>HYPERLINK(".\links\pep\AGAP007959-PB-pep.txt","AGAP007959-PB")</f>
        <v>AGAP007959-PB</v>
      </c>
      <c r="L34" s="12" t="s">
        <v>95</v>
      </c>
      <c r="M34" s="2">
        <v>245</v>
      </c>
      <c r="N34" s="2">
        <v>0</v>
      </c>
      <c r="O34" s="2">
        <v>1</v>
      </c>
      <c r="P34" s="2" t="s">
        <v>102</v>
      </c>
      <c r="Q34" s="9" t="s">
        <v>506</v>
      </c>
      <c r="R34" s="2" t="s">
        <v>196</v>
      </c>
      <c r="S34" s="2" t="str">
        <f>HYPERLINK(".\links\REFSEQ-INVERTEBRATE\AGAP007959-PB-REFSEQ-INVERTEBRATE.txt","REFSEQ-INVERTEBRATE")</f>
        <v>REFSEQ-INVERTEBRATE</v>
      </c>
      <c r="T34" s="2">
        <v>0</v>
      </c>
      <c r="U34" s="2">
        <v>111.3</v>
      </c>
      <c r="V34" s="2" t="s">
        <v>507</v>
      </c>
      <c r="W34" s="10" t="s">
        <v>508</v>
      </c>
      <c r="X34" s="2" t="s">
        <v>196</v>
      </c>
      <c r="Y34" s="2" t="str">
        <f>HYPERLINK(".\links\ARTHORPODA\AGAP007959-PB-ARTHORPODA.txt","ARTHORPODA")</f>
        <v>ARTHORPODA</v>
      </c>
      <c r="Z34" s="2">
        <v>0</v>
      </c>
      <c r="AA34" s="2">
        <v>111.3</v>
      </c>
      <c r="AB34" s="13" t="s">
        <v>102</v>
      </c>
      <c r="AC34" s="13" t="str">
        <f>HYPERLINK(".\links\Sigp\AGAP007959-PB-SigP.txt","CYT")</f>
        <v>CYT</v>
      </c>
      <c r="AD34" s="2" t="s">
        <v>102</v>
      </c>
      <c r="AE34" s="2">
        <v>26.783999999999999</v>
      </c>
      <c r="AF34" s="2">
        <v>10.220000000000001</v>
      </c>
      <c r="AG34" s="2" t="s">
        <v>102</v>
      </c>
      <c r="AH34" s="2" t="s">
        <v>102</v>
      </c>
      <c r="AI34" s="2" t="s">
        <v>211</v>
      </c>
      <c r="AJ34" s="13">
        <v>0</v>
      </c>
      <c r="AK34" s="2" t="s">
        <v>102</v>
      </c>
      <c r="AL34" s="2" t="s">
        <v>102</v>
      </c>
      <c r="AM34" s="2" t="s">
        <v>102</v>
      </c>
      <c r="AN34" s="13" t="str">
        <f>HYPERLINK(".\links\gpi\AGAP007959-PB-gpi.txt","N")</f>
        <v>N</v>
      </c>
      <c r="AO34" s="14" t="str">
        <f>HYPERLINK(".\links\netoglyc\AGAP007959-PB-netoglyc.txt","6")</f>
        <v>6</v>
      </c>
      <c r="AP34" s="13">
        <v>15.9</v>
      </c>
      <c r="AQ34" s="2">
        <v>6.5</v>
      </c>
      <c r="AR34" s="2">
        <v>6.9</v>
      </c>
      <c r="AS34" s="2" t="s">
        <v>104</v>
      </c>
      <c r="AT34" s="9" t="str">
        <f>HYPERLINK(".\links\NR-LIGHT\AGAP007959-PB-NR-LIGHT.txt","AGAP007959-PA")</f>
        <v>AGAP007959-PA</v>
      </c>
      <c r="AU34" s="2" t="str">
        <f>HYPERLINK("http://www.ncbi.nlm.nih.gov/sutils/blink.cgi?pid=XP_317512.2","1E-119")</f>
        <v>1E-119</v>
      </c>
      <c r="AV34" s="2" t="str">
        <f>HYPERLINK("http://www.ncbi.nlm.nih.gov/protein/XP_317512.2","XP_317512.2")</f>
        <v>XP_317512.2</v>
      </c>
      <c r="AW34" s="2">
        <v>89</v>
      </c>
      <c r="AX34" s="2">
        <v>89</v>
      </c>
      <c r="AY34" s="2">
        <v>111</v>
      </c>
      <c r="AZ34" s="2" t="s">
        <v>105</v>
      </c>
      <c r="BA34" s="9" t="str">
        <f>HYPERLINK(".\links\REFSEQ-INVERTEBRATE\AGAP007959-PB-REFSEQ-INVERTEBRATE.txt","AGAP007959-PA")</f>
        <v>AGAP007959-PA</v>
      </c>
      <c r="BB34" s="2" t="str">
        <f>HYPERLINK("http://www.ncbi.nlm.nih.gov/sutils/blink.cgi?pid=XP_317512.2","1E-119")</f>
        <v>1E-119</v>
      </c>
      <c r="BC34" s="2" t="str">
        <f>HYPERLINK("http://www.ncbi.nlm.nih.gov/protein/XP_317512.2","XP_317512.2")</f>
        <v>XP_317512.2</v>
      </c>
      <c r="BD34" s="2">
        <v>89</v>
      </c>
      <c r="BE34" s="2">
        <v>89</v>
      </c>
      <c r="BF34" s="2">
        <v>111</v>
      </c>
      <c r="BG34" s="2" t="s">
        <v>105</v>
      </c>
      <c r="BH34" s="9" t="str">
        <f>HYPERLINK(".\links\REFSEQ-PROTOZOA\AGAP007959-PB-REFSEQ-PROTOZOA.txt","pleckstrin domain-containing protein")</f>
        <v>pleckstrin domain-containing protein</v>
      </c>
      <c r="BI34" s="2" t="str">
        <f>HYPERLINK("http://www.ncbi.nlm.nih.gov/sutils/blink.cgi?pid=XP_004351470.1","0.19")</f>
        <v>0.19</v>
      </c>
      <c r="BJ34" s="2" t="str">
        <f>HYPERLINK("http://www.ncbi.nlm.nih.gov/protein/XP_004351470.1","XP_004351470.1")</f>
        <v>XP_004351470.1</v>
      </c>
      <c r="BK34" s="2">
        <v>21</v>
      </c>
      <c r="BL34" s="2">
        <v>44</v>
      </c>
      <c r="BM34" s="2">
        <v>19</v>
      </c>
      <c r="BN34" s="2" t="s">
        <v>212</v>
      </c>
      <c r="BO34" s="9" t="str">
        <f>HYPERLINK(".\links\SWISSP\AGAP007959-PB-SWISSP.txt","Probable nuclear hormone receptor HR38")</f>
        <v>Probable nuclear hormone receptor HR38</v>
      </c>
      <c r="BP34" s="2" t="str">
        <f>HYPERLINK("http://www.uniprot.org/uniprot/P49869","0.10")</f>
        <v>0.10</v>
      </c>
      <c r="BQ34" s="2" t="str">
        <f>HYPERLINK("http://www.uniprot.org/uniprot/P49869#expression","P49869")</f>
        <v>P49869</v>
      </c>
      <c r="BR34" s="2">
        <v>24</v>
      </c>
      <c r="BS34" s="2">
        <v>41</v>
      </c>
      <c r="BT34" s="2">
        <v>11</v>
      </c>
      <c r="BU34" s="2" t="s">
        <v>107</v>
      </c>
      <c r="BV34" s="9" t="str">
        <f>HYPERLINK(".\links\FLYBASE\AGAP007959-PB-FLYBASE.txt","FBpp0301012")</f>
        <v>FBpp0301012</v>
      </c>
      <c r="BW34" s="2" t="str">
        <f>HYPERLINK("http://flybase.org/reports/FBgn0263346#alliance_summary_container","0.35")</f>
        <v>0.35</v>
      </c>
      <c r="BX34" s="2">
        <v>1541</v>
      </c>
      <c r="BY34" s="2">
        <v>27</v>
      </c>
      <c r="BZ34" s="2">
        <v>41</v>
      </c>
      <c r="CA34" s="2">
        <v>6</v>
      </c>
      <c r="CB34" s="9" t="str">
        <f>HYPERLINK(".\links\CDD\AGAP007959-PB-CDD.txt","ROM1, RhoGEF, Guanine nucleotide exchange factor for Rho/Rac/Cdc42-like GTPases")</f>
        <v>ROM1, RhoGEF, Guanine nucleotide exchange factor for Rho/Rac/Cdc42-like GTPases</v>
      </c>
      <c r="CC34" s="15">
        <v>0.53</v>
      </c>
      <c r="CD34" s="2">
        <v>13.4</v>
      </c>
      <c r="CE34" s="2" t="s">
        <v>509</v>
      </c>
      <c r="CF34" s="2" t="s">
        <v>510</v>
      </c>
      <c r="CG34" s="9" t="str">
        <f>HYPERLINK(".\links\KOG\AGAP007959-PB-KOG.txt","Oxoprolinase")</f>
        <v>Oxoprolinase</v>
      </c>
      <c r="CH34" s="15">
        <v>0.61</v>
      </c>
      <c r="CI34" s="2">
        <v>3.7</v>
      </c>
      <c r="CJ34" s="2" t="s">
        <v>511</v>
      </c>
      <c r="CK34" s="2" t="s">
        <v>267</v>
      </c>
      <c r="CL34" s="9" t="str">
        <f>HYPERLINK(".\links\PFAM\AGAP007959-PB-PFAM.txt","AsmA, AsmA family")</f>
        <v>AsmA, AsmA family</v>
      </c>
      <c r="CM34" s="15">
        <v>0.48</v>
      </c>
      <c r="CN34" s="2">
        <v>20.399999999999999</v>
      </c>
      <c r="CO34" s="2" t="s">
        <v>512</v>
      </c>
      <c r="CP34" s="9" t="str">
        <f>HYPERLINK(".\links\SMART\AGAP007959-PB-SMART.txt","HPT, Histidine Phosphotransfer domain")</f>
        <v>HPT, Histidine Phosphotransfer domain</v>
      </c>
      <c r="CQ34" s="15">
        <v>1.8</v>
      </c>
      <c r="CR34" s="2">
        <v>51.1</v>
      </c>
      <c r="CS34" s="2" t="s">
        <v>513</v>
      </c>
      <c r="CT34" s="2" t="s">
        <v>507</v>
      </c>
      <c r="CU34" s="2" t="s">
        <v>507</v>
      </c>
      <c r="CV34" s="2" t="s">
        <v>507</v>
      </c>
      <c r="CW34" s="2" t="str">
        <f>HYPERLINK(".\links\pep\AGAP007959-PB-pep.txt","AGAP007959-PB")</f>
        <v>AGAP007959-PB</v>
      </c>
      <c r="CX34" s="2" t="s">
        <v>95</v>
      </c>
      <c r="CY34" s="2">
        <v>245</v>
      </c>
      <c r="CZ34" s="2" t="s">
        <v>113</v>
      </c>
      <c r="DA34" s="2" t="s">
        <v>514</v>
      </c>
      <c r="DB34" s="2">
        <v>0</v>
      </c>
      <c r="DC34" s="2">
        <v>1</v>
      </c>
      <c r="DD34" s="2" t="str">
        <f>HYPERLINK("https://www.kegg.jp/kegg-bin/search_pathway_text?map=aga&amp;keyword=AGAP007959&amp;mode=1&amp;viewImage=true","AGAP007959")</f>
        <v>AGAP007959</v>
      </c>
      <c r="DE34" s="2" t="s">
        <v>505</v>
      </c>
      <c r="DF34" s="2" t="s">
        <v>93</v>
      </c>
      <c r="DG34" s="2" t="s">
        <v>94</v>
      </c>
      <c r="DH34" s="2" t="str">
        <f>HYPERLINK("https://vectorbase.org/vectorbase/app/record/gene/AGAP007959","AGAP007959-RB")</f>
        <v>AGAP007959-RB</v>
      </c>
      <c r="DI34" s="2" t="s">
        <v>90</v>
      </c>
      <c r="DJ34" s="2">
        <v>1100</v>
      </c>
      <c r="DK34" s="2" t="str">
        <f>HYPERLINK(".\links\netoglyc\AGAP007959-PB-netoglyc.txt","6")</f>
        <v>6</v>
      </c>
      <c r="DL34" s="2">
        <v>15.9</v>
      </c>
      <c r="DM34" s="2">
        <v>6.5</v>
      </c>
      <c r="DN34" s="2">
        <v>6.9</v>
      </c>
      <c r="DO34" s="2" t="s">
        <v>104</v>
      </c>
      <c r="DP34" s="2" t="s">
        <v>515</v>
      </c>
      <c r="DQ34" s="2" t="str">
        <f>HYPERLINK(".\links\Sigp\AGAP007959-PB-SigP.txt","CYT")</f>
        <v>CYT</v>
      </c>
      <c r="DR34" s="2" t="s">
        <v>102</v>
      </c>
      <c r="DS34" s="2">
        <v>26.783999999999999</v>
      </c>
      <c r="DT34" s="2">
        <v>10.220000000000001</v>
      </c>
      <c r="DU34" s="2" t="s">
        <v>102</v>
      </c>
      <c r="DV34" s="2" t="s">
        <v>102</v>
      </c>
      <c r="DW34" s="2" t="s">
        <v>211</v>
      </c>
      <c r="DX34" s="2">
        <v>245</v>
      </c>
      <c r="DY34" s="12">
        <v>0</v>
      </c>
      <c r="DZ34" s="2" t="s">
        <v>102</v>
      </c>
      <c r="EA34" s="2" t="s">
        <v>102</v>
      </c>
      <c r="EB34" s="2" t="s">
        <v>102</v>
      </c>
      <c r="EC34" s="2" t="str">
        <f>HYPERLINK(".\links\gpi\AGAP007959-PB-gpi.txt","N")</f>
        <v>N</v>
      </c>
      <c r="ED34" s="2">
        <v>0.28000000000000003</v>
      </c>
      <c r="EF34" s="2">
        <v>4</v>
      </c>
      <c r="EG34" s="2" t="s">
        <v>102</v>
      </c>
      <c r="EH34" s="2" t="s">
        <v>102</v>
      </c>
      <c r="EI34" s="2">
        <v>15.918367346938799</v>
      </c>
      <c r="EJ34" s="2">
        <v>6.9387755102040796</v>
      </c>
      <c r="EK34" s="2">
        <v>6.5306122448979602</v>
      </c>
      <c r="EL34" s="2">
        <v>13.469387755102</v>
      </c>
      <c r="EM34" s="2">
        <v>1</v>
      </c>
      <c r="EN34" s="2" t="s">
        <v>102</v>
      </c>
      <c r="EO34" s="2">
        <v>2</v>
      </c>
      <c r="EP34" s="2" t="s">
        <v>102</v>
      </c>
      <c r="EQ34" s="2" t="s">
        <v>102</v>
      </c>
      <c r="ER34" s="2" t="s">
        <v>102</v>
      </c>
      <c r="ES34" s="2" t="s">
        <v>102</v>
      </c>
      <c r="ET34" s="2" t="str">
        <f>HYPERLINK(".\links\REFSEQ-INVERTEBRATE\AGAP007959-PB-REFSEQ-INVERTEBRATE.txt","AGAP007959-PA")</f>
        <v>AGAP007959-PA</v>
      </c>
      <c r="EU34" s="2" t="str">
        <f>HYPERLINK("http://www.ncbi.nlm.nih.gov/sutils/blink.cgi?pid=XP_317512.2","1E-148")</f>
        <v>1E-148</v>
      </c>
      <c r="EV34" s="2" t="str">
        <f>HYPERLINK("http://www.ncbi.nlm.nih.gov/protein/XP_317512.2","XP_317512.2")</f>
        <v>XP_317512.2</v>
      </c>
      <c r="EW34" s="2">
        <v>89</v>
      </c>
      <c r="EX34" s="2">
        <v>89</v>
      </c>
      <c r="EY34" s="2">
        <v>111</v>
      </c>
      <c r="EZ34" s="2" t="s">
        <v>105</v>
      </c>
    </row>
    <row r="35" spans="1:156" x14ac:dyDescent="0.25">
      <c r="A35" s="2" t="s">
        <v>516</v>
      </c>
      <c r="B35" s="2">
        <v>0.489059062041168</v>
      </c>
      <c r="C35" s="2">
        <f t="shared" si="0"/>
        <v>1.4035291835053298</v>
      </c>
      <c r="D35" s="2">
        <v>4.50266522360086</v>
      </c>
      <c r="E35" s="2">
        <v>14.9631374667225</v>
      </c>
      <c r="F35" s="2">
        <v>1.09632062763966E-4</v>
      </c>
      <c r="G35" s="2">
        <v>1.1138391531328701E-2</v>
      </c>
      <c r="H35" s="2" t="s">
        <v>517</v>
      </c>
      <c r="I35" s="2" t="s">
        <v>94</v>
      </c>
      <c r="J35" s="2" t="str">
        <f>HYPERLINK("https://vectorbase.org/vectorbase/app/record/gene/AGAP010071","AGAP010071-RA")</f>
        <v>AGAP010071-RA</v>
      </c>
      <c r="K35" s="2" t="str">
        <f>HYPERLINK(".\links\pep\AGAP010071-PA-pep.txt","AGAP010071-PA")</f>
        <v>AGAP010071-PA</v>
      </c>
      <c r="L35" s="12" t="s">
        <v>95</v>
      </c>
      <c r="M35" s="2">
        <v>973</v>
      </c>
      <c r="N35" s="2">
        <v>0</v>
      </c>
      <c r="O35" s="2">
        <v>2</v>
      </c>
      <c r="P35" s="2" t="s">
        <v>518</v>
      </c>
      <c r="Q35" s="9" t="s">
        <v>519</v>
      </c>
      <c r="R35" s="2" t="s">
        <v>181</v>
      </c>
      <c r="S35" s="2" t="str">
        <f>HYPERLINK(".\links\REFSEQ-INVERTEBRATE\AGAP010071-PA-REFSEQ-INVERTEBRATE.txt","REFSEQ-INVERTEBRATE")</f>
        <v>REFSEQ-INVERTEBRATE</v>
      </c>
      <c r="T35" s="2">
        <v>0</v>
      </c>
      <c r="U35" s="2">
        <v>102.6</v>
      </c>
      <c r="V35" s="2" t="s">
        <v>520</v>
      </c>
      <c r="W35" s="10" t="s">
        <v>521</v>
      </c>
      <c r="X35" s="2" t="s">
        <v>181</v>
      </c>
      <c r="Y35" s="2" t="str">
        <f>HYPERLINK(".\links\ARTHORPODA\AGAP010071-PA-ARTHORPODA.txt","ARTHORPODA")</f>
        <v>ARTHORPODA</v>
      </c>
      <c r="Z35" s="15">
        <v>0</v>
      </c>
      <c r="AA35" s="2">
        <v>100</v>
      </c>
      <c r="AB35" s="13" t="s">
        <v>102</v>
      </c>
      <c r="AC35" s="13" t="str">
        <f>HYPERLINK(".\links\Sigp\AGAP010071-PA-SigP.txt","CYT")</f>
        <v>CYT</v>
      </c>
      <c r="AD35" s="2" t="s">
        <v>102</v>
      </c>
      <c r="AE35" s="2">
        <v>108.206</v>
      </c>
      <c r="AF35" s="2">
        <v>5.8</v>
      </c>
      <c r="AG35" s="2" t="s">
        <v>102</v>
      </c>
      <c r="AH35" s="2" t="s">
        <v>102</v>
      </c>
      <c r="AI35" s="2" t="s">
        <v>522</v>
      </c>
      <c r="AJ35" s="13">
        <v>0</v>
      </c>
      <c r="AK35" s="2" t="s">
        <v>102</v>
      </c>
      <c r="AL35" s="2" t="s">
        <v>102</v>
      </c>
      <c r="AM35" s="2" t="s">
        <v>102</v>
      </c>
      <c r="AN35" s="13" t="str">
        <f>HYPERLINK(".\links\gpi\AGAP010071-PA-gpi.txt","N")</f>
        <v>N</v>
      </c>
      <c r="AO35" s="14" t="str">
        <f>HYPERLINK(".\links\netoglyc\AGAP010071-PA-netoglyc.txt","0")</f>
        <v>0</v>
      </c>
      <c r="AP35" s="13">
        <v>14.4</v>
      </c>
      <c r="AQ35" s="2">
        <v>6.9</v>
      </c>
      <c r="AR35" s="2">
        <v>4.5</v>
      </c>
      <c r="AS35" s="2" t="s">
        <v>104</v>
      </c>
      <c r="AT35" s="9" t="str">
        <f>HYPERLINK(".\links\NR-LIGHT\AGAP010071-PA-NR-LIGHT.txt","AGAP010071-PA, partial")</f>
        <v>AGAP010071-PA, partial</v>
      </c>
      <c r="AU35" s="2" t="str">
        <f>HYPERLINK("http://www.ncbi.nlm.nih.gov/sutils/blink.cgi?pid=XP_319228.4","0.0")</f>
        <v>0.0</v>
      </c>
      <c r="AV35" s="2" t="str">
        <f>HYPERLINK("http://www.ncbi.nlm.nih.gov/protein/XP_319228.4","XP_319228.4")</f>
        <v>XP_319228.4</v>
      </c>
      <c r="AW35" s="2">
        <v>99</v>
      </c>
      <c r="AX35" s="2">
        <v>99</v>
      </c>
      <c r="AY35" s="2">
        <v>100</v>
      </c>
      <c r="AZ35" s="2" t="s">
        <v>105</v>
      </c>
      <c r="BA35" s="9" t="str">
        <f>HYPERLINK(".\links\REFSEQ-INVERTEBRATE\AGAP010071-PA-REFSEQ-INVERTEBRATE.txt","AGAP010071-PA, partial")</f>
        <v>AGAP010071-PA, partial</v>
      </c>
      <c r="BB35" s="2" t="str">
        <f>HYPERLINK("http://www.ncbi.nlm.nih.gov/sutils/blink.cgi?pid=XP_319228.4","0.0")</f>
        <v>0.0</v>
      </c>
      <c r="BC35" s="2" t="str">
        <f>HYPERLINK("http://www.ncbi.nlm.nih.gov/protein/XP_319228.4","XP_319228.4")</f>
        <v>XP_319228.4</v>
      </c>
      <c r="BD35" s="2">
        <v>99</v>
      </c>
      <c r="BE35" s="2">
        <v>99</v>
      </c>
      <c r="BF35" s="2">
        <v>100</v>
      </c>
      <c r="BG35" s="2" t="s">
        <v>105</v>
      </c>
      <c r="BH35" s="9" t="str">
        <f>HYPERLINK(".\links\REFSEQ-PROTOZOA\AGAP010071-PA-REFSEQ-PROTOZOA.txt","hypothetical protein CAOG_07212")</f>
        <v>hypothetical protein CAOG_07212</v>
      </c>
      <c r="BI35" s="2" t="str">
        <f>HYPERLINK("http://www.ncbi.nlm.nih.gov/sutils/blink.cgi?pid=XP_004343071.2","3E-053")</f>
        <v>3E-053</v>
      </c>
      <c r="BJ35" s="2" t="str">
        <f>HYPERLINK("http://www.ncbi.nlm.nih.gov/protein/XP_004343071.2","XP_004343071.2")</f>
        <v>XP_004343071.2</v>
      </c>
      <c r="BK35" s="2">
        <v>26</v>
      </c>
      <c r="BL35" s="2">
        <v>43</v>
      </c>
      <c r="BM35" s="2">
        <v>75</v>
      </c>
      <c r="BN35" s="2" t="s">
        <v>106</v>
      </c>
      <c r="BO35" s="9" t="str">
        <f>HYPERLINK(".\links\SWISSP\AGAP010071-PA-SWISSP.txt","Beta-alanine-activating enzyme")</f>
        <v>Beta-alanine-activating enzyme</v>
      </c>
      <c r="BP35" s="2" t="str">
        <f>HYPERLINK("http://www.uniprot.org/uniprot/Q9VLL0","1E-104")</f>
        <v>1E-104</v>
      </c>
      <c r="BQ35" s="2" t="str">
        <f>HYPERLINK("http://www.uniprot.org/uniprot/Q9VLL0#expression","Q9VLL0")</f>
        <v>Q9VLL0</v>
      </c>
      <c r="BR35" s="2">
        <v>31</v>
      </c>
      <c r="BS35" s="2">
        <v>50</v>
      </c>
      <c r="BT35" s="2">
        <v>87</v>
      </c>
      <c r="BU35" s="2" t="s">
        <v>107</v>
      </c>
      <c r="BV35" s="9" t="str">
        <f>HYPERLINK(".\links\FLYBASE\AGAP010071-PA-FLYBASE.txt","FBpp0309217")</f>
        <v>FBpp0309217</v>
      </c>
      <c r="BW35" s="2" t="str">
        <f>HYPERLINK("http://flybase.org/reports/FBgn0027780#alliance_summary_container","1E-117")</f>
        <v>1E-117</v>
      </c>
      <c r="BX35" s="2">
        <v>1012</v>
      </c>
      <c r="BY35" s="2">
        <v>32</v>
      </c>
      <c r="BZ35" s="2">
        <v>50</v>
      </c>
      <c r="CA35" s="2">
        <v>87</v>
      </c>
      <c r="CB35" s="9" t="str">
        <f>HYPERLINK(".\links\CDD\AGAP010071-PA-CDD.txt","A_NRPS, The adenylation domain of nonribosomal peptide synthetases (NRPS)")</f>
        <v>A_NRPS, The adenylation domain of nonribosomal peptide synthetases (NRPS)</v>
      </c>
      <c r="CC35" s="15">
        <v>1E-46</v>
      </c>
      <c r="CD35" s="2">
        <v>110.8</v>
      </c>
      <c r="CE35" s="2" t="s">
        <v>523</v>
      </c>
      <c r="CF35" s="2" t="s">
        <v>524</v>
      </c>
      <c r="CG35" s="9" t="str">
        <f>HYPERLINK(".\links\KOG\AGAP010071-PA-KOG.txt","PQQ (pyrrolo-quinoline quinone) repeat protein")</f>
        <v>PQQ (pyrrolo-quinoline quinone) repeat protein</v>
      </c>
      <c r="CH35" s="15">
        <v>7.0000000000000004E-25</v>
      </c>
      <c r="CI35" s="2">
        <v>104</v>
      </c>
      <c r="CJ35" s="2" t="s">
        <v>525</v>
      </c>
      <c r="CK35" s="2" t="s">
        <v>526</v>
      </c>
      <c r="CL35" s="9" t="str">
        <f>HYPERLINK(".\links\PFAM\AGAP010071-PA-PFAM.txt","AMP-binding, AMP-binding enzyme")</f>
        <v>AMP-binding, AMP-binding enzyme</v>
      </c>
      <c r="CM35" s="15">
        <v>9.9999999999999995E-21</v>
      </c>
      <c r="CN35" s="2">
        <v>98</v>
      </c>
      <c r="CO35" s="2" t="s">
        <v>527</v>
      </c>
      <c r="CP35" s="9" t="str">
        <f>HYPERLINK(".\links\SMART\AGAP010071-PA-SMART.txt","PQQ, beta-propeller repeat")</f>
        <v>PQQ, beta-propeller repeat</v>
      </c>
      <c r="CQ35" s="15">
        <v>0.98</v>
      </c>
      <c r="CR35" s="2">
        <v>97</v>
      </c>
      <c r="CS35" s="2" t="s">
        <v>528</v>
      </c>
      <c r="CT35" s="2" t="s">
        <v>520</v>
      </c>
      <c r="CU35" s="2" t="s">
        <v>520</v>
      </c>
      <c r="CV35" s="2" t="s">
        <v>520</v>
      </c>
      <c r="CW35" s="2" t="str">
        <f>HYPERLINK(".\links\pep\AGAP010071-PA-pep.txt","AGAP010071-PA")</f>
        <v>AGAP010071-PA</v>
      </c>
      <c r="CX35" s="2" t="s">
        <v>95</v>
      </c>
      <c r="CY35" s="2">
        <v>973</v>
      </c>
      <c r="CZ35" s="2" t="s">
        <v>113</v>
      </c>
      <c r="DA35" s="2" t="s">
        <v>529</v>
      </c>
      <c r="DB35" s="2">
        <v>0</v>
      </c>
      <c r="DC35" s="2">
        <v>2</v>
      </c>
      <c r="DD35" s="2" t="str">
        <f>HYPERLINK("https://www.kegg.jp/kegg-bin/search_pathway_text?map=aga&amp;keyword=AGAP010071&amp;mode=1&amp;viewImage=true","AGAP010071")</f>
        <v>AGAP010071</v>
      </c>
      <c r="DE35" s="2" t="s">
        <v>516</v>
      </c>
      <c r="DF35" s="2" t="s">
        <v>517</v>
      </c>
      <c r="DG35" s="2" t="s">
        <v>94</v>
      </c>
      <c r="DH35" s="2" t="str">
        <f>HYPERLINK("https://vectorbase.org/vectorbase/app/record/gene/AGAP010071","AGAP010071-RA")</f>
        <v>AGAP010071-RA</v>
      </c>
      <c r="DI35" s="2" t="s">
        <v>115</v>
      </c>
      <c r="DJ35" s="2">
        <v>3060</v>
      </c>
      <c r="DK35" s="2" t="str">
        <f>HYPERLINK(".\links\netoglyc\AGAP010071-PA-netoglyc.txt","0")</f>
        <v>0</v>
      </c>
      <c r="DL35" s="2">
        <v>14.4</v>
      </c>
      <c r="DM35" s="2">
        <v>6.9</v>
      </c>
      <c r="DN35" s="2">
        <v>4.5</v>
      </c>
      <c r="DO35" s="2" t="s">
        <v>104</v>
      </c>
      <c r="DP35" s="2" t="s">
        <v>102</v>
      </c>
      <c r="DQ35" s="2" t="str">
        <f>HYPERLINK(".\links\Sigp\AGAP010071-PA-SigP.txt","CYT")</f>
        <v>CYT</v>
      </c>
      <c r="DR35" s="2" t="s">
        <v>102</v>
      </c>
      <c r="DS35" s="2">
        <v>108.206</v>
      </c>
      <c r="DT35" s="2">
        <v>5.8</v>
      </c>
      <c r="DU35" s="2" t="s">
        <v>102</v>
      </c>
      <c r="DV35" s="2" t="s">
        <v>102</v>
      </c>
      <c r="DW35" s="2" t="s">
        <v>522</v>
      </c>
      <c r="DX35" s="2">
        <v>973</v>
      </c>
      <c r="DY35" s="12">
        <v>0</v>
      </c>
      <c r="DZ35" s="2" t="s">
        <v>102</v>
      </c>
      <c r="EA35" s="2" t="s">
        <v>102</v>
      </c>
      <c r="EB35" s="2" t="s">
        <v>102</v>
      </c>
      <c r="EC35" s="2" t="str">
        <f>HYPERLINK(".\links\gpi\AGAP010071-PA-gpi.txt","Y-NoSP")</f>
        <v>Y-NoSP</v>
      </c>
      <c r="ED35" s="2">
        <v>0.2</v>
      </c>
      <c r="EF35" s="2">
        <v>36</v>
      </c>
      <c r="EG35" s="2" t="s">
        <v>102</v>
      </c>
      <c r="EH35" s="2" t="s">
        <v>102</v>
      </c>
      <c r="EI35" s="2">
        <v>14.3884892086331</v>
      </c>
      <c r="EJ35" s="2">
        <v>4.5220966084275398</v>
      </c>
      <c r="EK35" s="2">
        <v>6.8859198355601201</v>
      </c>
      <c r="EL35" s="2">
        <v>11.4080164439877</v>
      </c>
      <c r="EM35" s="2">
        <v>2</v>
      </c>
      <c r="EN35" s="2">
        <v>2</v>
      </c>
      <c r="EO35" s="2">
        <v>3</v>
      </c>
      <c r="EP35" s="2" t="s">
        <v>102</v>
      </c>
      <c r="EQ35" s="2" t="s">
        <v>102</v>
      </c>
      <c r="ER35" s="2" t="s">
        <v>102</v>
      </c>
      <c r="ES35" s="2" t="s">
        <v>102</v>
      </c>
      <c r="ET35" s="2" t="str">
        <f>HYPERLINK(".\links\REFSEQ-INVERTEBRATE\AGAP010071-PA-REFSEQ-INVERTEBRATE.txt","AGAP010071-PA, partial")</f>
        <v>AGAP010071-PA, partial</v>
      </c>
      <c r="EU35" s="2" t="str">
        <f>HYPERLINK("http://www.ncbi.nlm.nih.gov/sutils/blink.cgi?pid=XP_319228.4","0.0")</f>
        <v>0.0</v>
      </c>
      <c r="EV35" s="2" t="str">
        <f>HYPERLINK("http://www.ncbi.nlm.nih.gov/protein/XP_319228.4","XP_319228.4")</f>
        <v>XP_319228.4</v>
      </c>
      <c r="EW35" s="2">
        <v>99</v>
      </c>
      <c r="EX35" s="2">
        <v>99</v>
      </c>
      <c r="EY35" s="2">
        <v>100</v>
      </c>
      <c r="EZ35" s="2" t="s">
        <v>105</v>
      </c>
    </row>
    <row r="36" spans="1:156" x14ac:dyDescent="0.25">
      <c r="A36" s="2" t="s">
        <v>530</v>
      </c>
      <c r="B36" s="2">
        <v>0.488190280028101</v>
      </c>
      <c r="C36" s="2">
        <f t="shared" si="0"/>
        <v>1.4026842413638583</v>
      </c>
      <c r="D36" s="2">
        <v>4.7306274798387902</v>
      </c>
      <c r="E36" s="2">
        <v>11.3733198086121</v>
      </c>
      <c r="F36" s="2">
        <v>7.4506591230069804E-4</v>
      </c>
      <c r="G36" s="2">
        <v>2.94295511267493E-2</v>
      </c>
      <c r="H36" s="2" t="s">
        <v>531</v>
      </c>
      <c r="I36" s="2" t="s">
        <v>94</v>
      </c>
      <c r="J36" s="2" t="str">
        <f>HYPERLINK("https://vectorbase.org/vectorbase/app/record/gene/AGAP010550","AGAP010550-RA")</f>
        <v>AGAP010550-RA</v>
      </c>
      <c r="K36" s="2" t="str">
        <f>HYPERLINK(".\links\pep\AGAP010550-PA-pep.txt","AGAP010550-PA")</f>
        <v>AGAP010550-PA</v>
      </c>
      <c r="L36" s="12" t="s">
        <v>95</v>
      </c>
      <c r="M36" s="2">
        <v>258</v>
      </c>
      <c r="N36" s="2">
        <v>0</v>
      </c>
      <c r="O36" s="2">
        <v>0</v>
      </c>
      <c r="P36" s="2" t="s">
        <v>532</v>
      </c>
      <c r="Q36" s="9" t="s">
        <v>533</v>
      </c>
      <c r="R36" s="2" t="s">
        <v>534</v>
      </c>
      <c r="S36" s="2" t="str">
        <f>HYPERLINK(".\links\CDD\AGAP010550-PA-CDD.txt","CDD")</f>
        <v>CDD</v>
      </c>
      <c r="T36" s="2">
        <v>1.0000000000000001E-33</v>
      </c>
      <c r="U36" s="2">
        <v>108.3</v>
      </c>
      <c r="V36" s="2" t="s">
        <v>535</v>
      </c>
      <c r="W36" s="10" t="s">
        <v>536</v>
      </c>
      <c r="X36" s="2" t="s">
        <v>534</v>
      </c>
      <c r="Y36" s="2" t="str">
        <f>HYPERLINK(".\links\REFSEQ-INVERTEBRATE\AGAP010550-PA-REFSEQ-INVERTEBRATE.txt","REFSEQ-INVERTEBRATE")</f>
        <v>REFSEQ-INVERTEBRATE</v>
      </c>
      <c r="Z36" s="2">
        <v>0</v>
      </c>
      <c r="AA36" s="2">
        <v>87.5</v>
      </c>
      <c r="AB36" s="13" t="s">
        <v>102</v>
      </c>
      <c r="AC36" s="13" t="str">
        <f>HYPERLINK(".\links\Sigp\AGAP010550-PA-SigP.txt","SIG")</f>
        <v>SIG</v>
      </c>
      <c r="AD36" s="2" t="s">
        <v>537</v>
      </c>
      <c r="AE36" s="2">
        <v>30.013999999999999</v>
      </c>
      <c r="AF36" s="2">
        <v>9.49</v>
      </c>
      <c r="AG36" s="2">
        <v>27.791</v>
      </c>
      <c r="AH36" s="2">
        <v>9.49</v>
      </c>
      <c r="AI36" s="2" t="s">
        <v>538</v>
      </c>
      <c r="AJ36" s="13">
        <v>0</v>
      </c>
      <c r="AK36" s="2" t="s">
        <v>102</v>
      </c>
      <c r="AL36" s="2" t="s">
        <v>102</v>
      </c>
      <c r="AM36" s="2" t="s">
        <v>102</v>
      </c>
      <c r="AN36" s="13" t="str">
        <f>HYPERLINK(".\links\gpi\AGAP010550-PA-gpi.txt","N")</f>
        <v>N</v>
      </c>
      <c r="AO36" s="14" t="str">
        <f>HYPERLINK(".\links\netoglyc\AGAP010550-PA-netoglyc.txt","0")</f>
        <v>0</v>
      </c>
      <c r="AP36" s="13">
        <v>9.3000000000000007</v>
      </c>
      <c r="AQ36" s="2">
        <v>6.2</v>
      </c>
      <c r="AR36" s="2">
        <v>2.7</v>
      </c>
      <c r="AS36" s="2" t="s">
        <v>104</v>
      </c>
      <c r="AT36" s="9" t="str">
        <f>HYPERLINK(".\links\NR-LIGHT\AGAP010550-PA-NR-LIGHT.txt","AGAP010550-PA, partial")</f>
        <v>AGAP010550-PA, partial</v>
      </c>
      <c r="AU36" s="2" t="str">
        <f>HYPERLINK("http://www.ncbi.nlm.nih.gov/sutils/blink.cgi?pid=XP_314523.4","1E-155")</f>
        <v>1E-155</v>
      </c>
      <c r="AV36" s="2" t="str">
        <f>HYPERLINK("http://www.ncbi.nlm.nih.gov/protein/XP_314523.4","XP_314523.4")</f>
        <v>XP_314523.4</v>
      </c>
      <c r="AW36" s="2">
        <v>100</v>
      </c>
      <c r="AX36" s="2">
        <v>100</v>
      </c>
      <c r="AY36" s="2">
        <v>97</v>
      </c>
      <c r="AZ36" s="2" t="s">
        <v>105</v>
      </c>
      <c r="BA36" s="9" t="str">
        <f>HYPERLINK(".\links\REFSEQ-INVERTEBRATE\AGAP010550-PA-REFSEQ-INVERTEBRATE.txt","AGAP010550-PA, partial")</f>
        <v>AGAP010550-PA, partial</v>
      </c>
      <c r="BB36" s="2" t="str">
        <f>HYPERLINK("http://www.ncbi.nlm.nih.gov/sutils/blink.cgi?pid=XP_314523.4","1E-155")</f>
        <v>1E-155</v>
      </c>
      <c r="BC36" s="2" t="str">
        <f>HYPERLINK("http://www.ncbi.nlm.nih.gov/protein/XP_314523.4","XP_314523.4")</f>
        <v>XP_314523.4</v>
      </c>
      <c r="BD36" s="2">
        <v>100</v>
      </c>
      <c r="BE36" s="2">
        <v>100</v>
      </c>
      <c r="BF36" s="2">
        <v>97</v>
      </c>
      <c r="BG36" s="2" t="s">
        <v>105</v>
      </c>
      <c r="BH36" s="9" t="str">
        <f>HYPERLINK(".\links\REFSEQ-PROTOZOA\AGAP010550-PA-REFSEQ-PROTOZOA.txt","cysteine-rich secretory family protein")</f>
        <v>cysteine-rich secretory family protein</v>
      </c>
      <c r="BI36" s="2" t="str">
        <f>HYPERLINK("http://www.ncbi.nlm.nih.gov/sutils/blink.cgi?pid=XP_001013929.2","2E-009")</f>
        <v>2E-009</v>
      </c>
      <c r="BJ36" s="2" t="str">
        <f>HYPERLINK("http://www.ncbi.nlm.nih.gov/protein/XP_001013929.2","XP_001013929.2")</f>
        <v>XP_001013929.2</v>
      </c>
      <c r="BK36" s="2">
        <v>31</v>
      </c>
      <c r="BL36" s="2">
        <v>45</v>
      </c>
      <c r="BM36" s="2">
        <v>50</v>
      </c>
      <c r="BN36" s="2" t="s">
        <v>539</v>
      </c>
      <c r="BO36" s="9" t="str">
        <f>HYPERLINK(".\links\SWISSP\AGAP010550-PA-SWISSP.txt","Venom allergen 5.02 (Fragment)")</f>
        <v>Venom allergen 5.02 (Fragment)</v>
      </c>
      <c r="BP36" s="2" t="str">
        <f>HYPERLINK("http://www.uniprot.org/uniprot/P10737","1E-018")</f>
        <v>1E-018</v>
      </c>
      <c r="BQ36" s="2" t="str">
        <f>HYPERLINK("http://www.uniprot.org/uniprot/P10737#expression","P10737")</f>
        <v>P10737</v>
      </c>
      <c r="BR36" s="2">
        <v>31</v>
      </c>
      <c r="BS36" s="2">
        <v>51</v>
      </c>
      <c r="BT36" s="2">
        <v>101</v>
      </c>
      <c r="BU36" s="2" t="s">
        <v>540</v>
      </c>
      <c r="BV36" s="9" t="str">
        <f>HYPERLINK(".\links\FLYBASE\AGAP010550-PA-FLYBASE.txt","FBpp0071403")</f>
        <v>FBpp0071403</v>
      </c>
      <c r="BW36" s="2" t="str">
        <f>HYPERLINK("http://flybase.org/reports/FBgn0052679#alliance_summary_container","8E-40")</f>
        <v>8E-40</v>
      </c>
      <c r="BX36" s="2">
        <v>254</v>
      </c>
      <c r="BY36" s="2">
        <v>37</v>
      </c>
      <c r="BZ36" s="2">
        <v>51</v>
      </c>
      <c r="CA36" s="2">
        <v>98</v>
      </c>
      <c r="CB36" s="9" t="str">
        <f>HYPERLINK(".\links\CDD\AGAP010550-PA-CDD.txt","SCP_euk, SCP_euk: SCP-like extracellular protein domain, as found mainly in eukaryotes")</f>
        <v>SCP_euk, SCP_euk: SCP-like extracellular protein domain, as found mainly in eukaryotes</v>
      </c>
      <c r="CC36" s="15">
        <v>1.0000000000000001E-33</v>
      </c>
      <c r="CD36" s="2">
        <v>108.3</v>
      </c>
      <c r="CE36" s="2" t="s">
        <v>541</v>
      </c>
      <c r="CF36" s="2" t="s">
        <v>542</v>
      </c>
      <c r="CG36" s="9" t="str">
        <f>HYPERLINK(".\links\KOG\AGAP010550-PA-KOG.txt","Defense-related protein containing SCP domain")</f>
        <v>Defense-related protein containing SCP domain</v>
      </c>
      <c r="CH36" s="15">
        <v>1.9999999999999999E-28</v>
      </c>
      <c r="CI36" s="2">
        <v>105.8</v>
      </c>
      <c r="CJ36" s="2" t="s">
        <v>543</v>
      </c>
      <c r="CK36" s="2" t="s">
        <v>284</v>
      </c>
      <c r="CL36" s="9" t="str">
        <f>HYPERLINK(".\links\PFAM\AGAP010550-PA-PFAM.txt","CAP, Cysteine-rich secretory protein family")</f>
        <v>CAP, Cysteine-rich secretory protein family</v>
      </c>
      <c r="CM36" s="15">
        <v>4.9999999999999998E-8</v>
      </c>
      <c r="CN36" s="2">
        <v>132.5</v>
      </c>
      <c r="CO36" s="2" t="s">
        <v>544</v>
      </c>
      <c r="CP36" s="9" t="str">
        <f>HYPERLINK(".\links\SMART\AGAP010550-PA-SMART.txt","SCP, SCP / Tpx-1 / Ag5 / PR-1 / Sc7 family of extracellular domains")</f>
        <v>SCP, SCP / Tpx-1 / Ag5 / PR-1 / Sc7 family of extracellular domains</v>
      </c>
      <c r="CQ36" s="15">
        <v>5.0000000000000004E-18</v>
      </c>
      <c r="CR36" s="2">
        <v>109.7</v>
      </c>
      <c r="CS36" s="2" t="s">
        <v>545</v>
      </c>
      <c r="CT36" s="2" t="s">
        <v>535</v>
      </c>
      <c r="CU36" s="2" t="s">
        <v>535</v>
      </c>
      <c r="CV36" s="2" t="s">
        <v>535</v>
      </c>
      <c r="CW36" s="2" t="str">
        <f>HYPERLINK(".\links\pep\AGAP010550-PA-pep.txt","AGAP010550-PA")</f>
        <v>AGAP010550-PA</v>
      </c>
      <c r="CX36" s="2" t="s">
        <v>95</v>
      </c>
      <c r="CY36" s="2">
        <v>258</v>
      </c>
      <c r="CZ36" s="2" t="s">
        <v>113</v>
      </c>
      <c r="DA36" s="2" t="s">
        <v>546</v>
      </c>
      <c r="DB36" s="2">
        <v>0</v>
      </c>
      <c r="DC36" s="2">
        <v>0</v>
      </c>
      <c r="DD36" s="2" t="str">
        <f>HYPERLINK("https://www.kegg.jp/kegg-bin/search_pathway_text?map=aga&amp;keyword=AGAP010550&amp;mode=1&amp;viewImage=true","AGAP010550")</f>
        <v>AGAP010550</v>
      </c>
      <c r="DE36" s="2" t="s">
        <v>530</v>
      </c>
      <c r="DF36" s="2" t="s">
        <v>531</v>
      </c>
      <c r="DG36" s="2" t="s">
        <v>94</v>
      </c>
      <c r="DH36" s="2" t="str">
        <f>HYPERLINK("https://vectorbase.org/vectorbase/app/record/gene/AGAP010550","AGAP010550-RA")</f>
        <v>AGAP010550-RA</v>
      </c>
      <c r="DI36" s="2" t="s">
        <v>90</v>
      </c>
      <c r="DJ36" s="2">
        <v>1052</v>
      </c>
      <c r="DK36" s="2" t="str">
        <f>HYPERLINK(".\links\netoglyc\AGAP010550-PA-netoglyc.txt","0")</f>
        <v>0</v>
      </c>
      <c r="DL36" s="2">
        <v>9.3000000000000007</v>
      </c>
      <c r="DM36" s="2">
        <v>6.2</v>
      </c>
      <c r="DN36" s="2">
        <v>2.7</v>
      </c>
      <c r="DO36" s="2" t="s">
        <v>104</v>
      </c>
      <c r="DP36" s="2" t="s">
        <v>547</v>
      </c>
      <c r="DQ36" s="2" t="str">
        <f>HYPERLINK(".\links\Sigp\AGAP010550-PA-SigP.txt","SIG")</f>
        <v>SIG</v>
      </c>
      <c r="DR36" s="2" t="s">
        <v>537</v>
      </c>
      <c r="DS36" s="2">
        <v>30.013999999999999</v>
      </c>
      <c r="DT36" s="2">
        <v>9.49</v>
      </c>
      <c r="DU36" s="2">
        <v>27.791</v>
      </c>
      <c r="DV36" s="2">
        <v>9.49</v>
      </c>
      <c r="DW36" s="2" t="s">
        <v>538</v>
      </c>
      <c r="DX36" s="2">
        <v>258</v>
      </c>
      <c r="DY36" s="12">
        <v>0</v>
      </c>
      <c r="DZ36" s="2" t="s">
        <v>102</v>
      </c>
      <c r="EA36" s="2" t="s">
        <v>102</v>
      </c>
      <c r="EB36" s="2" t="s">
        <v>102</v>
      </c>
      <c r="EC36" s="2" t="str">
        <f>HYPERLINK(".\links\gpi\AGAP010550-PA-gpi.txt","Y-NoSP")</f>
        <v>Y-NoSP</v>
      </c>
      <c r="ED36" s="2">
        <v>0.32</v>
      </c>
      <c r="EF36" s="2">
        <v>14</v>
      </c>
      <c r="EG36" s="2" t="s">
        <v>102</v>
      </c>
      <c r="EH36" s="2" t="s">
        <v>102</v>
      </c>
      <c r="EI36" s="2">
        <v>9.3023255813953494</v>
      </c>
      <c r="EJ36" s="2">
        <v>2.7131782945736398</v>
      </c>
      <c r="EK36" s="2">
        <v>6.2015503875968996</v>
      </c>
      <c r="EL36" s="2">
        <v>8.9147286821705407</v>
      </c>
      <c r="EM36" s="2" t="s">
        <v>102</v>
      </c>
      <c r="EN36" s="2">
        <v>2</v>
      </c>
      <c r="EO36" s="2">
        <v>2</v>
      </c>
      <c r="EP36" s="2" t="s">
        <v>102</v>
      </c>
      <c r="EQ36" s="2" t="s">
        <v>102</v>
      </c>
      <c r="ER36" s="2" t="s">
        <v>102</v>
      </c>
      <c r="ES36" s="2" t="s">
        <v>102</v>
      </c>
      <c r="ET36" s="2" t="str">
        <f>HYPERLINK(".\links\REFSEQ-INVERTEBRATE\AGAP010550-PA-REFSEQ-INVERTEBRATE.txt","AGAP010550-PA, partial")</f>
        <v>AGAP010550-PA, partial</v>
      </c>
      <c r="EU36" s="2" t="str">
        <f>HYPERLINK("http://www.ncbi.nlm.nih.gov/sutils/blink.cgi?pid=XP_314523.4","0.0")</f>
        <v>0.0</v>
      </c>
      <c r="EV36" s="2" t="str">
        <f>HYPERLINK("http://www.ncbi.nlm.nih.gov/protein/XP_314523.4","XP_314523.4")</f>
        <v>XP_314523.4</v>
      </c>
      <c r="EW36" s="2">
        <v>100</v>
      </c>
      <c r="EX36" s="2">
        <v>100</v>
      </c>
      <c r="EY36" s="2">
        <v>97</v>
      </c>
      <c r="EZ36" s="2" t="s">
        <v>105</v>
      </c>
    </row>
    <row r="37" spans="1:156" x14ac:dyDescent="0.25">
      <c r="A37" s="2" t="s">
        <v>548</v>
      </c>
      <c r="B37" s="2">
        <v>0.48275051680551201</v>
      </c>
      <c r="C37" s="2">
        <f t="shared" si="0"/>
        <v>1.3974052996514832</v>
      </c>
      <c r="D37" s="2">
        <v>6.2844853676743702</v>
      </c>
      <c r="E37" s="2">
        <v>11.736837230470501</v>
      </c>
      <c r="F37" s="2">
        <v>6.1275065427251801E-4</v>
      </c>
      <c r="G37" s="2">
        <v>2.77845500904421E-2</v>
      </c>
      <c r="H37" s="2" t="s">
        <v>549</v>
      </c>
      <c r="I37" s="2" t="s">
        <v>88</v>
      </c>
      <c r="J37" s="8" t="s">
        <v>550</v>
      </c>
      <c r="Q37" s="9"/>
      <c r="W37" s="10"/>
      <c r="AB37" s="9"/>
      <c r="AC37" s="9"/>
      <c r="AJ37" s="9"/>
      <c r="AN37" s="9"/>
      <c r="AO37" s="11"/>
      <c r="AP37" s="9"/>
      <c r="AT37" s="9"/>
      <c r="BA37" s="9"/>
      <c r="BH37" s="9"/>
      <c r="BO37" s="9"/>
      <c r="BV37" s="9"/>
      <c r="CB37" s="9"/>
      <c r="CG37" s="9"/>
      <c r="CL37" s="9"/>
      <c r="CP37" s="9"/>
      <c r="DE37" s="2" t="s">
        <v>548</v>
      </c>
      <c r="DF37" s="2" t="s">
        <v>549</v>
      </c>
      <c r="DG37" s="2" t="s">
        <v>88</v>
      </c>
      <c r="DH37" s="8" t="s">
        <v>550</v>
      </c>
      <c r="DI37" s="2" t="s">
        <v>115</v>
      </c>
      <c r="DJ37" s="2">
        <v>3143</v>
      </c>
      <c r="DQ37" s="2" t="s">
        <v>141</v>
      </c>
      <c r="DS37" s="2">
        <v>101499</v>
      </c>
      <c r="DT37" s="2">
        <v>8.26</v>
      </c>
      <c r="DX37" s="2">
        <v>875</v>
      </c>
      <c r="DY37" s="12"/>
    </row>
    <row r="38" spans="1:156" x14ac:dyDescent="0.25">
      <c r="A38" s="2" t="s">
        <v>551</v>
      </c>
      <c r="B38" s="2">
        <v>0.48247859432796097</v>
      </c>
      <c r="C38" s="2">
        <f t="shared" si="0"/>
        <v>1.3971419383087211</v>
      </c>
      <c r="D38" s="2">
        <v>5.7296925717631497</v>
      </c>
      <c r="E38" s="2">
        <v>9.9194684547587304</v>
      </c>
      <c r="F38" s="2">
        <v>1.63539605162772E-3</v>
      </c>
      <c r="G38" s="2">
        <v>3.9502029629390298E-2</v>
      </c>
      <c r="H38" s="2" t="s">
        <v>93</v>
      </c>
      <c r="I38" s="2" t="s">
        <v>94</v>
      </c>
      <c r="J38" s="2" t="str">
        <f>HYPERLINK("https://vectorbase.org/vectorbase/app/record/gene/AGAP010317","AGAP010317-RA")</f>
        <v>AGAP010317-RA</v>
      </c>
      <c r="K38" s="2" t="str">
        <f>HYPERLINK(".\links\pep\AGAP010317-PA-pep.txt","AGAP010317-PA")</f>
        <v>AGAP010317-PA</v>
      </c>
      <c r="L38" s="12" t="s">
        <v>95</v>
      </c>
      <c r="M38" s="2">
        <v>444</v>
      </c>
      <c r="N38" s="2">
        <v>0</v>
      </c>
      <c r="O38" s="2">
        <v>1</v>
      </c>
      <c r="P38" s="2" t="s">
        <v>102</v>
      </c>
      <c r="Q38" s="9" t="s">
        <v>552</v>
      </c>
      <c r="R38" s="2" t="s">
        <v>388</v>
      </c>
      <c r="S38" s="2" t="str">
        <f>HYPERLINK(".\links\REFSEQ-INVERTEBRATE\AGAP010317-PA-REFSEQ-INVERTEBRATE.txt","REFSEQ-INVERTEBRATE")</f>
        <v>REFSEQ-INVERTEBRATE</v>
      </c>
      <c r="T38" s="2">
        <v>0</v>
      </c>
      <c r="U38" s="2">
        <v>100</v>
      </c>
      <c r="V38" s="2" t="s">
        <v>553</v>
      </c>
      <c r="W38" s="10" t="s">
        <v>554</v>
      </c>
      <c r="X38" s="2" t="s">
        <v>388</v>
      </c>
      <c r="Y38" s="2" t="str">
        <f>HYPERLINK(".\links\UNIPROTKB\AGAP010317-PA-UNIPROTKB.txt","UNIPROTKB")</f>
        <v>UNIPROTKB</v>
      </c>
      <c r="Z38" s="2">
        <v>0</v>
      </c>
      <c r="AA38" s="2">
        <v>102</v>
      </c>
      <c r="AB38" s="13" t="str">
        <f>HYPERLINK(".\links\pep\AGAP010317-PA-sulf.txt","3")</f>
        <v>3</v>
      </c>
      <c r="AC38" s="13" t="str">
        <f>HYPERLINK(".\links\Sigp\AGAP010317-PA-SigP.txt","CYT")</f>
        <v>CYT</v>
      </c>
      <c r="AD38" s="2" t="s">
        <v>102</v>
      </c>
      <c r="AE38" s="2">
        <v>51.351999999999997</v>
      </c>
      <c r="AF38" s="2">
        <v>7.89</v>
      </c>
      <c r="AG38" s="2" t="s">
        <v>102</v>
      </c>
      <c r="AH38" s="2" t="s">
        <v>102</v>
      </c>
      <c r="AI38" s="2" t="s">
        <v>555</v>
      </c>
      <c r="AJ38" s="13">
        <v>0</v>
      </c>
      <c r="AK38" s="2" t="s">
        <v>102</v>
      </c>
      <c r="AL38" s="2" t="s">
        <v>102</v>
      </c>
      <c r="AM38" s="2" t="s">
        <v>102</v>
      </c>
      <c r="AN38" s="13" t="str">
        <f>HYPERLINK(".\links\gpi\AGAP010317-PA-gpi.txt","N")</f>
        <v>N</v>
      </c>
      <c r="AO38" s="14" t="str">
        <f>HYPERLINK(".\links\netoglyc\AGAP010317-PA-netoglyc.txt","0")</f>
        <v>0</v>
      </c>
      <c r="AP38" s="13">
        <v>9.5</v>
      </c>
      <c r="AQ38" s="2">
        <v>5</v>
      </c>
      <c r="AR38" s="2">
        <v>4.7</v>
      </c>
      <c r="AS38" s="2" t="s">
        <v>104</v>
      </c>
      <c r="AT38" s="9" t="str">
        <f>HYPERLINK(".\links\NR-LIGHT\AGAP010317-PA-NR-LIGHT.txt","AGAP010317-PA")</f>
        <v>AGAP010317-PA</v>
      </c>
      <c r="AU38" s="2" t="str">
        <f>HYPERLINK("http://www.ncbi.nlm.nih.gov/sutils/blink.cgi?pid=XP_320122.5","0.0")</f>
        <v>0.0</v>
      </c>
      <c r="AV38" s="2" t="str">
        <f>HYPERLINK("http://www.ncbi.nlm.nih.gov/protein/XP_320122.5","XP_320122.5")</f>
        <v>XP_320122.5</v>
      </c>
      <c r="AW38" s="2">
        <v>100</v>
      </c>
      <c r="AX38" s="2">
        <v>100</v>
      </c>
      <c r="AY38" s="2">
        <v>100</v>
      </c>
      <c r="AZ38" s="2" t="s">
        <v>105</v>
      </c>
      <c r="BA38" s="9" t="str">
        <f>HYPERLINK(".\links\REFSEQ-INVERTEBRATE\AGAP010317-PA-REFSEQ-INVERTEBRATE.txt","AGAP010317-PA")</f>
        <v>AGAP010317-PA</v>
      </c>
      <c r="BB38" s="2" t="str">
        <f>HYPERLINK("http://www.ncbi.nlm.nih.gov/sutils/blink.cgi?pid=XP_320122.5","0.0")</f>
        <v>0.0</v>
      </c>
      <c r="BC38" s="2" t="str">
        <f>HYPERLINK("http://www.ncbi.nlm.nih.gov/protein/XP_320122.5","XP_320122.5")</f>
        <v>XP_320122.5</v>
      </c>
      <c r="BD38" s="2">
        <v>100</v>
      </c>
      <c r="BE38" s="2">
        <v>100</v>
      </c>
      <c r="BF38" s="2">
        <v>100</v>
      </c>
      <c r="BG38" s="2" t="s">
        <v>105</v>
      </c>
      <c r="BH38" s="9" t="str">
        <f>HYPERLINK(".\links\REFSEQ-PROTOZOA\AGAP010317-PA-REFSEQ-PROTOZOA.txt","hypothetical protein PPTG_18909")</f>
        <v>hypothetical protein PPTG_18909</v>
      </c>
      <c r="BI38" s="2" t="str">
        <f>HYPERLINK("http://www.ncbi.nlm.nih.gov/sutils/blink.cgi?pid=XP_008915057.1","1E-029")</f>
        <v>1E-029</v>
      </c>
      <c r="BJ38" s="2" t="str">
        <f>HYPERLINK("http://www.ncbi.nlm.nih.gov/protein/XP_008915057.1","XP_008915057.1")</f>
        <v>XP_008915057.1</v>
      </c>
      <c r="BK38" s="2">
        <v>32</v>
      </c>
      <c r="BL38" s="2">
        <v>48</v>
      </c>
      <c r="BM38" s="2">
        <v>83</v>
      </c>
      <c r="BN38" s="2" t="s">
        <v>556</v>
      </c>
      <c r="BO38" s="9" t="str">
        <f>HYPERLINK(".\links\SWISSP\AGAP010317-PA-SWISSP.txt","Histone PARylation factor 1-like")</f>
        <v>Histone PARylation factor 1-like</v>
      </c>
      <c r="BP38" s="2" t="str">
        <f>HYPERLINK("http://www.uniprot.org/uniprot/Q9VNI3","1E-091")</f>
        <v>1E-091</v>
      </c>
      <c r="BQ38" s="2" t="str">
        <f>HYPERLINK("http://www.uniprot.org/uniprot/Q9VNI3#expression","Q9VNI3")</f>
        <v>Q9VNI3</v>
      </c>
      <c r="BR38" s="2">
        <v>41</v>
      </c>
      <c r="BS38" s="2">
        <v>59</v>
      </c>
      <c r="BT38" s="2">
        <v>101</v>
      </c>
      <c r="BU38" s="2" t="s">
        <v>107</v>
      </c>
      <c r="BV38" s="9" t="str">
        <f>HYPERLINK(".\links\FLYBASE\AGAP010317-PA-FLYBASE.txt","FBpp0078279")</f>
        <v>FBpp0078279</v>
      </c>
      <c r="BW38" s="2" t="str">
        <f>HYPERLINK("http://flybase.org/reports/FBgn0037377#alliance_summary_container","1E-114")</f>
        <v>1E-114</v>
      </c>
      <c r="BX38" s="2">
        <v>449</v>
      </c>
      <c r="BY38" s="2">
        <v>41</v>
      </c>
      <c r="BZ38" s="2">
        <v>59</v>
      </c>
      <c r="CA38" s="2">
        <v>102</v>
      </c>
      <c r="CB38" s="9" t="str">
        <f>HYPERLINK(".\links\CDD\AGAP010317-PA-CDD.txt","DUF2228, Uncharacterized conserved protein (DUF2228)")</f>
        <v>DUF2228, Uncharacterized conserved protein (DUF2228)</v>
      </c>
      <c r="CC38" s="15">
        <v>2E-95</v>
      </c>
      <c r="CD38" s="2">
        <v>101.2</v>
      </c>
      <c r="CE38" s="2" t="s">
        <v>557</v>
      </c>
      <c r="CF38" s="2" t="s">
        <v>558</v>
      </c>
      <c r="CG38" s="9" t="str">
        <f>HYPERLINK(".\links\KOG\AGAP010317-PA-KOG.txt","Uncharacterized conserved protein")</f>
        <v>Uncharacterized conserved protein</v>
      </c>
      <c r="CH38" s="15">
        <v>4.0000000000000003E-30</v>
      </c>
      <c r="CI38" s="2">
        <v>94.1</v>
      </c>
      <c r="CJ38" s="2" t="s">
        <v>559</v>
      </c>
      <c r="CK38" s="2" t="s">
        <v>284</v>
      </c>
      <c r="CL38" s="9" t="str">
        <f>HYPERLINK(".\links\PFAM\AGAP010317-PA-PFAM.txt","DUF2228, Uncharacterized conserved protein (DUF2228)")</f>
        <v>DUF2228, Uncharacterized conserved protein (DUF2228)</v>
      </c>
      <c r="CM38" s="15">
        <v>3.0000000000000001E-96</v>
      </c>
      <c r="CN38" s="2">
        <v>101.2</v>
      </c>
      <c r="CO38" s="2" t="s">
        <v>557</v>
      </c>
      <c r="CP38" s="9" t="str">
        <f>HYPERLINK(".\links\SMART\AGAP010317-PA-SMART.txt","Flavin_Reduct, Flavin reductase like domain")</f>
        <v>Flavin_Reduct, Flavin reductase like domain</v>
      </c>
      <c r="CQ38" s="15">
        <v>0.27</v>
      </c>
      <c r="CR38" s="2">
        <v>20.399999999999999</v>
      </c>
      <c r="CS38" s="2" t="s">
        <v>560</v>
      </c>
      <c r="CT38" s="2" t="s">
        <v>553</v>
      </c>
      <c r="CU38" s="2" t="s">
        <v>553</v>
      </c>
      <c r="CV38" s="2" t="s">
        <v>553</v>
      </c>
      <c r="CW38" s="2" t="str">
        <f>HYPERLINK(".\links\pep\AGAP010317-PA-pep.txt","AGAP010317-PA")</f>
        <v>AGAP010317-PA</v>
      </c>
      <c r="CX38" s="2" t="s">
        <v>95</v>
      </c>
      <c r="CY38" s="2">
        <v>444</v>
      </c>
      <c r="CZ38" s="2" t="s">
        <v>113</v>
      </c>
      <c r="DA38" s="2" t="s">
        <v>561</v>
      </c>
      <c r="DB38" s="2">
        <v>0</v>
      </c>
      <c r="DC38" s="2">
        <v>1</v>
      </c>
      <c r="DD38" s="2" t="str">
        <f>HYPERLINK("https://www.kegg.jp/kegg-bin/search_pathway_text?map=aga&amp;keyword=AGAP010317&amp;mode=1&amp;viewImage=true","AGAP010317")</f>
        <v>AGAP010317</v>
      </c>
      <c r="DE38" s="2" t="s">
        <v>551</v>
      </c>
      <c r="DF38" s="2" t="s">
        <v>93</v>
      </c>
      <c r="DG38" s="2" t="s">
        <v>94</v>
      </c>
      <c r="DH38" s="2" t="str">
        <f>HYPERLINK("https://vectorbase.org/vectorbase/app/record/gene/AGAP010317","AGAP010317-RA")</f>
        <v>AGAP010317-RA</v>
      </c>
      <c r="DI38" s="2" t="s">
        <v>135</v>
      </c>
      <c r="DJ38" s="2">
        <v>1524</v>
      </c>
      <c r="DK38" s="2" t="str">
        <f>HYPERLINK(".\links\netoglyc\AGAP010317-PA-netoglyc.txt","0")</f>
        <v>0</v>
      </c>
      <c r="DL38" s="2">
        <v>9.5</v>
      </c>
      <c r="DM38" s="2">
        <v>5</v>
      </c>
      <c r="DN38" s="2">
        <v>4.7</v>
      </c>
      <c r="DO38" s="2" t="s">
        <v>104</v>
      </c>
      <c r="DP38" s="2" t="s">
        <v>102</v>
      </c>
      <c r="DQ38" s="2" t="str">
        <f>HYPERLINK(".\links\Sigp\AGAP010317-PA-SigP.txt","CYT")</f>
        <v>CYT</v>
      </c>
      <c r="DR38" s="2" t="s">
        <v>102</v>
      </c>
      <c r="DS38" s="2">
        <v>51.351999999999997</v>
      </c>
      <c r="DT38" s="2">
        <v>7.89</v>
      </c>
      <c r="DU38" s="2" t="s">
        <v>102</v>
      </c>
      <c r="DV38" s="2" t="s">
        <v>102</v>
      </c>
      <c r="DW38" s="2" t="s">
        <v>555</v>
      </c>
      <c r="DX38" s="2">
        <v>444</v>
      </c>
      <c r="DY38" s="12">
        <v>0</v>
      </c>
      <c r="DZ38" s="2" t="s">
        <v>102</v>
      </c>
      <c r="EA38" s="2" t="s">
        <v>102</v>
      </c>
      <c r="EB38" s="2" t="s">
        <v>102</v>
      </c>
      <c r="EC38" s="2" t="str">
        <f>HYPERLINK(".\links\gpi\AGAP010317-PA-gpi.txt","N")</f>
        <v>N</v>
      </c>
      <c r="ED38" s="2">
        <v>0.24</v>
      </c>
      <c r="EF38" s="2">
        <v>11</v>
      </c>
      <c r="EG38" s="2" t="str">
        <f>HYPERLINK(".\links\pep\AGAP010317-PA-sulf.txt","3")</f>
        <v>3</v>
      </c>
      <c r="EH38" s="2" t="s">
        <v>102</v>
      </c>
      <c r="EI38" s="2">
        <v>9.4594594594594597</v>
      </c>
      <c r="EJ38" s="2">
        <v>4.7297297297297298</v>
      </c>
      <c r="EK38" s="2">
        <v>4.9549549549549603</v>
      </c>
      <c r="EL38" s="2">
        <v>9.6846846846846795</v>
      </c>
      <c r="EM38" s="2" t="s">
        <v>102</v>
      </c>
      <c r="EN38" s="2">
        <v>1</v>
      </c>
      <c r="EO38" s="2">
        <v>1</v>
      </c>
      <c r="EP38" s="2" t="s">
        <v>102</v>
      </c>
      <c r="EQ38" s="2" t="s">
        <v>102</v>
      </c>
      <c r="ER38" s="2" t="s">
        <v>102</v>
      </c>
      <c r="ES38" s="2" t="s">
        <v>102</v>
      </c>
      <c r="ET38" s="2" t="str">
        <f>HYPERLINK(".\links\REFSEQ-INVERTEBRATE\AGAP010317-PA-REFSEQ-INVERTEBRATE.txt","AGAP010317-PA")</f>
        <v>AGAP010317-PA</v>
      </c>
      <c r="EU38" s="2" t="str">
        <f>HYPERLINK("http://www.ncbi.nlm.nih.gov/sutils/blink.cgi?pid=XP_320122.5","0.0")</f>
        <v>0.0</v>
      </c>
      <c r="EV38" s="2" t="str">
        <f>HYPERLINK("http://www.ncbi.nlm.nih.gov/protein/XP_320122.5","XP_320122.5")</f>
        <v>XP_320122.5</v>
      </c>
      <c r="EW38" s="2">
        <v>100</v>
      </c>
      <c r="EX38" s="2">
        <v>100</v>
      </c>
      <c r="EY38" s="2">
        <v>100</v>
      </c>
      <c r="EZ38" s="2" t="s">
        <v>105</v>
      </c>
    </row>
    <row r="39" spans="1:156" x14ac:dyDescent="0.25">
      <c r="A39" s="2" t="s">
        <v>562</v>
      </c>
      <c r="B39" s="2">
        <v>0.47266127076792602</v>
      </c>
      <c r="C39" s="2">
        <f t="shared" si="0"/>
        <v>1.3876668715528067</v>
      </c>
      <c r="D39" s="2">
        <v>5.2488876584091697</v>
      </c>
      <c r="E39" s="2">
        <v>9.2517493346923203</v>
      </c>
      <c r="F39" s="2">
        <v>2.3527057683068999E-3</v>
      </c>
      <c r="G39" s="2">
        <v>4.6095259138498101E-2</v>
      </c>
      <c r="H39" s="2" t="s">
        <v>93</v>
      </c>
      <c r="I39" s="2" t="s">
        <v>94</v>
      </c>
      <c r="J39" s="2" t="str">
        <f>HYPERLINK("https://vectorbase.org/vectorbase/app/record/gene/AGAP000984","AGAP000984-RA")</f>
        <v>AGAP000984-RA</v>
      </c>
      <c r="K39" s="2" t="str">
        <f>HYPERLINK(".\links\pep\AGAP000984-PA-pep.txt","AGAP000984-PA")</f>
        <v>AGAP000984-PA</v>
      </c>
      <c r="L39" s="12" t="s">
        <v>95</v>
      </c>
      <c r="M39" s="2">
        <v>2564</v>
      </c>
      <c r="N39" s="2">
        <v>0</v>
      </c>
      <c r="O39" s="2">
        <v>5</v>
      </c>
      <c r="P39" s="2" t="s">
        <v>102</v>
      </c>
      <c r="Q39" s="9" t="s">
        <v>563</v>
      </c>
      <c r="R39" s="2" t="s">
        <v>564</v>
      </c>
      <c r="S39" s="2" t="str">
        <f>HYPERLINK(".\links\REFSEQ-INVERTEBRATE\AGAP000984-PA-REFSEQ-INVERTEBRATE.txt","REFSEQ-INVERTEBRATE")</f>
        <v>REFSEQ-INVERTEBRATE</v>
      </c>
      <c r="T39" s="2">
        <v>0</v>
      </c>
      <c r="U39" s="2">
        <v>110.7</v>
      </c>
      <c r="V39" s="2" t="s">
        <v>565</v>
      </c>
      <c r="W39" s="10" t="s">
        <v>566</v>
      </c>
      <c r="X39" s="2" t="s">
        <v>420</v>
      </c>
      <c r="Y39" s="2" t="str">
        <f>HYPERLINK(".\links\KOG\AGAP000984-PA-KOG.txt","KOG")</f>
        <v>KOG</v>
      </c>
      <c r="Z39" s="15">
        <v>5E-15</v>
      </c>
      <c r="AA39" s="2">
        <v>40.1</v>
      </c>
      <c r="AB39" s="13" t="str">
        <f>HYPERLINK(".\links\pep\AGAP000984-PA-sulf.txt","2")</f>
        <v>2</v>
      </c>
      <c r="AC39" s="13" t="str">
        <f>HYPERLINK(".\links\Sigp\AGAP000984-PA-SigP.txt","CYT")</f>
        <v>CYT</v>
      </c>
      <c r="AD39" s="2" t="s">
        <v>102</v>
      </c>
      <c r="AE39" s="2">
        <v>274.44499999999999</v>
      </c>
      <c r="AF39" s="2">
        <v>5.7</v>
      </c>
      <c r="AG39" s="2" t="s">
        <v>102</v>
      </c>
      <c r="AH39" s="2" t="s">
        <v>102</v>
      </c>
      <c r="AI39" s="2" t="s">
        <v>567</v>
      </c>
      <c r="AJ39" s="13">
        <v>0</v>
      </c>
      <c r="AK39" s="2" t="s">
        <v>102</v>
      </c>
      <c r="AL39" s="2" t="s">
        <v>102</v>
      </c>
      <c r="AM39" s="2" t="s">
        <v>102</v>
      </c>
      <c r="AN39" s="13" t="str">
        <f>HYPERLINK(".\links\gpi\AGAP000984-PA-gpi.txt","N")</f>
        <v>N</v>
      </c>
      <c r="AO39" s="14" t="str">
        <f>HYPERLINK(".\links\netoglyc\AGAP000984-PA-netoglyc.txt","8")</f>
        <v>8</v>
      </c>
      <c r="AP39" s="13">
        <v>15.3</v>
      </c>
      <c r="AQ39" s="2">
        <v>10.3</v>
      </c>
      <c r="AR39" s="2">
        <v>5.2</v>
      </c>
      <c r="AS39" s="2">
        <v>0.1</v>
      </c>
      <c r="AT39" s="9" t="str">
        <f>HYPERLINK(".\links\NR-LIGHT\AGAP000984-PA-NR-LIGHT.txt","AGAP000984-PA")</f>
        <v>AGAP000984-PA</v>
      </c>
      <c r="AU39" s="2" t="str">
        <f>HYPERLINK("http://www.ncbi.nlm.nih.gov/sutils/blink.cgi?pid=XP_309180.5","0.0")</f>
        <v>0.0</v>
      </c>
      <c r="AV39" s="2" t="str">
        <f>HYPERLINK("http://www.ncbi.nlm.nih.gov/protein/XP_309180.5","XP_309180.5")</f>
        <v>XP_309180.5</v>
      </c>
      <c r="AW39" s="2">
        <v>100</v>
      </c>
      <c r="AX39" s="2">
        <v>100</v>
      </c>
      <c r="AY39" s="2">
        <v>100</v>
      </c>
      <c r="AZ39" s="2" t="s">
        <v>105</v>
      </c>
      <c r="BA39" s="9" t="str">
        <f>HYPERLINK(".\links\REFSEQ-INVERTEBRATE\AGAP000984-PA-REFSEQ-INVERTEBRATE.txt","AGAP000984-PA")</f>
        <v>AGAP000984-PA</v>
      </c>
      <c r="BB39" s="2" t="str">
        <f>HYPERLINK("http://www.ncbi.nlm.nih.gov/sutils/blink.cgi?pid=XP_309180.5","0.0")</f>
        <v>0.0</v>
      </c>
      <c r="BC39" s="2" t="str">
        <f>HYPERLINK("http://www.ncbi.nlm.nih.gov/protein/XP_309180.5","XP_309180.5")</f>
        <v>XP_309180.5</v>
      </c>
      <c r="BD39" s="2">
        <v>100</v>
      </c>
      <c r="BE39" s="2">
        <v>100</v>
      </c>
      <c r="BF39" s="2">
        <v>100</v>
      </c>
      <c r="BG39" s="2" t="s">
        <v>105</v>
      </c>
      <c r="BH39" s="9" t="str">
        <f>HYPERLINK(".\links\REFSEQ-PROTOZOA\AGAP000984-PA-REFSEQ-PROTOZOA.txt","hypothetical protein EMH_0049090")</f>
        <v>hypothetical protein EMH_0049090</v>
      </c>
      <c r="BI39" s="2" t="str">
        <f>HYPERLINK("http://www.ncbi.nlm.nih.gov/sutils/blink.cgi?pid=XP_013351937.1","1E-020")</f>
        <v>1E-020</v>
      </c>
      <c r="BJ39" s="2" t="str">
        <f>HYPERLINK("http://www.ncbi.nlm.nih.gov/protein/XP_013351937.1","XP_013351937.1")</f>
        <v>XP_013351937.1</v>
      </c>
      <c r="BK39" s="2">
        <v>21</v>
      </c>
      <c r="BL39" s="2">
        <v>39</v>
      </c>
      <c r="BM39" s="2">
        <v>69</v>
      </c>
      <c r="BN39" s="2" t="s">
        <v>568</v>
      </c>
      <c r="BO39" s="9" t="str">
        <f>HYPERLINK(".\links\SWISSP\AGAP000984-PA-SWISSP.txt","Ras-responsive element-binding protein 1")</f>
        <v>Ras-responsive element-binding protein 1</v>
      </c>
      <c r="BP39" s="2" t="str">
        <f>HYPERLINK("http://www.uniprot.org/uniprot/O57415","1E-035")</f>
        <v>1E-035</v>
      </c>
      <c r="BQ39" s="2" t="str">
        <f>HYPERLINK("http://www.uniprot.org/uniprot/O57415#expression","O57415")</f>
        <v>O57415</v>
      </c>
      <c r="BR39" s="2">
        <v>27</v>
      </c>
      <c r="BS39" s="2">
        <v>40</v>
      </c>
      <c r="BT39" s="2">
        <v>25</v>
      </c>
      <c r="BU39" s="2" t="s">
        <v>483</v>
      </c>
      <c r="BV39" s="9" t="str">
        <f>HYPERLINK(".\links\FLYBASE\AGAP000984-PA-FLYBASE.txt","FBpp0099653")</f>
        <v>FBpp0099653</v>
      </c>
      <c r="BW39" s="2" t="str">
        <f>HYPERLINK("http://flybase.org/reports/FBgn0003053#alliance_summary_container","6E-71")</f>
        <v>6E-71</v>
      </c>
      <c r="BX39" s="2">
        <v>1894</v>
      </c>
      <c r="BY39" s="2">
        <v>63</v>
      </c>
      <c r="BZ39" s="2">
        <v>74</v>
      </c>
      <c r="CA39" s="2">
        <v>10</v>
      </c>
      <c r="CB39" s="9" t="str">
        <f>HYPERLINK(".\links\CDD\AGAP000984-PA-CDD.txt","ZF_C2H2, Zinc finger, C2H2 type")</f>
        <v>ZF_C2H2, Zinc finger, C2H2 type</v>
      </c>
      <c r="CC39" s="15">
        <v>3.0000000000000001E-17</v>
      </c>
      <c r="CD39" s="2">
        <v>112.8</v>
      </c>
      <c r="CE39" s="2" t="s">
        <v>569</v>
      </c>
      <c r="CF39" s="2" t="s">
        <v>570</v>
      </c>
      <c r="CG39" s="9" t="str">
        <f>HYPERLINK(".\links\KOG\AGAP000984-PA-KOG.txt","Ovo and related transcription factors")</f>
        <v>Ovo and related transcription factors</v>
      </c>
      <c r="CH39" s="15">
        <v>3E-10</v>
      </c>
      <c r="CI39" s="2">
        <v>40.799999999999997</v>
      </c>
      <c r="CJ39" s="2" t="s">
        <v>571</v>
      </c>
      <c r="CK39" s="2" t="s">
        <v>309</v>
      </c>
      <c r="CL39" s="9" t="str">
        <f>HYPERLINK(".\links\PFAM\AGAP000984-PA-PFAM.txt","Gly_rich, Glycine rich protein")</f>
        <v>Gly_rich, Glycine rich protein</v>
      </c>
      <c r="CM39" s="15">
        <v>1.0000000000000001E-9</v>
      </c>
      <c r="CN39" s="2">
        <v>44.9</v>
      </c>
      <c r="CO39" s="2" t="s">
        <v>572</v>
      </c>
      <c r="CP39" s="9" t="str">
        <f>HYPERLINK(".\links\SMART\AGAP000984-PA-SMART.txt","ZnF_C2H2, zinc finger")</f>
        <v>ZnF_C2H2, zinc finger</v>
      </c>
      <c r="CQ39" s="15">
        <v>1E-3</v>
      </c>
      <c r="CR39" s="2">
        <v>100</v>
      </c>
      <c r="CS39" s="2" t="s">
        <v>573</v>
      </c>
      <c r="CT39" s="2" t="s">
        <v>565</v>
      </c>
      <c r="CU39" s="2" t="s">
        <v>565</v>
      </c>
      <c r="CV39" s="2" t="s">
        <v>565</v>
      </c>
      <c r="CW39" s="2" t="str">
        <f>HYPERLINK(".\links\pep\AGAP000984-PA-pep.txt","AGAP000984-PA")</f>
        <v>AGAP000984-PA</v>
      </c>
      <c r="CX39" s="2" t="s">
        <v>95</v>
      </c>
      <c r="CY39" s="2">
        <v>2564</v>
      </c>
      <c r="CZ39" s="2" t="s">
        <v>113</v>
      </c>
      <c r="DA39" s="2" t="s">
        <v>574</v>
      </c>
      <c r="DB39" s="2">
        <v>0</v>
      </c>
      <c r="DC39" s="2">
        <v>5</v>
      </c>
      <c r="DD39" s="2" t="str">
        <f>HYPERLINK("https://www.kegg.jp/kegg-bin/search_pathway_text?map=aga&amp;keyword=AGAP000984&amp;mode=1&amp;viewImage=true","AGAP000984")</f>
        <v>AGAP000984</v>
      </c>
      <c r="DE39" s="2" t="s">
        <v>562</v>
      </c>
      <c r="DF39" s="2" t="s">
        <v>93</v>
      </c>
      <c r="DG39" s="2" t="s">
        <v>94</v>
      </c>
      <c r="DH39" s="2" t="str">
        <f>HYPERLINK("https://vectorbase.org/vectorbase/app/record/gene/AGAP000984","AGAP000984-RA")</f>
        <v>AGAP000984-RA</v>
      </c>
      <c r="DI39" s="2" t="s">
        <v>115</v>
      </c>
      <c r="DJ39" s="2">
        <v>11969</v>
      </c>
      <c r="DK39" s="2" t="str">
        <f>HYPERLINK(".\links\netoglyc\AGAP000984-PA-netoglyc.txt","8")</f>
        <v>8</v>
      </c>
      <c r="DL39" s="2">
        <v>15.3</v>
      </c>
      <c r="DM39" s="2">
        <v>10.3</v>
      </c>
      <c r="DN39" s="2">
        <v>5.2</v>
      </c>
      <c r="DO39" s="2">
        <v>0.1</v>
      </c>
      <c r="DP39" s="2" t="s">
        <v>575</v>
      </c>
      <c r="DQ39" s="2" t="str">
        <f>HYPERLINK(".\links\Sigp\AGAP000984-PA-SigP.txt","CYT")</f>
        <v>CYT</v>
      </c>
      <c r="DR39" s="2" t="s">
        <v>102</v>
      </c>
      <c r="DS39" s="2">
        <v>274.44499999999999</v>
      </c>
      <c r="DT39" s="2">
        <v>5.7</v>
      </c>
      <c r="DU39" s="2" t="s">
        <v>102</v>
      </c>
      <c r="DV39" s="2" t="s">
        <v>102</v>
      </c>
      <c r="DW39" s="2" t="s">
        <v>567</v>
      </c>
      <c r="DX39" s="2">
        <v>2564</v>
      </c>
      <c r="DY39" s="12">
        <v>0</v>
      </c>
      <c r="DZ39" s="2" t="s">
        <v>102</v>
      </c>
      <c r="EA39" s="2" t="s">
        <v>102</v>
      </c>
      <c r="EB39" s="2" t="s">
        <v>102</v>
      </c>
      <c r="EC39" s="2" t="str">
        <f>HYPERLINK(".\links\gpi\AGAP000984-PA-gpi.txt","N")</f>
        <v>N</v>
      </c>
      <c r="ED39" s="2">
        <v>0.28000000000000003</v>
      </c>
      <c r="EF39" s="2">
        <v>50</v>
      </c>
      <c r="EG39" s="2" t="str">
        <f>HYPERLINK(".\links\pep\AGAP000984-PA-sulf.txt","2")</f>
        <v>2</v>
      </c>
      <c r="EH39" s="2" t="s">
        <v>102</v>
      </c>
      <c r="EI39" s="2">
        <v>15.3276131045242</v>
      </c>
      <c r="EJ39" s="2">
        <v>5.1872074882995296</v>
      </c>
      <c r="EK39" s="2">
        <v>10.2574102964119</v>
      </c>
      <c r="EL39" s="2">
        <v>15.444617784711401</v>
      </c>
      <c r="EM39" s="2">
        <v>3</v>
      </c>
      <c r="EN39" s="2">
        <v>4</v>
      </c>
      <c r="EO39" s="2">
        <v>4</v>
      </c>
      <c r="EP39" s="2" t="s">
        <v>102</v>
      </c>
      <c r="EQ39" s="2" t="s">
        <v>102</v>
      </c>
      <c r="ER39" s="2" t="s">
        <v>102</v>
      </c>
      <c r="ES39" s="2" t="s">
        <v>576</v>
      </c>
      <c r="ET39" s="2" t="str">
        <f>HYPERLINK(".\links\REFSEQ-INVERTEBRATE\AGAP000984-PA-REFSEQ-INVERTEBRATE.txt","AGAP000984-PA")</f>
        <v>AGAP000984-PA</v>
      </c>
      <c r="EU39" s="2" t="str">
        <f>HYPERLINK("http://www.ncbi.nlm.nih.gov/sutils/blink.cgi?pid=XP_309180.5","0.0")</f>
        <v>0.0</v>
      </c>
      <c r="EV39" s="2" t="str">
        <f>HYPERLINK("http://www.ncbi.nlm.nih.gov/protein/XP_309180.5","XP_309180.5")</f>
        <v>XP_309180.5</v>
      </c>
      <c r="EW39" s="2">
        <v>100</v>
      </c>
      <c r="EX39" s="2">
        <v>100</v>
      </c>
      <c r="EY39" s="2">
        <v>100</v>
      </c>
      <c r="EZ39" s="2" t="s">
        <v>105</v>
      </c>
    </row>
    <row r="40" spans="1:156" x14ac:dyDescent="0.25">
      <c r="A40" s="2" t="s">
        <v>577</v>
      </c>
      <c r="B40" s="2">
        <v>0.45577481841395501</v>
      </c>
      <c r="C40" s="2">
        <f t="shared" si="0"/>
        <v>1.3715191997057414</v>
      </c>
      <c r="D40" s="2">
        <v>5.3902515784985701</v>
      </c>
      <c r="E40" s="2">
        <v>11.280802536819801</v>
      </c>
      <c r="F40" s="2">
        <v>7.8312695154036395E-4</v>
      </c>
      <c r="G40" s="2">
        <v>2.9655933300736001E-2</v>
      </c>
      <c r="H40" s="2" t="s">
        <v>578</v>
      </c>
      <c r="I40" s="2" t="s">
        <v>94</v>
      </c>
      <c r="J40" s="2" t="str">
        <f>HYPERLINK("https://vectorbase.org/vectorbase/app/record/gene/AGAP004842","AGAP004842-RA")</f>
        <v>AGAP004842-RA</v>
      </c>
      <c r="K40" s="2" t="str">
        <f>HYPERLINK(".\links\pep\AGAP004842-PA-pep.txt","AGAP004842-PA")</f>
        <v>AGAP004842-PA</v>
      </c>
      <c r="L40" s="12" t="s">
        <v>95</v>
      </c>
      <c r="M40" s="2">
        <v>325</v>
      </c>
      <c r="N40" s="2">
        <v>0</v>
      </c>
      <c r="O40" s="2">
        <v>1</v>
      </c>
      <c r="P40" s="2" t="s">
        <v>579</v>
      </c>
      <c r="Q40" s="9" t="s">
        <v>580</v>
      </c>
      <c r="R40" s="2" t="s">
        <v>447</v>
      </c>
      <c r="S40" s="2" t="str">
        <f>HYPERLINK(".\links\NR-LIGHT\AGAP004842-PA-NR-LIGHT.txt","NR-LIGHT")</f>
        <v>NR-LIGHT</v>
      </c>
      <c r="T40" s="2">
        <v>0</v>
      </c>
      <c r="U40" s="2">
        <v>100</v>
      </c>
      <c r="V40" s="2" t="s">
        <v>581</v>
      </c>
      <c r="W40" s="10" t="s">
        <v>582</v>
      </c>
      <c r="X40" s="2" t="s">
        <v>447</v>
      </c>
      <c r="Y40" s="2" t="str">
        <f>HYPERLINK(".\links\REFSEQ-INVERTEBRATE\AGAP004842-PA-REFSEQ-INVERTEBRATE.txt","REFSEQ-INVERTEBRATE")</f>
        <v>REFSEQ-INVERTEBRATE</v>
      </c>
      <c r="Z40" s="2">
        <v>0</v>
      </c>
      <c r="AA40" s="2">
        <v>100.8</v>
      </c>
      <c r="AB40" s="13" t="s">
        <v>102</v>
      </c>
      <c r="AC40" s="13" t="str">
        <f>HYPERLINK(".\links\Sigp\AGAP004842-PA-SigP.txt","CYT")</f>
        <v>CYT</v>
      </c>
      <c r="AD40" s="2" t="s">
        <v>102</v>
      </c>
      <c r="AE40" s="2">
        <v>36.776000000000003</v>
      </c>
      <c r="AF40" s="2">
        <v>8.24</v>
      </c>
      <c r="AG40" s="2" t="s">
        <v>102</v>
      </c>
      <c r="AH40" s="2" t="s">
        <v>102</v>
      </c>
      <c r="AI40" s="2" t="s">
        <v>583</v>
      </c>
      <c r="AJ40" s="13">
        <v>0</v>
      </c>
      <c r="AK40" s="2" t="s">
        <v>102</v>
      </c>
      <c r="AL40" s="2" t="s">
        <v>102</v>
      </c>
      <c r="AM40" s="2" t="s">
        <v>102</v>
      </c>
      <c r="AN40" s="13" t="str">
        <f>HYPERLINK(".\links\gpi\AGAP004842-PA-gpi.txt","N")</f>
        <v>N</v>
      </c>
      <c r="AO40" s="14" t="str">
        <f>HYPERLINK(".\links\netoglyc\AGAP004842-PA-netoglyc.txt","3")</f>
        <v>3</v>
      </c>
      <c r="AP40" s="13">
        <v>13.8</v>
      </c>
      <c r="AQ40" s="2">
        <v>5.5</v>
      </c>
      <c r="AR40" s="2">
        <v>4</v>
      </c>
      <c r="AS40" s="2" t="s">
        <v>104</v>
      </c>
      <c r="AT40" s="9" t="str">
        <f>HYPERLINK(".\links\NR-LIGHT\AGAP004842-PA-NR-LIGHT.txt","AGAP004842-PB")</f>
        <v>AGAP004842-PB</v>
      </c>
      <c r="AU40" s="2" t="str">
        <f>HYPERLINK("http://www.ncbi.nlm.nih.gov/sutils/blink.cgi?pid=XP_314349.4","0.0")</f>
        <v>0.0</v>
      </c>
      <c r="AV40" s="2" t="str">
        <f>HYPERLINK("http://www.ncbi.nlm.nih.gov/protein/XP_314349.4","XP_314349.4")</f>
        <v>XP_314349.4</v>
      </c>
      <c r="AW40" s="2">
        <v>100</v>
      </c>
      <c r="AX40" s="2">
        <v>100</v>
      </c>
      <c r="AY40" s="2">
        <v>100</v>
      </c>
      <c r="AZ40" s="2" t="s">
        <v>105</v>
      </c>
      <c r="BA40" s="9" t="str">
        <f>HYPERLINK(".\links\REFSEQ-INVERTEBRATE\AGAP004842-PA-REFSEQ-INVERTEBRATE.txt","AGAP004842-PB")</f>
        <v>AGAP004842-PB</v>
      </c>
      <c r="BB40" s="2" t="str">
        <f>HYPERLINK("http://www.ncbi.nlm.nih.gov/sutils/blink.cgi?pid=XP_314349.4","0.0")</f>
        <v>0.0</v>
      </c>
      <c r="BC40" s="2" t="str">
        <f>HYPERLINK("http://www.ncbi.nlm.nih.gov/protein/XP_314349.4","XP_314349.4")</f>
        <v>XP_314349.4</v>
      </c>
      <c r="BD40" s="2">
        <v>100</v>
      </c>
      <c r="BE40" s="2">
        <v>100</v>
      </c>
      <c r="BF40" s="2">
        <v>100</v>
      </c>
      <c r="BG40" s="2" t="s">
        <v>105</v>
      </c>
      <c r="BH40" s="9" t="str">
        <f>HYPERLINK(".\links\REFSEQ-PROTOZOA\AGAP004842-PA-REFSEQ-PROTOZOA.txt","rpsU-divergently transcribed protein")</f>
        <v>rpsU-divergently transcribed protein</v>
      </c>
      <c r="BI40" s="2" t="str">
        <f>HYPERLINK("http://www.ncbi.nlm.nih.gov/sutils/blink.cgi?pid=XP_009826152.1","7E-043")</f>
        <v>7E-043</v>
      </c>
      <c r="BJ40" s="2" t="str">
        <f>HYPERLINK("http://www.ncbi.nlm.nih.gov/protein/XP_009826152.1","XP_009826152.1")</f>
        <v>XP_009826152.1</v>
      </c>
      <c r="BK40" s="2">
        <v>39</v>
      </c>
      <c r="BL40" s="2">
        <v>56</v>
      </c>
      <c r="BM40" s="2">
        <v>79</v>
      </c>
      <c r="BN40" s="2" t="s">
        <v>362</v>
      </c>
      <c r="BO40" s="9" t="str">
        <f>HYPERLINK(".\links\SWISSP\AGAP004842-PA-SWISSP.txt","Ubiquinone biosynthesis protein COQ9, mitochondrial")</f>
        <v>Ubiquinone biosynthesis protein COQ9, mitochondrial</v>
      </c>
      <c r="BP40" s="2" t="str">
        <f>HYPERLINK("http://www.uniprot.org/uniprot/Q8MKN0","4E-068")</f>
        <v>4E-068</v>
      </c>
      <c r="BQ40" s="2" t="str">
        <f>HYPERLINK("http://www.uniprot.org/uniprot/Q8MKN0#expression","Q8MKN0")</f>
        <v>Q8MKN0</v>
      </c>
      <c r="BR40" s="2">
        <v>48</v>
      </c>
      <c r="BS40" s="2">
        <v>64</v>
      </c>
      <c r="BT40" s="2">
        <v>84</v>
      </c>
      <c r="BU40" s="2" t="s">
        <v>107</v>
      </c>
      <c r="BV40" s="9" t="str">
        <f>HYPERLINK(".\links\FLYBASE\AGAP004842-PA-FLYBASE.txt","FBpp0087999")</f>
        <v>FBpp0087999</v>
      </c>
      <c r="BW40" s="2" t="str">
        <f>HYPERLINK("http://flybase.org/reports/FBgn0050493#alliance_summary_container","2E-81")</f>
        <v>2E-81</v>
      </c>
      <c r="BX40" s="2">
        <v>326</v>
      </c>
      <c r="BY40" s="2">
        <v>51</v>
      </c>
      <c r="BZ40" s="2">
        <v>66</v>
      </c>
      <c r="CA40" s="2">
        <v>71</v>
      </c>
      <c r="CB40" s="9" t="str">
        <f>HYPERLINK(".\links\CDD\AGAP004842-PA-CDD.txt","conserved_hypothetical_protein, rpsU-divergently transcribed protein")</f>
        <v>conserved_hypothetical_protein, rpsU-divergently transcribed protein</v>
      </c>
      <c r="CC40" s="15">
        <v>3.0000000000000002E-47</v>
      </c>
      <c r="CD40" s="2">
        <v>94.6</v>
      </c>
      <c r="CE40" s="2" t="s">
        <v>584</v>
      </c>
      <c r="CF40" s="2" t="s">
        <v>585</v>
      </c>
      <c r="CG40" s="9" t="str">
        <f>HYPERLINK(".\links\KOG\AGAP004842-PA-KOG.txt","Uncharacterized conserved protein")</f>
        <v>Uncharacterized conserved protein</v>
      </c>
      <c r="CH40" s="15">
        <v>1.9999999999999999E-20</v>
      </c>
      <c r="CI40" s="2">
        <v>81.099999999999994</v>
      </c>
      <c r="CJ40" s="2" t="s">
        <v>586</v>
      </c>
      <c r="CK40" s="2" t="s">
        <v>284</v>
      </c>
      <c r="CL40" s="9" t="str">
        <f>HYPERLINK(".\links\PFAM\AGAP004842-PA-PFAM.txt","COQ9, COQ9")</f>
        <v>COQ9, COQ9</v>
      </c>
      <c r="CM40" s="15">
        <v>2.0000000000000002E-31</v>
      </c>
      <c r="CN40" s="2">
        <v>100</v>
      </c>
      <c r="CO40" s="2" t="s">
        <v>587</v>
      </c>
      <c r="CP40" s="9" t="str">
        <f>HYPERLINK(".\links\SMART\AGAP004842-PA-SMART.txt","Agro_virD5, Agrobacterium VirD5 protein")</f>
        <v>Agro_virD5, Agrobacterium VirD5 protein</v>
      </c>
      <c r="CQ40" s="15">
        <v>0.71</v>
      </c>
      <c r="CR40" s="2">
        <v>4.5</v>
      </c>
      <c r="CS40" s="2" t="s">
        <v>588</v>
      </c>
      <c r="CT40" s="2" t="s">
        <v>581</v>
      </c>
      <c r="CU40" s="2" t="s">
        <v>581</v>
      </c>
      <c r="CV40" s="2" t="s">
        <v>581</v>
      </c>
      <c r="CW40" s="2" t="str">
        <f>HYPERLINK(".\links\pep\AGAP004842-PA-pep.txt","AGAP004842-PA")</f>
        <v>AGAP004842-PA</v>
      </c>
      <c r="CX40" s="2" t="s">
        <v>95</v>
      </c>
      <c r="CY40" s="2">
        <v>325</v>
      </c>
      <c r="CZ40" s="2" t="s">
        <v>113</v>
      </c>
      <c r="DA40" s="2" t="s">
        <v>589</v>
      </c>
      <c r="DB40" s="2">
        <v>0</v>
      </c>
      <c r="DC40" s="2">
        <v>1</v>
      </c>
      <c r="DD40" s="2" t="str">
        <f>HYPERLINK("https://www.kegg.jp/kegg-bin/search_pathway_text?map=aga&amp;keyword=AGAP004842&amp;mode=1&amp;viewImage=true","AGAP004842")</f>
        <v>AGAP004842</v>
      </c>
      <c r="DE40" s="2" t="s">
        <v>577</v>
      </c>
      <c r="DF40" s="2" t="s">
        <v>578</v>
      </c>
      <c r="DG40" s="2" t="s">
        <v>94</v>
      </c>
      <c r="DH40" s="2" t="str">
        <f>HYPERLINK("https://vectorbase.org/vectorbase/app/record/gene/AGAP004842","AGAP004842-RA")</f>
        <v>AGAP004842-RA</v>
      </c>
      <c r="DI40" s="2" t="s">
        <v>115</v>
      </c>
      <c r="DJ40" s="2">
        <v>1264</v>
      </c>
      <c r="DK40" s="2" t="str">
        <f>HYPERLINK(".\links\netoglyc\AGAP004842-PA-netoglyc.txt","3")</f>
        <v>3</v>
      </c>
      <c r="DL40" s="2">
        <v>13.8</v>
      </c>
      <c r="DM40" s="2">
        <v>5.5</v>
      </c>
      <c r="DN40" s="2">
        <v>4</v>
      </c>
      <c r="DO40" s="2" t="s">
        <v>104</v>
      </c>
      <c r="DP40" s="2" t="s">
        <v>102</v>
      </c>
      <c r="DQ40" s="2" t="str">
        <f>HYPERLINK(".\links\Sigp\AGAP004842-PA-SigP.txt","CYT")</f>
        <v>CYT</v>
      </c>
      <c r="DR40" s="2" t="s">
        <v>102</v>
      </c>
      <c r="DS40" s="2">
        <v>36.776000000000003</v>
      </c>
      <c r="DT40" s="2">
        <v>8.24</v>
      </c>
      <c r="DU40" s="2" t="s">
        <v>102</v>
      </c>
      <c r="DV40" s="2" t="s">
        <v>102</v>
      </c>
      <c r="DW40" s="2" t="s">
        <v>583</v>
      </c>
      <c r="DX40" s="2">
        <v>325</v>
      </c>
      <c r="DY40" s="12">
        <v>0</v>
      </c>
      <c r="DZ40" s="2" t="s">
        <v>102</v>
      </c>
      <c r="EA40" s="2" t="s">
        <v>102</v>
      </c>
      <c r="EB40" s="2" t="s">
        <v>102</v>
      </c>
      <c r="EC40" s="2" t="str">
        <f>HYPERLINK(".\links\gpi\AGAP004842-PA-gpi.txt","Y-NoSP")</f>
        <v>Y-NoSP</v>
      </c>
      <c r="ED40" s="2">
        <v>0.12</v>
      </c>
      <c r="EF40" s="2">
        <v>4</v>
      </c>
      <c r="EG40" s="2" t="s">
        <v>102</v>
      </c>
      <c r="EH40" s="2" t="s">
        <v>102</v>
      </c>
      <c r="EI40" s="2">
        <v>13.846153846153801</v>
      </c>
      <c r="EJ40" s="2">
        <v>4</v>
      </c>
      <c r="EK40" s="2">
        <v>5.5384615384615401</v>
      </c>
      <c r="EL40" s="2">
        <v>9.5384615384615401</v>
      </c>
      <c r="EM40" s="2" t="s">
        <v>102</v>
      </c>
      <c r="EN40" s="2">
        <v>2</v>
      </c>
      <c r="EO40" s="2">
        <v>2</v>
      </c>
      <c r="EP40" s="2" t="s">
        <v>102</v>
      </c>
      <c r="EQ40" s="2" t="s">
        <v>102</v>
      </c>
      <c r="ER40" s="2" t="s">
        <v>102</v>
      </c>
      <c r="ES40" s="2" t="s">
        <v>102</v>
      </c>
      <c r="ET40" s="2" t="str">
        <f>HYPERLINK(".\links\REFSEQ-INVERTEBRATE\AGAP004842-PA-REFSEQ-INVERTEBRATE.txt","AGAP004842-PB")</f>
        <v>AGAP004842-PB</v>
      </c>
      <c r="EU40" s="2" t="str">
        <f>HYPERLINK("http://www.ncbi.nlm.nih.gov/sutils/blink.cgi?pid=XP_314349.4","0.0")</f>
        <v>0.0</v>
      </c>
      <c r="EV40" s="2" t="str">
        <f>HYPERLINK("http://www.ncbi.nlm.nih.gov/protein/XP_314349.4","XP_314349.4")</f>
        <v>XP_314349.4</v>
      </c>
      <c r="EW40" s="2">
        <v>100</v>
      </c>
      <c r="EX40" s="2">
        <v>100</v>
      </c>
      <c r="EY40" s="2">
        <v>100</v>
      </c>
      <c r="EZ40" s="2" t="s">
        <v>105</v>
      </c>
    </row>
    <row r="41" spans="1:156" x14ac:dyDescent="0.25">
      <c r="A41" s="2" t="s">
        <v>590</v>
      </c>
      <c r="B41" s="2">
        <v>0.43883632241462101</v>
      </c>
      <c r="C41" s="2">
        <f t="shared" si="0"/>
        <v>1.3555105318047513</v>
      </c>
      <c r="D41" s="2">
        <v>5.5314162763618704</v>
      </c>
      <c r="E41" s="2">
        <v>9.3782158250794794</v>
      </c>
      <c r="F41" s="2">
        <v>2.1957916106604899E-3</v>
      </c>
      <c r="G41" s="2">
        <v>4.5082346506373099E-2</v>
      </c>
      <c r="H41" s="2" t="s">
        <v>330</v>
      </c>
      <c r="I41" s="2" t="s">
        <v>94</v>
      </c>
      <c r="J41" s="2" t="str">
        <f>HYPERLINK("https://vectorbase.org/vectorbase/app/record/gene/AGAP012394","AGAP012394-RA")</f>
        <v>AGAP012394-RA</v>
      </c>
      <c r="K41" s="2" t="str">
        <f>HYPERLINK(".\links\pep\AGAP012394-PA-pep.txt","AGAP012394-PA")</f>
        <v>AGAP012394-PA</v>
      </c>
      <c r="L41" s="12" t="s">
        <v>95</v>
      </c>
      <c r="M41" s="2">
        <v>236</v>
      </c>
      <c r="N41" s="2">
        <v>0</v>
      </c>
      <c r="O41" s="2">
        <v>1</v>
      </c>
      <c r="P41" s="2" t="s">
        <v>331</v>
      </c>
      <c r="Q41" s="9" t="s">
        <v>332</v>
      </c>
      <c r="R41" s="2" t="s">
        <v>101</v>
      </c>
      <c r="S41" s="2" t="str">
        <f>HYPERLINK(".\links\CDD\AGAP012394-PA-CDD.txt","CDD")</f>
        <v>CDD</v>
      </c>
      <c r="T41" s="2">
        <v>9.0000000000000002E-42</v>
      </c>
      <c r="U41" s="2">
        <v>83.9</v>
      </c>
      <c r="V41" s="2" t="s">
        <v>591</v>
      </c>
      <c r="W41" s="10" t="s">
        <v>334</v>
      </c>
      <c r="X41" s="2" t="s">
        <v>335</v>
      </c>
      <c r="Y41" s="2" t="str">
        <f>HYPERLINK(".\links\EC\AGAP012394-PA-EC.txt","EC")</f>
        <v>EC</v>
      </c>
      <c r="Z41" s="15">
        <v>0</v>
      </c>
      <c r="AA41" s="2">
        <v>87</v>
      </c>
      <c r="AB41" s="13" t="s">
        <v>102</v>
      </c>
      <c r="AC41" s="13" t="str">
        <f>HYPERLINK(".\links\Sigp\AGAP012394-PA-SigP.txt","CYT")</f>
        <v>CYT</v>
      </c>
      <c r="AD41" s="2" t="s">
        <v>102</v>
      </c>
      <c r="AE41" s="2">
        <v>26.617000000000001</v>
      </c>
      <c r="AF41" s="2">
        <v>5.43</v>
      </c>
      <c r="AG41" s="2" t="s">
        <v>102</v>
      </c>
      <c r="AH41" s="2" t="s">
        <v>102</v>
      </c>
      <c r="AI41" s="2" t="s">
        <v>336</v>
      </c>
      <c r="AJ41" s="13">
        <v>0</v>
      </c>
      <c r="AK41" s="2" t="s">
        <v>102</v>
      </c>
      <c r="AL41" s="2" t="s">
        <v>102</v>
      </c>
      <c r="AM41" s="2" t="s">
        <v>102</v>
      </c>
      <c r="AN41" s="13" t="str">
        <f>HYPERLINK(".\links\gpi\AGAP012394-PA-gpi.txt","N")</f>
        <v>N</v>
      </c>
      <c r="AO41" s="14" t="str">
        <f>HYPERLINK(".\links\netoglyc\AGAP012394-PA-netoglyc.txt","0")</f>
        <v>0</v>
      </c>
      <c r="AP41" s="13">
        <v>9.6999999999999993</v>
      </c>
      <c r="AQ41" s="2">
        <v>9.3000000000000007</v>
      </c>
      <c r="AR41" s="2">
        <v>4.2</v>
      </c>
      <c r="AS41" s="2" t="s">
        <v>104</v>
      </c>
      <c r="AT41" s="9" t="str">
        <f>HYPERLINK(".\links\NR-LIGHT\AGAP012394-PA-NR-LIGHT.txt","AGAP012394-PA")</f>
        <v>AGAP012394-PA</v>
      </c>
      <c r="AU41" s="2" t="str">
        <f>HYPERLINK("http://www.ncbi.nlm.nih.gov/sutils/blink.cgi?pid=XP_320164.3","1E-137")</f>
        <v>1E-137</v>
      </c>
      <c r="AV41" s="2" t="str">
        <f>HYPERLINK("http://www.ncbi.nlm.nih.gov/protein/XP_320164.3","XP_320164.3")</f>
        <v>XP_320164.3</v>
      </c>
      <c r="AW41" s="2">
        <v>100</v>
      </c>
      <c r="AX41" s="2">
        <v>100</v>
      </c>
      <c r="AY41" s="2">
        <v>100</v>
      </c>
      <c r="AZ41" s="2" t="s">
        <v>105</v>
      </c>
      <c r="BA41" s="9" t="str">
        <f>HYPERLINK(".\links\REFSEQ-INVERTEBRATE\AGAP012394-PA-REFSEQ-INVERTEBRATE.txt","AGAP012394-PA")</f>
        <v>AGAP012394-PA</v>
      </c>
      <c r="BB41" s="2" t="str">
        <f>HYPERLINK("http://www.ncbi.nlm.nih.gov/sutils/blink.cgi?pid=XP_320164.3","1E-137")</f>
        <v>1E-137</v>
      </c>
      <c r="BC41" s="2" t="str">
        <f>HYPERLINK("http://www.ncbi.nlm.nih.gov/protein/XP_320164.3","XP_320164.3")</f>
        <v>XP_320164.3</v>
      </c>
      <c r="BD41" s="2">
        <v>100</v>
      </c>
      <c r="BE41" s="2">
        <v>100</v>
      </c>
      <c r="BF41" s="2">
        <v>100</v>
      </c>
      <c r="BG41" s="2" t="s">
        <v>105</v>
      </c>
      <c r="BH41" s="9" t="str">
        <f>HYPERLINK(".\links\REFSEQ-PROTOZOA\AGAP012394-PA-REFSEQ-PROTOZOA.txt","hypothetical protein DICPUDRAFT_47974")</f>
        <v>hypothetical protein DICPUDRAFT_47974</v>
      </c>
      <c r="BI41" s="2" t="str">
        <f>HYPERLINK("http://www.ncbi.nlm.nih.gov/sutils/blink.cgi?pid=XP_003288540.1","1E-030")</f>
        <v>1E-030</v>
      </c>
      <c r="BJ41" s="2" t="str">
        <f>HYPERLINK("http://www.ncbi.nlm.nih.gov/protein/XP_003288540.1","XP_003288540.1")</f>
        <v>XP_003288540.1</v>
      </c>
      <c r="BK41" s="2">
        <v>43</v>
      </c>
      <c r="BL41" s="2">
        <v>61</v>
      </c>
      <c r="BM41" s="2">
        <v>94</v>
      </c>
      <c r="BN41" s="2" t="s">
        <v>337</v>
      </c>
      <c r="BO41" s="9" t="str">
        <f>HYPERLINK(".\links\SWISSP\AGAP012394-PA-SWISSP.txt","Peptide methionine sulfoxide reductase")</f>
        <v>Peptide methionine sulfoxide reductase</v>
      </c>
      <c r="BP41" s="2" t="str">
        <f>HYPERLINK("http://www.uniprot.org/uniprot/P08761","4E-081")</f>
        <v>4E-081</v>
      </c>
      <c r="BQ41" s="2" t="str">
        <f>HYPERLINK("http://www.uniprot.org/uniprot/P08761#expression","P08761")</f>
        <v>P08761</v>
      </c>
      <c r="BR41" s="2">
        <v>64</v>
      </c>
      <c r="BS41" s="2">
        <v>79</v>
      </c>
      <c r="BT41" s="2">
        <v>88</v>
      </c>
      <c r="BU41" s="2" t="s">
        <v>107</v>
      </c>
      <c r="BV41" s="9" t="str">
        <f>HYPERLINK(".\links\FLYBASE\AGAP012394-PA-FLYBASE.txt","FBpp0075308")</f>
        <v>FBpp0075308</v>
      </c>
      <c r="BW41" s="2" t="str">
        <f>HYPERLINK("http://flybase.org/reports/FBgn0000565#alliance_summary_container","1E-106")</f>
        <v>1E-106</v>
      </c>
      <c r="BX41" s="2">
        <v>246</v>
      </c>
      <c r="BY41" s="2">
        <v>64</v>
      </c>
      <c r="BZ41" s="2">
        <v>79</v>
      </c>
      <c r="CA41" s="2">
        <v>88</v>
      </c>
      <c r="CB41" s="9" t="str">
        <f>HYPERLINK(".\links\CDD\AGAP012394-PA-CDD.txt","PMSR, Peptide methionine sulfoxide reductase")</f>
        <v>PMSR, Peptide methionine sulfoxide reductase</v>
      </c>
      <c r="CC41" s="15">
        <v>2E-46</v>
      </c>
      <c r="CD41" s="2">
        <v>94.8</v>
      </c>
      <c r="CE41" s="2" t="s">
        <v>338</v>
      </c>
      <c r="CF41" s="2" t="s">
        <v>592</v>
      </c>
      <c r="CG41" s="9" t="str">
        <f>HYPERLINK(".\links\KOG\AGAP012394-PA-KOG.txt","Peptide methionine sulfoxide reductase")</f>
        <v>Peptide methionine sulfoxide reductase</v>
      </c>
      <c r="CH41" s="15">
        <v>4.9999999999999996E-41</v>
      </c>
      <c r="CI41" s="2">
        <v>87.4</v>
      </c>
      <c r="CJ41" s="2" t="s">
        <v>340</v>
      </c>
      <c r="CK41" s="2" t="s">
        <v>111</v>
      </c>
      <c r="CL41" s="9" t="str">
        <f>HYPERLINK(".\links\PFAM\AGAP012394-PA-PFAM.txt","PMSR, Peptide methionine sulfoxide reductase")</f>
        <v>PMSR, Peptide methionine sulfoxide reductase</v>
      </c>
      <c r="CM41" s="15">
        <v>3.9999999999999999E-47</v>
      </c>
      <c r="CN41" s="2">
        <v>94.8</v>
      </c>
      <c r="CO41" s="2" t="s">
        <v>338</v>
      </c>
      <c r="CP41" s="9" t="str">
        <f>HYPERLINK(".\links\SMART\AGAP012394-PA-SMART.txt","c-SKI_SMAD_bind, c-SKI Smad4 binding domain")</f>
        <v>c-SKI_SMAD_bind, c-SKI Smad4 binding domain</v>
      </c>
      <c r="CQ41" s="15">
        <v>1.5</v>
      </c>
      <c r="CR41" s="2">
        <v>9.5</v>
      </c>
      <c r="CS41" s="2" t="s">
        <v>253</v>
      </c>
      <c r="CT41" s="2" t="s">
        <v>591</v>
      </c>
      <c r="CU41" s="2" t="s">
        <v>591</v>
      </c>
      <c r="CV41" s="2" t="s">
        <v>591</v>
      </c>
      <c r="CW41" s="2" t="str">
        <f>HYPERLINK(".\links\pep\AGAP012394-PA-pep.txt","AGAP012394-PA")</f>
        <v>AGAP012394-PA</v>
      </c>
      <c r="CX41" s="2" t="s">
        <v>95</v>
      </c>
      <c r="CY41" s="2">
        <v>236</v>
      </c>
      <c r="CZ41" s="2" t="s">
        <v>113</v>
      </c>
      <c r="DA41" s="2" t="s">
        <v>593</v>
      </c>
      <c r="DB41" s="2">
        <v>0</v>
      </c>
      <c r="DC41" s="2">
        <v>1</v>
      </c>
      <c r="DD41" s="2" t="str">
        <f>HYPERLINK("https://www.kegg.jp/kegg-bin/search_pathway_text?map=aga&amp;keyword=AGAP012394&amp;mode=1&amp;viewImage=true","AGAP012394")</f>
        <v>AGAP012394</v>
      </c>
      <c r="DE41" s="2" t="s">
        <v>590</v>
      </c>
      <c r="DF41" s="2" t="s">
        <v>330</v>
      </c>
      <c r="DG41" s="2" t="s">
        <v>94</v>
      </c>
      <c r="DH41" s="2" t="str">
        <f>HYPERLINK("https://vectorbase.org/vectorbase/app/record/gene/AGAP012394","AGAP012394-RA")</f>
        <v>AGAP012394-RA</v>
      </c>
      <c r="DI41" s="2" t="s">
        <v>115</v>
      </c>
      <c r="DJ41" s="2">
        <v>1055</v>
      </c>
      <c r="DK41" s="2" t="str">
        <f>HYPERLINK(".\links\netoglyc\AGAP012394-PA-netoglyc.txt","0")</f>
        <v>0</v>
      </c>
      <c r="DL41" s="2">
        <v>9.6999999999999993</v>
      </c>
      <c r="DM41" s="2">
        <v>9.3000000000000007</v>
      </c>
      <c r="DN41" s="2">
        <v>4.2</v>
      </c>
      <c r="DO41" s="2" t="s">
        <v>104</v>
      </c>
      <c r="DP41" s="2" t="s">
        <v>102</v>
      </c>
      <c r="DQ41" s="2" t="str">
        <f>HYPERLINK(".\links\Sigp\AGAP012394-PA-SigP.txt","CYT")</f>
        <v>CYT</v>
      </c>
      <c r="DR41" s="2" t="s">
        <v>102</v>
      </c>
      <c r="DS41" s="2">
        <v>26.617000000000001</v>
      </c>
      <c r="DT41" s="2">
        <v>5.43</v>
      </c>
      <c r="DU41" s="2" t="s">
        <v>102</v>
      </c>
      <c r="DV41" s="2" t="s">
        <v>102</v>
      </c>
      <c r="DW41" s="2" t="s">
        <v>336</v>
      </c>
      <c r="DX41" s="2">
        <v>236</v>
      </c>
      <c r="DY41" s="12">
        <v>0</v>
      </c>
      <c r="DZ41" s="2" t="s">
        <v>102</v>
      </c>
      <c r="EA41" s="2" t="s">
        <v>102</v>
      </c>
      <c r="EB41" s="2" t="s">
        <v>102</v>
      </c>
      <c r="EC41" s="2" t="str">
        <f>HYPERLINK(".\links\gpi\AGAP012394-PA-gpi.txt","Y-NoSP")</f>
        <v>Y-NoSP</v>
      </c>
      <c r="ED41" s="2">
        <v>0.23</v>
      </c>
      <c r="EF41" s="2">
        <v>3</v>
      </c>
      <c r="EG41" s="2" t="s">
        <v>102</v>
      </c>
      <c r="EH41" s="2" t="s">
        <v>102</v>
      </c>
      <c r="EI41" s="2">
        <v>9.7457627118644101</v>
      </c>
      <c r="EJ41" s="2">
        <v>4.2372881355932197</v>
      </c>
      <c r="EK41" s="2">
        <v>9.3220338983050794</v>
      </c>
      <c r="EL41" s="2">
        <v>13.559322033898299</v>
      </c>
      <c r="EM41" s="2" t="s">
        <v>102</v>
      </c>
      <c r="EN41" s="2">
        <v>2</v>
      </c>
      <c r="EO41" s="2">
        <v>2</v>
      </c>
      <c r="EP41" s="2" t="s">
        <v>102</v>
      </c>
      <c r="EQ41" s="2" t="s">
        <v>102</v>
      </c>
      <c r="ER41" s="2" t="s">
        <v>102</v>
      </c>
      <c r="ES41" s="2" t="s">
        <v>102</v>
      </c>
      <c r="ET41" s="2" t="str">
        <f>HYPERLINK(".\links\REFSEQ-INVERTEBRATE\AGAP012394-PA-REFSEQ-INVERTEBRATE.txt","AGAP012394-PA")</f>
        <v>AGAP012394-PA</v>
      </c>
      <c r="EU41" s="2" t="str">
        <f>HYPERLINK("http://www.ncbi.nlm.nih.gov/sutils/blink.cgi?pid=XP_320164.3","1E-178")</f>
        <v>1E-178</v>
      </c>
      <c r="EV41" s="2" t="str">
        <f>HYPERLINK("http://www.ncbi.nlm.nih.gov/protein/XP_320164.3","XP_320164.3")</f>
        <v>XP_320164.3</v>
      </c>
      <c r="EW41" s="2">
        <v>100</v>
      </c>
      <c r="EX41" s="2">
        <v>100</v>
      </c>
      <c r="EY41" s="2">
        <v>100</v>
      </c>
      <c r="EZ41" s="2" t="s">
        <v>105</v>
      </c>
    </row>
    <row r="42" spans="1:156" x14ac:dyDescent="0.25">
      <c r="A42" s="2" t="s">
        <v>594</v>
      </c>
      <c r="B42" s="2">
        <v>0.43561649834779398</v>
      </c>
      <c r="C42" s="2">
        <f t="shared" si="0"/>
        <v>1.3524886605477817</v>
      </c>
      <c r="D42" s="2">
        <v>5.1941308174593299</v>
      </c>
      <c r="E42" s="2">
        <v>10.640899711991</v>
      </c>
      <c r="F42" s="2">
        <v>1.10613848182092E-3</v>
      </c>
      <c r="G42" s="2">
        <v>3.3690006379902E-2</v>
      </c>
      <c r="H42" s="2" t="s">
        <v>595</v>
      </c>
      <c r="I42" s="2" t="s">
        <v>94</v>
      </c>
      <c r="J42" s="2" t="str">
        <f>HYPERLINK("https://vectorbase.org/vectorbase/app/record/gene/AGAP001228","AGAP001228-RA")</f>
        <v>AGAP001228-RA</v>
      </c>
      <c r="K42" s="2" t="str">
        <f>HYPERLINK(".\links\pep\AGAP001228-PA-pep.txt","AGAP001228-PA")</f>
        <v>AGAP001228-PA</v>
      </c>
      <c r="L42" s="12" t="s">
        <v>95</v>
      </c>
      <c r="M42" s="2">
        <v>139</v>
      </c>
      <c r="N42" s="2">
        <v>0</v>
      </c>
      <c r="O42" s="2">
        <v>0</v>
      </c>
      <c r="P42" s="2" t="s">
        <v>596</v>
      </c>
      <c r="Q42" s="9" t="s">
        <v>597</v>
      </c>
      <c r="R42" s="2" t="s">
        <v>420</v>
      </c>
      <c r="S42" s="2" t="str">
        <f>HYPERLINK(".\links\KOG\AGAP001228-PA-KOG.txt","KOG")</f>
        <v>KOG</v>
      </c>
      <c r="T42" s="2">
        <v>9.9999999999999996E-39</v>
      </c>
      <c r="U42" s="2">
        <v>97</v>
      </c>
      <c r="V42" s="2" t="s">
        <v>598</v>
      </c>
      <c r="W42" s="10" t="s">
        <v>599</v>
      </c>
      <c r="X42" s="2" t="s">
        <v>420</v>
      </c>
      <c r="Y42" s="2" t="str">
        <f>HYPERLINK(".\links\REFSEQVERTEBRATE95\AGAP001228-PA-REFSEQVERTEBRATE95.txt","REFSEQVERTEBRATE95")</f>
        <v>REFSEQVERTEBRATE95</v>
      </c>
      <c r="Z42" s="15">
        <v>6.0000000000000003E-70</v>
      </c>
      <c r="AA42" s="2">
        <v>91.5</v>
      </c>
      <c r="AB42" s="13" t="s">
        <v>102</v>
      </c>
      <c r="AC42" s="13" t="str">
        <f>HYPERLINK(".\links\Sigp\AGAP001228-PA-SigP.txt","CYT")</f>
        <v>CYT</v>
      </c>
      <c r="AD42" s="2" t="s">
        <v>102</v>
      </c>
      <c r="AE42" s="2">
        <v>16.221</v>
      </c>
      <c r="AF42" s="2">
        <v>4.75</v>
      </c>
      <c r="AG42" s="2" t="s">
        <v>102</v>
      </c>
      <c r="AH42" s="2" t="s">
        <v>102</v>
      </c>
      <c r="AI42" s="2" t="s">
        <v>211</v>
      </c>
      <c r="AJ42" s="13">
        <v>0</v>
      </c>
      <c r="AK42" s="2" t="s">
        <v>102</v>
      </c>
      <c r="AL42" s="2" t="s">
        <v>102</v>
      </c>
      <c r="AM42" s="2" t="s">
        <v>102</v>
      </c>
      <c r="AN42" s="13" t="str">
        <f>HYPERLINK(".\links\gpi\AGAP001228-PA-gpi.txt","N")</f>
        <v>N</v>
      </c>
      <c r="AO42" s="14" t="str">
        <f>HYPERLINK(".\links\netoglyc\AGAP001228-PA-netoglyc.txt","0")</f>
        <v>0</v>
      </c>
      <c r="AP42" s="13">
        <v>11.5</v>
      </c>
      <c r="AQ42" s="2">
        <v>2.9</v>
      </c>
      <c r="AR42" s="2">
        <v>3.6</v>
      </c>
      <c r="AS42" s="2" t="s">
        <v>104</v>
      </c>
      <c r="AT42" s="9" t="str">
        <f>HYPERLINK(".\links\NR-LIGHT\AGAP001228-PA-NR-LIGHT.txt","AGAP001228-PB")</f>
        <v>AGAP001228-PB</v>
      </c>
      <c r="AU42" s="2" t="str">
        <f>HYPERLINK("http://www.ncbi.nlm.nih.gov/sutils/blink.cgi?pid=XP_003435782.1","3E-073")</f>
        <v>3E-073</v>
      </c>
      <c r="AV42" s="2" t="str">
        <f>HYPERLINK("http://www.ncbi.nlm.nih.gov/protein/XP_003435782.1","XP_003435782.1")</f>
        <v>XP_003435782.1</v>
      </c>
      <c r="AW42" s="2">
        <v>100</v>
      </c>
      <c r="AX42" s="2">
        <v>100</v>
      </c>
      <c r="AY42" s="2">
        <v>100</v>
      </c>
      <c r="AZ42" s="2" t="s">
        <v>105</v>
      </c>
      <c r="BA42" s="9" t="str">
        <f>HYPERLINK(".\links\REFSEQ-INVERTEBRATE\AGAP001228-PA-REFSEQ-INVERTEBRATE.txt","AGAP001228-PB")</f>
        <v>AGAP001228-PB</v>
      </c>
      <c r="BB42" s="2" t="str">
        <f>HYPERLINK("http://www.ncbi.nlm.nih.gov/sutils/blink.cgi?pid=XP_003435782.1","2E-073")</f>
        <v>2E-073</v>
      </c>
      <c r="BC42" s="2" t="str">
        <f>HYPERLINK("http://www.ncbi.nlm.nih.gov/protein/XP_003435782.1","XP_003435782.1")</f>
        <v>XP_003435782.1</v>
      </c>
      <c r="BD42" s="2">
        <v>100</v>
      </c>
      <c r="BE42" s="2">
        <v>100</v>
      </c>
      <c r="BF42" s="2">
        <v>100</v>
      </c>
      <c r="BG42" s="2" t="s">
        <v>105</v>
      </c>
      <c r="BH42" s="9" t="str">
        <f>HYPERLINK(".\links\REFSEQ-PROTOZOA\AGAP001228-PA-REFSEQ-PROTOZOA.txt","DNAdirected RNA polymerase II subunit rpb4, putative")</f>
        <v>DNAdirected RNA polymerase II subunit rpb4, putative</v>
      </c>
      <c r="BI42" s="2" t="str">
        <f>HYPERLINK("http://www.ncbi.nlm.nih.gov/sutils/blink.cgi?pid=XP_004368109.1","6E-027")</f>
        <v>6E-027</v>
      </c>
      <c r="BJ42" s="2" t="str">
        <f>HYPERLINK("http://www.ncbi.nlm.nih.gov/protein/XP_004368109.1","XP_004368109.1")</f>
        <v>XP_004368109.1</v>
      </c>
      <c r="BK42" s="2">
        <v>48</v>
      </c>
      <c r="BL42" s="2">
        <v>68</v>
      </c>
      <c r="BM42" s="2">
        <v>96</v>
      </c>
      <c r="BN42" s="2" t="s">
        <v>600</v>
      </c>
      <c r="BO42" s="9" t="str">
        <f>HYPERLINK(".\links\SWISSP\AGAP001228-PA-SWISSP.txt","DNA-directed RNA polymerase II subunit Rpb4")</f>
        <v>DNA-directed RNA polymerase II subunit Rpb4</v>
      </c>
      <c r="BP42" s="2" t="str">
        <f>HYPERLINK("http://www.uniprot.org/uniprot/Q9VEA5","1E-063")</f>
        <v>1E-063</v>
      </c>
      <c r="BQ42" s="2" t="str">
        <f>HYPERLINK("http://www.uniprot.org/uniprot/Q9VEA5#expression","Q9VEA5")</f>
        <v>Q9VEA5</v>
      </c>
      <c r="BR42" s="2">
        <v>85</v>
      </c>
      <c r="BS42" s="2">
        <v>93</v>
      </c>
      <c r="BT42" s="2">
        <v>100</v>
      </c>
      <c r="BU42" s="2" t="s">
        <v>107</v>
      </c>
      <c r="BV42" s="9" t="str">
        <f>HYPERLINK(".\links\FLYBASE\AGAP001228-PA-FLYBASE.txt","FBpp0302530")</f>
        <v>FBpp0302530</v>
      </c>
      <c r="BW42" s="2" t="str">
        <f>HYPERLINK("http://flybase.org/reports/FBgn0263757#alliance_summary_container","9E-86")</f>
        <v>9E-86</v>
      </c>
      <c r="BX42" s="2">
        <v>139</v>
      </c>
      <c r="BY42" s="2">
        <v>85</v>
      </c>
      <c r="BZ42" s="2">
        <v>93</v>
      </c>
      <c r="CA42" s="2">
        <v>100</v>
      </c>
      <c r="CB42" s="9" t="str">
        <f>HYPERLINK(".\links\CDD\AGAP001228-PA-CDD.txt","RPOL4c, DNA-directed RNA-polymerase II subunit")</f>
        <v>RPOL4c, DNA-directed RNA-polymerase II subunit</v>
      </c>
      <c r="CC42" s="15">
        <v>1E-26</v>
      </c>
      <c r="CD42" s="2">
        <v>100</v>
      </c>
      <c r="CE42" s="2" t="s">
        <v>601</v>
      </c>
      <c r="CF42" s="2" t="s">
        <v>602</v>
      </c>
      <c r="CG42" s="9" t="str">
        <f>HYPERLINK(".\links\KOG\AGAP001228-PA-KOG.txt","fourth largest subunit")</f>
        <v>fourth largest subunit</v>
      </c>
      <c r="CH42" s="15">
        <v>9.9999999999999996E-39</v>
      </c>
      <c r="CI42" s="2">
        <v>97</v>
      </c>
      <c r="CJ42" s="2" t="s">
        <v>603</v>
      </c>
      <c r="CK42" s="2" t="s">
        <v>309</v>
      </c>
      <c r="CL42" s="9" t="str">
        <f>HYPERLINK(".\links\PFAM\AGAP001228-PA-PFAM.txt","RNA_pol_Rpb4, RNA polymerase Rpb4")</f>
        <v>RNA_pol_Rpb4, RNA polymerase Rpb4</v>
      </c>
      <c r="CM42" s="15">
        <v>6.9999999999999999E-23</v>
      </c>
      <c r="CN42" s="2">
        <v>100</v>
      </c>
      <c r="CO42" s="2" t="s">
        <v>604</v>
      </c>
      <c r="CP42" s="9" t="str">
        <f>HYPERLINK(".\links\SMART\AGAP001228-PA-SMART.txt","RPOL4c, DNA-directed RNA-polymerase II subunit")</f>
        <v>RPOL4c, DNA-directed RNA-polymerase II subunit</v>
      </c>
      <c r="CQ42" s="15">
        <v>1.9999999999999999E-28</v>
      </c>
      <c r="CR42" s="2">
        <v>100</v>
      </c>
      <c r="CS42" s="2" t="s">
        <v>601</v>
      </c>
      <c r="CT42" s="2" t="s">
        <v>598</v>
      </c>
      <c r="CU42" s="2" t="s">
        <v>598</v>
      </c>
      <c r="CV42" s="2" t="s">
        <v>598</v>
      </c>
      <c r="CW42" s="2" t="str">
        <f>HYPERLINK(".\links\pep\AGAP001228-PA-pep.txt","AGAP001228-PA")</f>
        <v>AGAP001228-PA</v>
      </c>
      <c r="CX42" s="2" t="s">
        <v>95</v>
      </c>
      <c r="CY42" s="2">
        <v>139</v>
      </c>
      <c r="CZ42" s="2" t="s">
        <v>113</v>
      </c>
      <c r="DA42" s="2" t="s">
        <v>605</v>
      </c>
      <c r="DB42" s="2">
        <v>0</v>
      </c>
      <c r="DC42" s="2">
        <v>0</v>
      </c>
      <c r="DD42" s="2" t="str">
        <f>HYPERLINK("https://www.kegg.jp/kegg-bin/search_pathway_text?map=aga&amp;keyword=AGAP001228&amp;mode=1&amp;viewImage=true","AGAP001228")</f>
        <v>AGAP001228</v>
      </c>
      <c r="DE42" s="2" t="s">
        <v>594</v>
      </c>
      <c r="DF42" s="2" t="s">
        <v>595</v>
      </c>
      <c r="DG42" s="2" t="s">
        <v>94</v>
      </c>
      <c r="DH42" s="2" t="str">
        <f>HYPERLINK("https://vectorbase.org/vectorbase/app/record/gene/AGAP001228","AGAP001228-RA")</f>
        <v>AGAP001228-RA</v>
      </c>
      <c r="DI42" s="2" t="s">
        <v>115</v>
      </c>
      <c r="DJ42" s="2">
        <v>542</v>
      </c>
      <c r="DK42" s="2" t="str">
        <f>HYPERLINK(".\links\netoglyc\AGAP001228-PA-netoglyc.txt","0")</f>
        <v>0</v>
      </c>
      <c r="DL42" s="2">
        <v>11.5</v>
      </c>
      <c r="DM42" s="2">
        <v>2.9</v>
      </c>
      <c r="DN42" s="2">
        <v>3.6</v>
      </c>
      <c r="DO42" s="2" t="s">
        <v>104</v>
      </c>
      <c r="DP42" s="2" t="s">
        <v>102</v>
      </c>
      <c r="DQ42" s="2" t="str">
        <f>HYPERLINK(".\links\Sigp\AGAP001228-PA-SigP.txt","CYT")</f>
        <v>CYT</v>
      </c>
      <c r="DR42" s="2" t="s">
        <v>102</v>
      </c>
      <c r="DS42" s="2">
        <v>16.221</v>
      </c>
      <c r="DT42" s="2">
        <v>4.75</v>
      </c>
      <c r="DU42" s="2" t="s">
        <v>102</v>
      </c>
      <c r="DV42" s="2" t="s">
        <v>102</v>
      </c>
      <c r="DW42" s="2" t="s">
        <v>211</v>
      </c>
      <c r="DX42" s="2">
        <v>139</v>
      </c>
      <c r="DY42" s="12">
        <v>0</v>
      </c>
      <c r="DZ42" s="2" t="s">
        <v>102</v>
      </c>
      <c r="EA42" s="2" t="s">
        <v>102</v>
      </c>
      <c r="EB42" s="2" t="s">
        <v>102</v>
      </c>
      <c r="EC42" s="2" t="str">
        <f>HYPERLINK(".\links\gpi\AGAP001228-PA-gpi.txt","N")</f>
        <v>N</v>
      </c>
      <c r="ED42" s="2">
        <v>0.34</v>
      </c>
      <c r="EF42" s="2">
        <v>1</v>
      </c>
      <c r="EG42" s="2" t="s">
        <v>102</v>
      </c>
      <c r="EH42" s="2" t="s">
        <v>102</v>
      </c>
      <c r="EI42" s="2">
        <v>11.510791366906499</v>
      </c>
      <c r="EJ42" s="2">
        <v>3.5971223021582701</v>
      </c>
      <c r="EK42" s="2">
        <v>2.8776978417266199</v>
      </c>
      <c r="EL42" s="2">
        <v>6.47482014388489</v>
      </c>
      <c r="EM42" s="2" t="s">
        <v>102</v>
      </c>
      <c r="EN42" s="2" t="s">
        <v>102</v>
      </c>
      <c r="EO42" s="2" t="s">
        <v>102</v>
      </c>
      <c r="EP42" s="2" t="s">
        <v>102</v>
      </c>
      <c r="EQ42" s="2" t="s">
        <v>102</v>
      </c>
      <c r="ER42" s="2" t="s">
        <v>102</v>
      </c>
      <c r="ES42" s="2" t="s">
        <v>102</v>
      </c>
      <c r="ET42" s="2" t="str">
        <f>HYPERLINK(".\links\REFSEQ-INVERTEBRATE\AGAP001228-PA-REFSEQ-INVERTEBRATE.txt","AGAP001228-PB")</f>
        <v>AGAP001228-PB</v>
      </c>
      <c r="EU42" s="2" t="str">
        <f>HYPERLINK("http://www.ncbi.nlm.nih.gov/sutils/blink.cgi?pid=XP_003435782.1","2E-98")</f>
        <v>2E-98</v>
      </c>
      <c r="EV42" s="2" t="str">
        <f>HYPERLINK("http://www.ncbi.nlm.nih.gov/protein/XP_003435782.1","XP_003435782.1")</f>
        <v>XP_003435782.1</v>
      </c>
      <c r="EW42" s="2">
        <v>100</v>
      </c>
      <c r="EX42" s="2">
        <v>100</v>
      </c>
      <c r="EY42" s="2">
        <v>100</v>
      </c>
      <c r="EZ42" s="2" t="s">
        <v>105</v>
      </c>
    </row>
    <row r="43" spans="1:156" x14ac:dyDescent="0.25">
      <c r="A43" s="2" t="s">
        <v>606</v>
      </c>
      <c r="B43" s="2">
        <v>0.43147284203363601</v>
      </c>
      <c r="C43" s="2">
        <f t="shared" si="0"/>
        <v>1.3486096649457238</v>
      </c>
      <c r="D43" s="2">
        <v>6.0457111284217504</v>
      </c>
      <c r="E43" s="2">
        <v>11.7262582293442</v>
      </c>
      <c r="F43" s="2">
        <v>6.1624370148172095E-4</v>
      </c>
      <c r="G43" s="2">
        <v>2.77845500904421E-2</v>
      </c>
      <c r="H43" s="2" t="s">
        <v>93</v>
      </c>
      <c r="I43" s="2" t="s">
        <v>94</v>
      </c>
      <c r="J43" s="2" t="str">
        <f>HYPERLINK("https://vectorbase.org/vectorbase/app/record/gene/AGAP028687","AGAP028687-RA")</f>
        <v>AGAP028687-RA</v>
      </c>
      <c r="K43" s="2" t="str">
        <f>HYPERLINK(".\links\pep\AGAP028687-PA-pep.txt","AGAP028687-PA")</f>
        <v>AGAP028687-PA</v>
      </c>
      <c r="L43" s="12" t="s">
        <v>95</v>
      </c>
      <c r="M43" s="2">
        <v>672</v>
      </c>
      <c r="N43" s="2">
        <v>0</v>
      </c>
      <c r="O43" s="2">
        <v>3</v>
      </c>
      <c r="P43" s="2" t="s">
        <v>102</v>
      </c>
      <c r="Q43" s="9" t="s">
        <v>607</v>
      </c>
      <c r="R43" s="2" t="s">
        <v>608</v>
      </c>
      <c r="V43" s="2" t="s">
        <v>609</v>
      </c>
      <c r="W43" s="10" t="s">
        <v>610</v>
      </c>
      <c r="X43" s="2" t="s">
        <v>196</v>
      </c>
      <c r="Y43" s="2" t="str">
        <f>HYPERLINK(".\links\ARTHORPODA\AGAP028687-PA-ARTHORPODA.txt","ARTHORPODA")</f>
        <v>ARTHORPODA</v>
      </c>
      <c r="Z43" s="2">
        <v>0</v>
      </c>
      <c r="AA43" s="2">
        <v>100</v>
      </c>
      <c r="AB43" s="13" t="str">
        <f>HYPERLINK(".\links\pep\AGAP028687-PA-sulf.txt","1")</f>
        <v>1</v>
      </c>
      <c r="AC43" s="13" t="str">
        <f>HYPERLINK(".\links\Sigp\AGAP028687-PA-SigP.txt","CYT")</f>
        <v>CYT</v>
      </c>
      <c r="AD43" s="2" t="s">
        <v>102</v>
      </c>
      <c r="AE43" s="2">
        <v>76.043000000000006</v>
      </c>
      <c r="AF43" s="2">
        <v>6.1</v>
      </c>
      <c r="AG43" s="2" t="s">
        <v>102</v>
      </c>
      <c r="AH43" s="2" t="s">
        <v>102</v>
      </c>
      <c r="AI43" s="2" t="s">
        <v>611</v>
      </c>
      <c r="AJ43" s="13">
        <v>0</v>
      </c>
      <c r="AK43" s="2" t="s">
        <v>102</v>
      </c>
      <c r="AL43" s="2" t="s">
        <v>102</v>
      </c>
      <c r="AM43" s="2" t="s">
        <v>102</v>
      </c>
      <c r="AN43" s="9" t="str">
        <f>HYPERLINK(".\links\gpi\AGAP028687-PA-gpi.txt","N")</f>
        <v>N</v>
      </c>
      <c r="AO43" s="14" t="str">
        <f>HYPERLINK(".\links\netoglyc\AGAP028687-PA-netoglyc.txt","1")</f>
        <v>1</v>
      </c>
      <c r="AP43" s="13">
        <v>14</v>
      </c>
      <c r="AQ43" s="2">
        <v>4.5999999999999996</v>
      </c>
      <c r="AR43" s="2">
        <v>4.9000000000000004</v>
      </c>
      <c r="AS43" s="2" t="s">
        <v>104</v>
      </c>
      <c r="AT43" s="9" t="str">
        <f>HYPERLINK(".\links\NR-LIGHT\AGAP028687-PA-NR-LIGHT.txt","AGAP011075-PA, partial")</f>
        <v>AGAP011075-PA, partial</v>
      </c>
      <c r="AU43" s="2" t="str">
        <f>HYPERLINK("http://www.ncbi.nlm.nih.gov/sutils/blink.cgi?pid=XP_001688198.1","3E-038")</f>
        <v>3E-038</v>
      </c>
      <c r="AV43" s="2" t="str">
        <f>HYPERLINK("http://www.ncbi.nlm.nih.gov/protein/XP_001688198.1","XP_001688198.1")</f>
        <v>XP_001688198.1</v>
      </c>
      <c r="AW43" s="2">
        <v>38</v>
      </c>
      <c r="AX43" s="2">
        <v>58</v>
      </c>
      <c r="AY43" s="2">
        <v>61</v>
      </c>
      <c r="AZ43" s="2" t="s">
        <v>105</v>
      </c>
      <c r="BA43" s="9" t="str">
        <f>HYPERLINK(".\links\REFSEQ-INVERTEBRATE\AGAP028687-PA-REFSEQ-INVERTEBRATE.txt","AGAP011075-PA, partial")</f>
        <v>AGAP011075-PA, partial</v>
      </c>
      <c r="BB43" s="2" t="str">
        <f>HYPERLINK("http://www.ncbi.nlm.nih.gov/sutils/blink.cgi?pid=XP_001688198.1","3E-038")</f>
        <v>3E-038</v>
      </c>
      <c r="BC43" s="2" t="str">
        <f>HYPERLINK("http://www.ncbi.nlm.nih.gov/protein/XP_001688198.1","XP_001688198.1")</f>
        <v>XP_001688198.1</v>
      </c>
      <c r="BD43" s="2">
        <v>38</v>
      </c>
      <c r="BE43" s="2">
        <v>58</v>
      </c>
      <c r="BF43" s="2">
        <v>61</v>
      </c>
      <c r="BG43" s="2" t="s">
        <v>105</v>
      </c>
      <c r="BH43" s="9" t="str">
        <f>HYPERLINK(".\links\REFSEQ-PROTOZOA\AGAP028687-PA-REFSEQ-PROTOZOA.txt","SNF2-related domain-containing protein")</f>
        <v>SNF2-related domain-containing protein</v>
      </c>
      <c r="BI43" s="2" t="str">
        <f>HYPERLINK("http://www.ncbi.nlm.nih.gov/sutils/blink.cgi?pid=XP_640679.1","0.002")</f>
        <v>0.002</v>
      </c>
      <c r="BJ43" s="2" t="str">
        <f>HYPERLINK("http://www.ncbi.nlm.nih.gov/protein/XP_640679.1","XP_640679.1")</f>
        <v>XP_640679.1</v>
      </c>
      <c r="BK43" s="2">
        <v>20</v>
      </c>
      <c r="BL43" s="2">
        <v>43</v>
      </c>
      <c r="BM43" s="2">
        <v>16</v>
      </c>
      <c r="BN43" s="2" t="s">
        <v>612</v>
      </c>
      <c r="BO43" s="9" t="str">
        <f>HYPERLINK(".\links\SWISSP\AGAP028687-PA-SWISSP.txt","Titin")</f>
        <v>Titin</v>
      </c>
      <c r="BP43" s="2" t="str">
        <f>HYPERLINK("http://www.uniprot.org/uniprot/Q9I7U4","0.001")</f>
        <v>0.001</v>
      </c>
      <c r="BQ43" s="2" t="str">
        <f>HYPERLINK("http://www.uniprot.org/uniprot/Q9I7U4#expression","Q9I7U4")</f>
        <v>Q9I7U4</v>
      </c>
      <c r="BR43" s="2">
        <v>20</v>
      </c>
      <c r="BS43" s="2">
        <v>39</v>
      </c>
      <c r="BT43" s="2">
        <v>2</v>
      </c>
      <c r="BU43" s="2" t="s">
        <v>107</v>
      </c>
      <c r="BV43" s="9" t="str">
        <f>HYPERLINK(".\links\FLYBASE\AGAP028687-PA-FLYBASE.txt","FBpp0080233")</f>
        <v>FBpp0080233</v>
      </c>
      <c r="BW43" s="2" t="str">
        <f>HYPERLINK("http://flybase.org/reports/FBgn0028838#alliance_summary_container","3.8")</f>
        <v>3.8</v>
      </c>
      <c r="BX43" s="2">
        <v>364</v>
      </c>
      <c r="BY43" s="2">
        <v>25</v>
      </c>
      <c r="BZ43" s="2">
        <v>45</v>
      </c>
      <c r="CA43" s="2">
        <v>33</v>
      </c>
      <c r="CB43" s="9" t="str">
        <f>HYPERLINK(".\links\CDD\AGAP028687-PA-CDD.txt","DUF4806, Domain of unknown function (DUF4806)")</f>
        <v>DUF4806, Domain of unknown function (DUF4806)</v>
      </c>
      <c r="CC43" s="15">
        <v>6.9999999999999994E-5</v>
      </c>
      <c r="CD43" s="2">
        <v>101.2</v>
      </c>
      <c r="CE43" s="2" t="s">
        <v>613</v>
      </c>
      <c r="CF43" s="2" t="s">
        <v>614</v>
      </c>
      <c r="CG43" s="9" t="str">
        <f>HYPERLINK(".\links\KOG\AGAP028687-PA-KOG.txt","SNF2 family DNA-dependent ATPase")</f>
        <v>SNF2 family DNA-dependent ATPase</v>
      </c>
      <c r="CH43" s="15">
        <v>8.0000000000000002E-3</v>
      </c>
      <c r="CI43" s="2">
        <v>22.5</v>
      </c>
      <c r="CJ43" s="2" t="s">
        <v>615</v>
      </c>
      <c r="CK43" s="2" t="s">
        <v>398</v>
      </c>
      <c r="CL43" s="9" t="str">
        <f>HYPERLINK(".\links\PFAM\AGAP028687-PA-PFAM.txt","DUF4806, Domain of unknown function (DUF4806)")</f>
        <v>DUF4806, Domain of unknown function (DUF4806)</v>
      </c>
      <c r="CM43" s="15">
        <v>1.0000000000000001E-5</v>
      </c>
      <c r="CN43" s="2">
        <v>101.2</v>
      </c>
      <c r="CO43" s="2" t="s">
        <v>613</v>
      </c>
      <c r="CP43" s="9" t="str">
        <f>HYPERLINK(".\links\SMART\AGAP028687-PA-SMART.txt","B5, tRNA synthetase B5 domain")</f>
        <v>B5, tRNA synthetase B5 domain</v>
      </c>
      <c r="CQ43" s="15">
        <v>0.56999999999999995</v>
      </c>
      <c r="CR43" s="2">
        <v>55.9</v>
      </c>
      <c r="CS43" s="2" t="s">
        <v>616</v>
      </c>
      <c r="CT43" s="2" t="s">
        <v>609</v>
      </c>
      <c r="CU43" s="2" t="s">
        <v>609</v>
      </c>
      <c r="CV43" s="2" t="s">
        <v>609</v>
      </c>
      <c r="CW43" s="2" t="str">
        <f>HYPERLINK(".\links\pep\AGAP028687-PA-pep.txt","AGAP028687-PA")</f>
        <v>AGAP028687-PA</v>
      </c>
      <c r="CX43" s="2" t="s">
        <v>95</v>
      </c>
      <c r="CY43" s="2">
        <v>672</v>
      </c>
      <c r="CZ43" s="2" t="s">
        <v>113</v>
      </c>
      <c r="DA43" s="2" t="s">
        <v>617</v>
      </c>
      <c r="DB43" s="2">
        <v>0</v>
      </c>
      <c r="DC43" s="2">
        <v>3</v>
      </c>
      <c r="DD43" s="2" t="str">
        <f>HYPERLINK("https://www.kegg.jp/kegg-bin/search_pathway_text?map=aga&amp;keyword=AGAP028687&amp;mode=1&amp;viewImage=true","AGAP028687")</f>
        <v>AGAP028687</v>
      </c>
      <c r="DE43" s="2" t="s">
        <v>606</v>
      </c>
      <c r="DF43" s="2" t="s">
        <v>93</v>
      </c>
      <c r="DG43" s="2" t="s">
        <v>94</v>
      </c>
      <c r="DH43" s="2" t="str">
        <f>HYPERLINK("https://vectorbase.org/vectorbase/app/record/gene/AGAP028687","AGAP028687-RA")</f>
        <v>AGAP028687-RA</v>
      </c>
      <c r="DI43" s="2" t="s">
        <v>115</v>
      </c>
      <c r="DJ43" s="2">
        <v>2399</v>
      </c>
      <c r="DK43" s="2" t="str">
        <f>HYPERLINK(".\links\netoglyc\AGAP028687-PA-netoglyc.txt","1")</f>
        <v>1</v>
      </c>
      <c r="DL43" s="2">
        <v>14</v>
      </c>
      <c r="DM43" s="2">
        <v>4.5999999999999996</v>
      </c>
      <c r="DN43" s="2">
        <v>4.9000000000000004</v>
      </c>
      <c r="DO43" s="2" t="s">
        <v>104</v>
      </c>
      <c r="DP43" s="2" t="s">
        <v>102</v>
      </c>
      <c r="DQ43" s="2" t="str">
        <f>HYPERLINK(".\links\Sigp\AGAP028687-PA-SigP.txt","CYT")</f>
        <v>CYT</v>
      </c>
      <c r="DR43" s="2" t="s">
        <v>102</v>
      </c>
      <c r="DS43" s="2">
        <v>76.043000000000006</v>
      </c>
      <c r="DT43" s="2">
        <v>6.1</v>
      </c>
      <c r="DU43" s="2" t="s">
        <v>102</v>
      </c>
      <c r="DV43" s="2" t="s">
        <v>102</v>
      </c>
      <c r="DW43" s="2" t="s">
        <v>611</v>
      </c>
      <c r="DX43" s="2">
        <v>672</v>
      </c>
      <c r="DY43" s="12">
        <v>0</v>
      </c>
      <c r="DZ43" s="2" t="s">
        <v>102</v>
      </c>
      <c r="EA43" s="2" t="s">
        <v>102</v>
      </c>
      <c r="EB43" s="2" t="s">
        <v>102</v>
      </c>
      <c r="EC43" s="2" t="str">
        <f>HYPERLINK(".\links\gpi\AGAP028687-PA-gpi.txt","N")</f>
        <v>N</v>
      </c>
      <c r="ED43" s="2">
        <v>0.21</v>
      </c>
      <c r="EF43" s="2">
        <v>5</v>
      </c>
      <c r="EG43" s="2" t="str">
        <f>HYPERLINK(".\links\pep\AGAP028687-PA-sulf.txt","1")</f>
        <v>1</v>
      </c>
      <c r="EH43" s="2" t="s">
        <v>102</v>
      </c>
      <c r="EI43" s="2">
        <v>13.9880952380952</v>
      </c>
      <c r="EJ43" s="2">
        <v>4.91071428571429</v>
      </c>
      <c r="EK43" s="2">
        <v>4.6130952380952399</v>
      </c>
      <c r="EL43" s="2">
        <v>9.5238095238095202</v>
      </c>
      <c r="EM43" s="2" t="s">
        <v>102</v>
      </c>
      <c r="EN43" s="2">
        <v>4</v>
      </c>
      <c r="EO43" s="2">
        <v>4</v>
      </c>
      <c r="EP43" s="2" t="s">
        <v>102</v>
      </c>
      <c r="EQ43" s="2" t="s">
        <v>102</v>
      </c>
      <c r="ER43" s="2" t="s">
        <v>102</v>
      </c>
      <c r="ES43" s="2" t="s">
        <v>102</v>
      </c>
      <c r="ET43" s="2" t="str">
        <f>HYPERLINK(".\links\REFSEQ-INVERTEBRATE\AGAP028687-PA-REFSEQ-INVERTEBRATE.txt","uncharacterized protein LOC118503743 isoform X2")</f>
        <v>uncharacterized protein LOC118503743 isoform X2</v>
      </c>
      <c r="EU43" s="2" t="str">
        <f>HYPERLINK("http://www.ncbi.nlm.nih.gov/sutils/blink.cgi?pid=XP_035893278.1","2E-55")</f>
        <v>2E-55</v>
      </c>
      <c r="EV43" s="2" t="str">
        <f>HYPERLINK("http://www.ncbi.nlm.nih.gov/protein/XP_035893278.1","XP_035893278.1")</f>
        <v>XP_035893278.1</v>
      </c>
      <c r="EW43" s="2">
        <v>27</v>
      </c>
      <c r="EX43" s="2">
        <v>44</v>
      </c>
      <c r="EY43" s="2">
        <v>103</v>
      </c>
      <c r="EZ43" s="2" t="s">
        <v>370</v>
      </c>
    </row>
    <row r="44" spans="1:156" x14ac:dyDescent="0.25">
      <c r="A44" s="2" t="s">
        <v>618</v>
      </c>
      <c r="B44" s="2">
        <v>0.42731228191750797</v>
      </c>
      <c r="C44" s="2">
        <f t="shared" si="0"/>
        <v>1.3447260384609077</v>
      </c>
      <c r="D44" s="2">
        <v>5.73415933530549</v>
      </c>
      <c r="E44" s="2">
        <v>16.708567635858198</v>
      </c>
      <c r="F44" s="2">
        <v>4.3583725150886603E-5</v>
      </c>
      <c r="G44" s="2">
        <v>7.8955731312014606E-3</v>
      </c>
      <c r="H44" s="2" t="s">
        <v>619</v>
      </c>
      <c r="I44" s="2" t="s">
        <v>102</v>
      </c>
      <c r="J44" s="2" t="str">
        <f>HYPERLINK("https://vectorbase.org/vectorbase/app/record/gene/AGAP010407","AGAP010407-RB")</f>
        <v>AGAP010407-RB</v>
      </c>
      <c r="K44" s="2" t="str">
        <f>HYPERLINK(".\links\pep\AGAP010407-PB-pep.txt","AGAP010407-PB")</f>
        <v>AGAP010407-PB</v>
      </c>
      <c r="L44" s="12" t="s">
        <v>95</v>
      </c>
      <c r="M44" s="2">
        <v>368</v>
      </c>
      <c r="N44" s="2">
        <v>0</v>
      </c>
      <c r="O44" s="2">
        <v>0</v>
      </c>
      <c r="P44" s="2" t="s">
        <v>620</v>
      </c>
      <c r="Q44" s="9" t="s">
        <v>621</v>
      </c>
      <c r="R44" s="2" t="s">
        <v>388</v>
      </c>
      <c r="S44" s="2" t="str">
        <f>HYPERLINK(".\links\KOG\AGAP010407-PB-KOG.txt","KOG")</f>
        <v>KOG</v>
      </c>
      <c r="T44" s="2">
        <v>2.0000000000000001E-61</v>
      </c>
      <c r="U44" s="2">
        <v>101.6</v>
      </c>
      <c r="V44" s="2" t="s">
        <v>622</v>
      </c>
      <c r="W44" s="10" t="s">
        <v>623</v>
      </c>
      <c r="X44" s="2" t="s">
        <v>388</v>
      </c>
      <c r="Y44" s="2" t="str">
        <f>HYPERLINK(".\links\KOG\AGAP010407-PB-KOG.txt","KOG")</f>
        <v>KOG</v>
      </c>
      <c r="Z44" s="15">
        <v>9E-60</v>
      </c>
      <c r="AA44" s="2">
        <v>106.6</v>
      </c>
      <c r="AB44" s="13" t="s">
        <v>102</v>
      </c>
      <c r="AC44" s="13" t="str">
        <f>HYPERLINK(".\links\Sigp\AGAP010407-PB-SigP.txt","CYT")</f>
        <v>CYT</v>
      </c>
      <c r="AD44" s="2" t="s">
        <v>102</v>
      </c>
      <c r="AE44" s="2">
        <v>40.872999999999998</v>
      </c>
      <c r="AF44" s="2">
        <v>6.64</v>
      </c>
      <c r="AG44" s="2" t="s">
        <v>102</v>
      </c>
      <c r="AH44" s="2" t="s">
        <v>102</v>
      </c>
      <c r="AI44" s="2" t="s">
        <v>624</v>
      </c>
      <c r="AJ44" s="13">
        <v>0</v>
      </c>
      <c r="AK44" s="2" t="s">
        <v>102</v>
      </c>
      <c r="AL44" s="2" t="s">
        <v>102</v>
      </c>
      <c r="AM44" s="2" t="s">
        <v>102</v>
      </c>
      <c r="AN44" s="13" t="str">
        <f>HYPERLINK(".\links\gpi\AGAP010407-PB-gpi.txt","N")</f>
        <v>N</v>
      </c>
      <c r="AO44" s="14" t="str">
        <f>HYPERLINK(".\links\netoglyc\AGAP010407-PB-netoglyc.txt","1")</f>
        <v>1</v>
      </c>
      <c r="AP44" s="13">
        <v>13.9</v>
      </c>
      <c r="AQ44" s="2">
        <v>6.5</v>
      </c>
      <c r="AR44" s="2">
        <v>5.4</v>
      </c>
      <c r="AS44" s="2" t="s">
        <v>104</v>
      </c>
      <c r="AT44" s="9" t="str">
        <f>HYPERLINK(".\links\NR-LIGHT\AGAP010407-PB-NR-LIGHT.txt","AGAP010407-PA")</f>
        <v>AGAP010407-PA</v>
      </c>
      <c r="AU44" s="2" t="str">
        <f>HYPERLINK("http://www.ncbi.nlm.nih.gov/sutils/blink.cgi?pid=XP_311542.4","0.0")</f>
        <v>0.0</v>
      </c>
      <c r="AV44" s="2" t="str">
        <f>HYPERLINK("http://www.ncbi.nlm.nih.gov/protein/XP_311542.4","XP_311542.4")</f>
        <v>XP_311542.4</v>
      </c>
      <c r="AW44" s="2">
        <v>99</v>
      </c>
      <c r="AX44" s="2">
        <v>99</v>
      </c>
      <c r="AY44" s="2">
        <v>100</v>
      </c>
      <c r="AZ44" s="2" t="s">
        <v>105</v>
      </c>
      <c r="BA44" s="9" t="str">
        <f>HYPERLINK(".\links\REFSEQ-INVERTEBRATE\AGAP010407-PB-REFSEQ-INVERTEBRATE.txt","AGAP010407-PA")</f>
        <v>AGAP010407-PA</v>
      </c>
      <c r="BB44" s="2" t="str">
        <f>HYPERLINK("http://www.ncbi.nlm.nih.gov/sutils/blink.cgi?pid=XP_311542.4","0.0")</f>
        <v>0.0</v>
      </c>
      <c r="BC44" s="2" t="str">
        <f>HYPERLINK("http://www.ncbi.nlm.nih.gov/protein/XP_311542.4","XP_311542.4")</f>
        <v>XP_311542.4</v>
      </c>
      <c r="BD44" s="2">
        <v>99</v>
      </c>
      <c r="BE44" s="2">
        <v>99</v>
      </c>
      <c r="BF44" s="2">
        <v>100</v>
      </c>
      <c r="BG44" s="2" t="s">
        <v>105</v>
      </c>
      <c r="BH44" s="9" t="str">
        <f>HYPERLINK(".\links\REFSEQ-PROTOZOA\AGAP010407-PB-REFSEQ-PROTOZOA.txt","hypothetical protein DICPUDRAFT_152838")</f>
        <v>hypothetical protein DICPUDRAFT_152838</v>
      </c>
      <c r="BI44" s="2" t="str">
        <f>HYPERLINK("http://www.ncbi.nlm.nih.gov/sutils/blink.cgi?pid=XP_003288593.1","5E-038")</f>
        <v>5E-038</v>
      </c>
      <c r="BJ44" s="2" t="str">
        <f>HYPERLINK("http://www.ncbi.nlm.nih.gov/protein/XP_003288593.1","XP_003288593.1")</f>
        <v>XP_003288593.1</v>
      </c>
      <c r="BK44" s="2">
        <v>30</v>
      </c>
      <c r="BL44" s="2">
        <v>51</v>
      </c>
      <c r="BM44" s="2">
        <v>17</v>
      </c>
      <c r="BN44" s="2" t="s">
        <v>337</v>
      </c>
      <c r="BO44" s="9" t="str">
        <f>HYPERLINK(".\links\SWISSP\AGAP010407-PB-SWISSP.txt","Elongator complex protein 4")</f>
        <v>Elongator complex protein 4</v>
      </c>
      <c r="BP44" s="2" t="str">
        <f>HYPERLINK("http://www.uniprot.org/uniprot/Q5XG58","9E-060")</f>
        <v>9E-060</v>
      </c>
      <c r="BQ44" s="2" t="str">
        <f>HYPERLINK("http://www.uniprot.org/uniprot/Q5XG58#expression","Q5XG58")</f>
        <v>Q5XG58</v>
      </c>
      <c r="BR44" s="2">
        <v>36</v>
      </c>
      <c r="BS44" s="2">
        <v>58</v>
      </c>
      <c r="BT44" s="2">
        <v>93</v>
      </c>
      <c r="BU44" s="2" t="s">
        <v>625</v>
      </c>
      <c r="BV44" s="9" t="str">
        <f>HYPERLINK(".\links\FLYBASE\AGAP010407-PB-FLYBASE.txt","FBpp0309927")</f>
        <v>FBpp0309927</v>
      </c>
      <c r="BW44" s="2" t="str">
        <f>HYPERLINK("http://flybase.org/reports/FBgn0031711#alliance_summary_container","6E-48")</f>
        <v>6E-48</v>
      </c>
      <c r="BX44" s="2">
        <v>437</v>
      </c>
      <c r="BY44" s="2">
        <v>43</v>
      </c>
      <c r="BZ44" s="2">
        <v>63</v>
      </c>
      <c r="CA44" s="2">
        <v>44</v>
      </c>
      <c r="CB44" s="9" t="str">
        <f>HYPERLINK(".\links\CDD\AGAP010407-PB-CDD.txt","PAXNEB, PAXNEB protein")</f>
        <v>PAXNEB, PAXNEB protein</v>
      </c>
      <c r="CC44" s="15">
        <v>1.0000000000000001E-114</v>
      </c>
      <c r="CD44" s="2">
        <v>103.7</v>
      </c>
      <c r="CE44" s="2" t="s">
        <v>626</v>
      </c>
      <c r="CF44" s="2" t="s">
        <v>627</v>
      </c>
      <c r="CG44" s="9" t="str">
        <f>HYPERLINK(".\links\KOG\AGAP010407-PB-KOG.txt","subunit ELP4")</f>
        <v>subunit ELP4</v>
      </c>
      <c r="CH44" s="15">
        <v>2.0000000000000001E-61</v>
      </c>
      <c r="CI44" s="2">
        <v>101.7</v>
      </c>
      <c r="CJ44" s="2" t="s">
        <v>628</v>
      </c>
      <c r="CK44" s="2" t="s">
        <v>629</v>
      </c>
      <c r="CL44" s="9" t="str">
        <f>HYPERLINK(".\links\PFAM\AGAP010407-PB-PFAM.txt","PAXNEB, PAXNEB protein")</f>
        <v>PAXNEB, PAXNEB protein</v>
      </c>
      <c r="CM44" s="15">
        <v>1.0000000000000001E-115</v>
      </c>
      <c r="CN44" s="2">
        <v>103.7</v>
      </c>
      <c r="CO44" s="2" t="s">
        <v>626</v>
      </c>
      <c r="CP44" s="9" t="str">
        <f>HYPERLINK(".\links\SMART\AGAP010407-PB-SMART.txt","VWD, von Willebrand factor (vWF) type D domain")</f>
        <v>VWD, von Willebrand factor (vWF) type D domain</v>
      </c>
      <c r="CQ44" s="15">
        <v>1.3</v>
      </c>
      <c r="CR44" s="2">
        <v>25.8</v>
      </c>
      <c r="CS44" s="2" t="s">
        <v>630</v>
      </c>
      <c r="CT44" s="2" t="s">
        <v>622</v>
      </c>
      <c r="CU44" s="2" t="s">
        <v>622</v>
      </c>
      <c r="CV44" s="2" t="s">
        <v>622</v>
      </c>
      <c r="CW44" s="2" t="str">
        <f>HYPERLINK(".\links\pep\AGAP010407-PB-pep.txt","AGAP010407-PB")</f>
        <v>AGAP010407-PB</v>
      </c>
      <c r="CX44" s="2" t="s">
        <v>95</v>
      </c>
      <c r="CY44" s="2">
        <v>368</v>
      </c>
      <c r="CZ44" s="2" t="s">
        <v>113</v>
      </c>
      <c r="DA44" s="2">
        <v>0</v>
      </c>
      <c r="DB44" s="2">
        <v>0</v>
      </c>
      <c r="DD44" s="2" t="str">
        <f>HYPERLINK("https://www.kegg.jp/kegg-bin/search_pathway_text?map=aga&amp;keyword=AGAP010407&amp;mode=1&amp;viewImage=true","AGAP010407")</f>
        <v>AGAP010407</v>
      </c>
      <c r="DE44" s="2" t="s">
        <v>618</v>
      </c>
      <c r="DF44" s="2" t="s">
        <v>619</v>
      </c>
      <c r="DG44" s="2" t="s">
        <v>102</v>
      </c>
      <c r="DH44" s="2" t="str">
        <f>HYPERLINK("https://vectorbase.org/vectorbase/app/record/gene/AGAP010407","AGAP010407-RB")</f>
        <v>AGAP010407-RB</v>
      </c>
      <c r="DI44" s="2" t="s">
        <v>90</v>
      </c>
      <c r="DJ44" s="2">
        <v>1242</v>
      </c>
      <c r="DK44" s="2" t="str">
        <f>HYPERLINK(".\links\netoglyc\AGAP010407-PB-netoglyc.txt","1")</f>
        <v>1</v>
      </c>
      <c r="DL44" s="2">
        <v>13.9</v>
      </c>
      <c r="DM44" s="2">
        <v>6.5</v>
      </c>
      <c r="DN44" s="2">
        <v>5.4</v>
      </c>
      <c r="DO44" s="2" t="s">
        <v>104</v>
      </c>
      <c r="DP44" s="2" t="s">
        <v>102</v>
      </c>
      <c r="DQ44" s="2" t="str">
        <f>HYPERLINK(".\links\Sigp\AGAP010407-PB-SigP.txt","CYT")</f>
        <v>CYT</v>
      </c>
      <c r="DR44" s="2" t="s">
        <v>102</v>
      </c>
      <c r="DS44" s="2">
        <v>40.872999999999998</v>
      </c>
      <c r="DT44" s="2">
        <v>6.64</v>
      </c>
      <c r="DU44" s="2" t="s">
        <v>102</v>
      </c>
      <c r="DV44" s="2" t="s">
        <v>102</v>
      </c>
      <c r="DW44" s="2" t="s">
        <v>624</v>
      </c>
      <c r="DX44" s="2">
        <v>368</v>
      </c>
      <c r="DY44" s="12">
        <v>0</v>
      </c>
      <c r="DZ44" s="2" t="s">
        <v>102</v>
      </c>
      <c r="EA44" s="2" t="s">
        <v>102</v>
      </c>
      <c r="EB44" s="2" t="s">
        <v>102</v>
      </c>
      <c r="EC44" s="2" t="str">
        <f>HYPERLINK(".\links\gpi\AGAP010407-PB-gpi.txt","Y-NoSP")</f>
        <v>Y-NoSP</v>
      </c>
      <c r="ED44" s="2">
        <v>0.2</v>
      </c>
      <c r="EF44" s="2">
        <v>5</v>
      </c>
      <c r="EG44" s="2" t="s">
        <v>102</v>
      </c>
      <c r="EH44" s="2" t="s">
        <v>102</v>
      </c>
      <c r="EI44" s="2">
        <v>13.8586956521739</v>
      </c>
      <c r="EJ44" s="2">
        <v>5.4347826086956497</v>
      </c>
      <c r="EK44" s="2">
        <v>6.5217391304347796</v>
      </c>
      <c r="EL44" s="2">
        <v>11.9565217391304</v>
      </c>
      <c r="EM44" s="2" t="s">
        <v>102</v>
      </c>
      <c r="EN44" s="2" t="s">
        <v>102</v>
      </c>
      <c r="EO44" s="2" t="s">
        <v>102</v>
      </c>
      <c r="EP44" s="2" t="s">
        <v>102</v>
      </c>
      <c r="EQ44" s="2" t="s">
        <v>102</v>
      </c>
      <c r="ER44" s="2" t="s">
        <v>102</v>
      </c>
      <c r="ES44" s="2" t="s">
        <v>102</v>
      </c>
      <c r="ET44" s="2" t="str">
        <f>HYPERLINK(".\links\REFSEQ-INVERTEBRATE\AGAP010407-PB-REFSEQ-INVERTEBRATE.txt","AGAP010407-PA")</f>
        <v>AGAP010407-PA</v>
      </c>
      <c r="EU44" s="2" t="str">
        <f>HYPERLINK("http://www.ncbi.nlm.nih.gov/sutils/blink.cgi?pid=XP_311542.4","0.0")</f>
        <v>0.0</v>
      </c>
      <c r="EV44" s="2" t="str">
        <f>HYPERLINK("http://www.ncbi.nlm.nih.gov/protein/XP_311542.4","XP_311542.4")</f>
        <v>XP_311542.4</v>
      </c>
      <c r="EW44" s="2">
        <v>99</v>
      </c>
      <c r="EX44" s="2">
        <v>99</v>
      </c>
      <c r="EY44" s="2">
        <v>100</v>
      </c>
      <c r="EZ44" s="2" t="s">
        <v>105</v>
      </c>
    </row>
    <row r="45" spans="1:156" x14ac:dyDescent="0.25">
      <c r="A45" s="2" t="s">
        <v>631</v>
      </c>
      <c r="B45" s="2">
        <v>0.42601766043692202</v>
      </c>
      <c r="C45" s="2">
        <f t="shared" si="0"/>
        <v>1.3435198720263413</v>
      </c>
      <c r="D45" s="2">
        <v>6.04871356214956</v>
      </c>
      <c r="E45" s="2">
        <v>11.404054734916301</v>
      </c>
      <c r="F45" s="2">
        <v>7.3283979630772603E-4</v>
      </c>
      <c r="G45" s="2">
        <v>2.9239417783856799E-2</v>
      </c>
      <c r="H45" s="2" t="s">
        <v>632</v>
      </c>
      <c r="I45" s="2" t="s">
        <v>94</v>
      </c>
      <c r="J45" s="2" t="str">
        <f>HYPERLINK("https://vectorbase.org/vectorbase/app/record/gene/AGAP010517","AGAP010517-RB")</f>
        <v>AGAP010517-RB</v>
      </c>
      <c r="K45" s="2" t="str">
        <f>HYPERLINK(".\links\pep\AGAP010517-PB-pep.txt","AGAP010517-PB")</f>
        <v>AGAP010517-PB</v>
      </c>
      <c r="L45" s="12" t="s">
        <v>95</v>
      </c>
      <c r="M45" s="2">
        <v>219</v>
      </c>
      <c r="N45" s="2">
        <v>0</v>
      </c>
      <c r="O45" s="2">
        <v>2</v>
      </c>
      <c r="P45" s="2" t="s">
        <v>633</v>
      </c>
      <c r="Q45" s="9" t="s">
        <v>634</v>
      </c>
      <c r="R45" s="2" t="s">
        <v>335</v>
      </c>
      <c r="S45" s="2" t="str">
        <f>HYPERLINK(".\links\REFSEQ-INVERTEBRATE\AGAP010517-PB-REFSEQ-INVERTEBRATE.txt","REFSEQ-INVERTEBRATE")</f>
        <v>REFSEQ-INVERTEBRATE</v>
      </c>
      <c r="T45" s="2">
        <v>0</v>
      </c>
      <c r="U45" s="2">
        <v>99.5</v>
      </c>
      <c r="V45" s="2" t="s">
        <v>635</v>
      </c>
      <c r="W45" s="10" t="s">
        <v>636</v>
      </c>
      <c r="X45" s="2" t="s">
        <v>335</v>
      </c>
      <c r="Y45" s="2" t="str">
        <f>HYPERLINK(".\links\ELEGANS\AGAP010517-PB-ELEGANS.txt","ELEGANS")</f>
        <v>ELEGANS</v>
      </c>
      <c r="Z45" s="2">
        <v>0</v>
      </c>
      <c r="AA45" s="2">
        <v>91.8</v>
      </c>
      <c r="AB45" s="13" t="s">
        <v>102</v>
      </c>
      <c r="AC45" s="13" t="str">
        <f>HYPERLINK(".\links\Sigp\AGAP010517-PB-SigP.txt","CYT")</f>
        <v>CYT</v>
      </c>
      <c r="AD45" s="2" t="s">
        <v>102</v>
      </c>
      <c r="AE45" s="2">
        <v>24.561</v>
      </c>
      <c r="AF45" s="2">
        <v>7.72</v>
      </c>
      <c r="AG45" s="2" t="s">
        <v>102</v>
      </c>
      <c r="AH45" s="2" t="s">
        <v>102</v>
      </c>
      <c r="AI45" s="2" t="s">
        <v>482</v>
      </c>
      <c r="AJ45" s="13">
        <v>0</v>
      </c>
      <c r="AK45" s="2" t="s">
        <v>102</v>
      </c>
      <c r="AL45" s="2" t="s">
        <v>102</v>
      </c>
      <c r="AM45" s="2" t="s">
        <v>102</v>
      </c>
      <c r="AN45" s="13" t="str">
        <f>HYPERLINK(".\links\gpi\AGAP010517-PB-gpi.txt","N")</f>
        <v>N</v>
      </c>
      <c r="AO45" s="14" t="str">
        <f>HYPERLINK(".\links\netoglyc\AGAP010517-PB-netoglyc.txt","0")</f>
        <v>0</v>
      </c>
      <c r="AP45" s="13">
        <v>7.3</v>
      </c>
      <c r="AQ45" s="2">
        <v>5.5</v>
      </c>
      <c r="AR45" s="2">
        <v>4.0999999999999996</v>
      </c>
      <c r="AS45" s="2" t="s">
        <v>104</v>
      </c>
      <c r="AT45" s="9" t="str">
        <f>HYPERLINK(".\links\NR-LIGHT\AGAP010517-PB-NR-LIGHT.txt","AGAP010517-PA")</f>
        <v>AGAP010517-PA</v>
      </c>
      <c r="AU45" s="2" t="str">
        <f>HYPERLINK("http://www.ncbi.nlm.nih.gov/sutils/blink.cgi?pid=XP_314490.4","1E-126")</f>
        <v>1E-126</v>
      </c>
      <c r="AV45" s="2" t="str">
        <f>HYPERLINK("http://www.ncbi.nlm.nih.gov/protein/XP_314490.4","XP_314490.4")</f>
        <v>XP_314490.4</v>
      </c>
      <c r="AW45" s="2">
        <v>100</v>
      </c>
      <c r="AX45" s="2">
        <v>100</v>
      </c>
      <c r="AY45" s="2">
        <v>100</v>
      </c>
      <c r="AZ45" s="2" t="s">
        <v>105</v>
      </c>
      <c r="BA45" s="9" t="str">
        <f>HYPERLINK(".\links\REFSEQ-INVERTEBRATE\AGAP010517-PB-REFSEQ-INVERTEBRATE.txt","AGAP010517-PA")</f>
        <v>AGAP010517-PA</v>
      </c>
      <c r="BB45" s="2" t="str">
        <f>HYPERLINK("http://www.ncbi.nlm.nih.gov/sutils/blink.cgi?pid=XP_314490.4","1E-126")</f>
        <v>1E-126</v>
      </c>
      <c r="BC45" s="2" t="str">
        <f>HYPERLINK("http://www.ncbi.nlm.nih.gov/protein/XP_314490.4","XP_314490.4")</f>
        <v>XP_314490.4</v>
      </c>
      <c r="BD45" s="2">
        <v>100</v>
      </c>
      <c r="BE45" s="2">
        <v>100</v>
      </c>
      <c r="BF45" s="2">
        <v>100</v>
      </c>
      <c r="BG45" s="2" t="s">
        <v>105</v>
      </c>
      <c r="BH45" s="9" t="str">
        <f>HYPERLINK(".\links\REFSEQ-PROTOZOA\AGAP010517-PB-REFSEQ-PROTOZOA.txt","superoxide dismutase 2")</f>
        <v>superoxide dismutase 2</v>
      </c>
      <c r="BI45" s="2" t="str">
        <f>HYPERLINK("http://www.ncbi.nlm.nih.gov/sutils/blink.cgi?pid=XP_004990675.1","4E-075")</f>
        <v>4E-075</v>
      </c>
      <c r="BJ45" s="2" t="str">
        <f>HYPERLINK("http://www.ncbi.nlm.nih.gov/protein/XP_004990675.1","XP_004990675.1")</f>
        <v>XP_004990675.1</v>
      </c>
      <c r="BK45" s="2">
        <v>66</v>
      </c>
      <c r="BL45" s="2">
        <v>77</v>
      </c>
      <c r="BM45" s="2">
        <v>90</v>
      </c>
      <c r="BN45" s="2" t="s">
        <v>435</v>
      </c>
      <c r="BO45" s="9" t="str">
        <f>HYPERLINK(".\links\SWISSP\AGAP010517-PB-SWISSP.txt","Superoxide dismutase [Mn], mitochondrial")</f>
        <v>Superoxide dismutase [Mn], mitochondrial</v>
      </c>
      <c r="BP45" s="2" t="str">
        <f>HYPERLINK("http://www.uniprot.org/uniprot/Q00637","1E-081")</f>
        <v>1E-081</v>
      </c>
      <c r="BQ45" s="2" t="str">
        <f>HYPERLINK("http://www.uniprot.org/uniprot/Q00637#expression","Q00637")</f>
        <v>Q00637</v>
      </c>
      <c r="BR45" s="2">
        <v>65</v>
      </c>
      <c r="BS45" s="2">
        <v>82</v>
      </c>
      <c r="BT45" s="2">
        <v>94</v>
      </c>
      <c r="BU45" s="2" t="s">
        <v>107</v>
      </c>
      <c r="BV45" s="9" t="str">
        <f>HYPERLINK(".\links\FLYBASE\AGAP010517-PB-FLYBASE.txt","FBpp0311603")</f>
        <v>FBpp0311603</v>
      </c>
      <c r="BW45" s="2" t="str">
        <f>HYPERLINK("http://flybase.org/reports/FBgn0010213#alliance_summary_container","1E-107")</f>
        <v>1E-107</v>
      </c>
      <c r="BX45" s="2">
        <v>217</v>
      </c>
      <c r="BY45" s="2">
        <v>66</v>
      </c>
      <c r="BZ45" s="2">
        <v>83</v>
      </c>
      <c r="CA45" s="2">
        <v>94</v>
      </c>
      <c r="CB45" s="9" t="str">
        <f>HYPERLINK(".\links\CDD\AGAP010517-PB-CDD.txt","SodA, Superoxide dismutase")</f>
        <v>SodA, Superoxide dismutase</v>
      </c>
      <c r="CC45" s="15">
        <v>7E-72</v>
      </c>
      <c r="CD45" s="2">
        <v>99.5</v>
      </c>
      <c r="CE45" s="2" t="s">
        <v>637</v>
      </c>
      <c r="CF45" s="2" t="s">
        <v>638</v>
      </c>
      <c r="CG45" s="9" t="str">
        <f>HYPERLINK(".\links\KOG\AGAP010517-PB-KOG.txt","Manganese superoxide dismutase")</f>
        <v>Manganese superoxide dismutase</v>
      </c>
      <c r="CH45" s="15">
        <v>4E-73</v>
      </c>
      <c r="CI45" s="2">
        <v>89.3</v>
      </c>
      <c r="CJ45" s="2" t="s">
        <v>639</v>
      </c>
      <c r="CK45" s="2" t="s">
        <v>640</v>
      </c>
      <c r="CL45" s="9" t="str">
        <f>HYPERLINK(".\links\PFAM\AGAP010517-PB-PFAM.txt","Sod_Fe_C, Iron/manganese superoxide dismutases, C-terminal domain")</f>
        <v>Sod_Fe_C, Iron/manganese superoxide dismutases, C-terminal domain</v>
      </c>
      <c r="CM45" s="15">
        <v>2.0000000000000002E-43</v>
      </c>
      <c r="CN45" s="2">
        <v>102</v>
      </c>
      <c r="CO45" s="2" t="s">
        <v>641</v>
      </c>
      <c r="CP45" s="9" t="str">
        <f>HYPERLINK(".\links\SMART\AGAP010517-PB-SMART.txt","KISc, Kinesin motor, catalytic domain")</f>
        <v>KISc, Kinesin motor, catalytic domain</v>
      </c>
      <c r="CQ45" s="15">
        <v>0.01</v>
      </c>
      <c r="CR45" s="2">
        <v>18.2</v>
      </c>
      <c r="CS45" s="2" t="s">
        <v>642</v>
      </c>
      <c r="CT45" s="2" t="s">
        <v>635</v>
      </c>
      <c r="CU45" s="2" t="s">
        <v>635</v>
      </c>
      <c r="CV45" s="2" t="s">
        <v>635</v>
      </c>
      <c r="CW45" s="2" t="str">
        <f>HYPERLINK(".\links\pep\AGAP010517-PB-pep.txt","AGAP010517-PB")</f>
        <v>AGAP010517-PB</v>
      </c>
      <c r="CX45" s="2" t="s">
        <v>95</v>
      </c>
      <c r="CY45" s="2">
        <v>219</v>
      </c>
      <c r="CZ45" s="2" t="s">
        <v>113</v>
      </c>
      <c r="DA45" s="2" t="s">
        <v>643</v>
      </c>
      <c r="DB45" s="2">
        <v>0</v>
      </c>
      <c r="DC45" s="2">
        <v>2</v>
      </c>
      <c r="DD45" s="2" t="str">
        <f>HYPERLINK("https://www.kegg.jp/kegg-bin/search_pathway_text?map=aga&amp;keyword=AGAP010517&amp;mode=1&amp;viewImage=true","AGAP010517")</f>
        <v>AGAP010517</v>
      </c>
      <c r="DE45" s="2" t="s">
        <v>631</v>
      </c>
      <c r="DF45" s="2" t="s">
        <v>632</v>
      </c>
      <c r="DG45" s="2" t="s">
        <v>94</v>
      </c>
      <c r="DH45" s="2" t="str">
        <f>HYPERLINK("https://vectorbase.org/vectorbase/app/record/gene/AGAP010517","AGAP010517-RB")</f>
        <v>AGAP010517-RB</v>
      </c>
      <c r="DI45" s="2" t="s">
        <v>135</v>
      </c>
      <c r="DJ45" s="2">
        <v>937</v>
      </c>
      <c r="DK45" s="2" t="str">
        <f>HYPERLINK(".\links\netoglyc\AGAP010517-PB-netoglyc.txt","0")</f>
        <v>0</v>
      </c>
      <c r="DL45" s="2">
        <v>7.3</v>
      </c>
      <c r="DM45" s="2">
        <v>5.5</v>
      </c>
      <c r="DN45" s="2">
        <v>4.0999999999999996</v>
      </c>
      <c r="DO45" s="2" t="s">
        <v>104</v>
      </c>
      <c r="DP45" s="2" t="s">
        <v>102</v>
      </c>
      <c r="DQ45" s="2" t="str">
        <f>HYPERLINK(".\links\Sigp\AGAP010517-PB-SigP.txt","CYT")</f>
        <v>CYT</v>
      </c>
      <c r="DR45" s="2" t="s">
        <v>102</v>
      </c>
      <c r="DS45" s="2">
        <v>24.561</v>
      </c>
      <c r="DT45" s="2">
        <v>7.72</v>
      </c>
      <c r="DU45" s="2" t="s">
        <v>102</v>
      </c>
      <c r="DV45" s="2" t="s">
        <v>102</v>
      </c>
      <c r="DW45" s="2" t="s">
        <v>482</v>
      </c>
      <c r="DX45" s="2">
        <v>219</v>
      </c>
      <c r="DY45" s="12">
        <v>0</v>
      </c>
      <c r="DZ45" s="2" t="s">
        <v>102</v>
      </c>
      <c r="EA45" s="2" t="s">
        <v>102</v>
      </c>
      <c r="EB45" s="2" t="s">
        <v>102</v>
      </c>
      <c r="EC45" s="2" t="str">
        <f>HYPERLINK(".\links\gpi\AGAP010517-PB-gpi.txt","N")</f>
        <v>N</v>
      </c>
      <c r="ED45" s="2">
        <v>0.28000000000000003</v>
      </c>
      <c r="EF45" s="2">
        <v>4</v>
      </c>
      <c r="EG45" s="2" t="s">
        <v>102</v>
      </c>
      <c r="EH45" s="2" t="s">
        <v>102</v>
      </c>
      <c r="EI45" s="2">
        <v>7.3059360730593603</v>
      </c>
      <c r="EJ45" s="2">
        <v>4.10958904109589</v>
      </c>
      <c r="EK45" s="2">
        <v>5.4794520547945202</v>
      </c>
      <c r="EL45" s="2">
        <v>9.5890410958904102</v>
      </c>
      <c r="EM45" s="2" t="s">
        <v>102</v>
      </c>
      <c r="EN45" s="2" t="s">
        <v>102</v>
      </c>
      <c r="EO45" s="2" t="s">
        <v>102</v>
      </c>
      <c r="EP45" s="2" t="s">
        <v>102</v>
      </c>
      <c r="EQ45" s="2" t="s">
        <v>102</v>
      </c>
      <c r="ER45" s="2" t="s">
        <v>102</v>
      </c>
      <c r="ES45" s="2" t="s">
        <v>102</v>
      </c>
      <c r="ET45" s="2" t="str">
        <f>HYPERLINK(".\links\REFSEQ-INVERTEBRATE\AGAP010517-PB-REFSEQ-INVERTEBRATE.txt","AGAP010517-PA")</f>
        <v>AGAP010517-PA</v>
      </c>
      <c r="EU45" s="2" t="str">
        <f>HYPERLINK("http://www.ncbi.nlm.nih.gov/sutils/blink.cgi?pid=XP_314490.4","1E-164")</f>
        <v>1E-164</v>
      </c>
      <c r="EV45" s="2" t="str">
        <f>HYPERLINK("http://www.ncbi.nlm.nih.gov/protein/XP_314490.4","XP_314490.4")</f>
        <v>XP_314490.4</v>
      </c>
      <c r="EW45" s="2">
        <v>100</v>
      </c>
      <c r="EX45" s="2">
        <v>100</v>
      </c>
      <c r="EY45" s="2">
        <v>100</v>
      </c>
      <c r="EZ45" s="2" t="s">
        <v>105</v>
      </c>
    </row>
    <row r="46" spans="1:156" x14ac:dyDescent="0.25">
      <c r="A46" s="2" t="s">
        <v>644</v>
      </c>
      <c r="B46" s="2">
        <v>0.42483186019199398</v>
      </c>
      <c r="C46" s="2">
        <f t="shared" si="0"/>
        <v>1.3424160409345745</v>
      </c>
      <c r="D46" s="2">
        <v>4.7117225773520399</v>
      </c>
      <c r="E46" s="2">
        <v>9.7460344676826196</v>
      </c>
      <c r="F46" s="2">
        <v>1.7970997145325099E-3</v>
      </c>
      <c r="G46" s="2">
        <v>4.1602509262145003E-2</v>
      </c>
      <c r="H46" s="2" t="s">
        <v>645</v>
      </c>
      <c r="I46" s="2" t="s">
        <v>94</v>
      </c>
      <c r="J46" s="2" t="str">
        <f>HYPERLINK("https://vectorbase.org/vectorbase/app/record/gene/AGAP012191","AGAP012191-RA")</f>
        <v>AGAP012191-RA</v>
      </c>
      <c r="K46" s="2" t="str">
        <f>HYPERLINK(".\links\pep\AGAP012191-PA-pep.txt","AGAP012191-PA")</f>
        <v>AGAP012191-PA</v>
      </c>
      <c r="L46" s="12" t="s">
        <v>95</v>
      </c>
      <c r="M46" s="2">
        <v>165</v>
      </c>
      <c r="N46" s="2">
        <v>0</v>
      </c>
      <c r="O46" s="2">
        <v>0</v>
      </c>
      <c r="P46" s="2" t="s">
        <v>646</v>
      </c>
      <c r="Q46" s="9" t="s">
        <v>647</v>
      </c>
      <c r="R46" s="2" t="s">
        <v>447</v>
      </c>
      <c r="S46" s="2" t="str">
        <f>HYPERLINK(".\links\NR-LIGHT\AGAP012191-PA-NR-LIGHT.txt","NR-LIGHT")</f>
        <v>NR-LIGHT</v>
      </c>
      <c r="T46" s="2">
        <v>9.9999999999999997E-65</v>
      </c>
      <c r="U46" s="2">
        <v>107</v>
      </c>
      <c r="V46" s="2" t="s">
        <v>648</v>
      </c>
      <c r="W46" s="10" t="s">
        <v>649</v>
      </c>
      <c r="X46" s="2" t="s">
        <v>447</v>
      </c>
      <c r="Y46" s="2" t="str">
        <f>HYPERLINK(".\links\ARTHORPODA\AGAP012191-PA-ARTHORPODA.txt","ARTHORPODA")</f>
        <v>ARTHORPODA</v>
      </c>
      <c r="Z46" s="2">
        <v>0</v>
      </c>
      <c r="AA46" s="2">
        <v>100</v>
      </c>
      <c r="AB46" s="13" t="str">
        <f>HYPERLINK(".\links\pep\AGAP012191-PA-sulf.txt","1")</f>
        <v>1</v>
      </c>
      <c r="AC46" s="13" t="str">
        <f>HYPERLINK(".\links\Sigp\AGAP012191-PA-SigP.txt","CYT")</f>
        <v>CYT</v>
      </c>
      <c r="AD46" s="2" t="s">
        <v>102</v>
      </c>
      <c r="AE46" s="2">
        <v>19.065999999999999</v>
      </c>
      <c r="AF46" s="2">
        <v>9.41</v>
      </c>
      <c r="AG46" s="2" t="s">
        <v>102</v>
      </c>
      <c r="AH46" s="2" t="s">
        <v>102</v>
      </c>
      <c r="AI46" s="2" t="s">
        <v>650</v>
      </c>
      <c r="AJ46" s="13">
        <v>0</v>
      </c>
      <c r="AK46" s="2" t="s">
        <v>102</v>
      </c>
      <c r="AL46" s="2" t="s">
        <v>102</v>
      </c>
      <c r="AM46" s="2" t="s">
        <v>102</v>
      </c>
      <c r="AN46" s="13" t="str">
        <f>HYPERLINK(".\links\gpi\AGAP012191-PA-gpi.txt","N")</f>
        <v>N</v>
      </c>
      <c r="AO46" s="14" t="str">
        <f>HYPERLINK(".\links\netoglyc\AGAP012191-PA-netoglyc.txt","1")</f>
        <v>1</v>
      </c>
      <c r="AP46" s="13">
        <v>8.5</v>
      </c>
      <c r="AQ46" s="2">
        <v>4.8</v>
      </c>
      <c r="AR46" s="2">
        <v>7.9</v>
      </c>
      <c r="AS46" s="2">
        <v>1.8</v>
      </c>
      <c r="AT46" s="9" t="str">
        <f>HYPERLINK(".\links\NR-LIGHT\AGAP012191-PA-NR-LIGHT.txt","AGAP012191-PA, partial")</f>
        <v>AGAP012191-PA, partial</v>
      </c>
      <c r="AU46" s="2" t="str">
        <f>HYPERLINK("http://www.ncbi.nlm.nih.gov/sutils/blink.cgi?pid=XP_320341.4","5E-081")</f>
        <v>5E-081</v>
      </c>
      <c r="AV46" s="2" t="str">
        <f>HYPERLINK("http://www.ncbi.nlm.nih.gov/protein/XP_320341.4","XP_320341.4")</f>
        <v>XP_320341.4</v>
      </c>
      <c r="AW46" s="2">
        <v>100</v>
      </c>
      <c r="AX46" s="2">
        <v>100</v>
      </c>
      <c r="AY46" s="2">
        <v>100</v>
      </c>
      <c r="AZ46" s="2" t="s">
        <v>105</v>
      </c>
      <c r="BA46" s="9" t="str">
        <f>HYPERLINK(".\links\REFSEQ-INVERTEBRATE\AGAP012191-PA-REFSEQ-INVERTEBRATE.txt","AGAP012191-PA, partial")</f>
        <v>AGAP012191-PA, partial</v>
      </c>
      <c r="BB46" s="2" t="str">
        <f>HYPERLINK("http://www.ncbi.nlm.nih.gov/sutils/blink.cgi?pid=XP_320341.4","5E-081")</f>
        <v>5E-081</v>
      </c>
      <c r="BC46" s="2" t="str">
        <f>HYPERLINK("http://www.ncbi.nlm.nih.gov/protein/XP_320341.4","XP_320341.4")</f>
        <v>XP_320341.4</v>
      </c>
      <c r="BD46" s="2">
        <v>100</v>
      </c>
      <c r="BE46" s="2">
        <v>100</v>
      </c>
      <c r="BF46" s="2">
        <v>100</v>
      </c>
      <c r="BG46" s="2" t="s">
        <v>105</v>
      </c>
      <c r="BH46" s="9" t="str">
        <f>HYPERLINK(".\links\REFSEQ-PROTOZOA\AGAP012191-PA-REFSEQ-PROTOZOA.txt","hypothetical protein H696_06043")</f>
        <v>hypothetical protein H696_06043</v>
      </c>
      <c r="BI46" s="2" t="str">
        <f>HYPERLINK("http://www.ncbi.nlm.nih.gov/sutils/blink.cgi?pid=XP_009498085.1","4E-019")</f>
        <v>4E-019</v>
      </c>
      <c r="BJ46" s="2" t="str">
        <f>HYPERLINK("http://www.ncbi.nlm.nih.gov/protein/XP_009498085.1","XP_009498085.1")</f>
        <v>XP_009498085.1</v>
      </c>
      <c r="BK46" s="2">
        <v>35</v>
      </c>
      <c r="BL46" s="2">
        <v>56</v>
      </c>
      <c r="BM46" s="2">
        <v>80</v>
      </c>
      <c r="BN46" s="2" t="s">
        <v>651</v>
      </c>
      <c r="BO46" s="9" t="str">
        <f>HYPERLINK(".\links\SWISSP\AGAP012191-PA-SWISSP.txt","Succinate dehydrogenase assembly factor 2, mitochondrial")</f>
        <v>Succinate dehydrogenase assembly factor 2, mitochondrial</v>
      </c>
      <c r="BP46" s="2" t="str">
        <f>HYPERLINK("http://www.uniprot.org/uniprot/Q178L7","1E-056")</f>
        <v>1E-056</v>
      </c>
      <c r="BQ46" s="2" t="str">
        <f>HYPERLINK("http://www.uniprot.org/uniprot/Q178L7#expression","Q178L7")</f>
        <v>Q178L7</v>
      </c>
      <c r="BR46" s="2">
        <v>75</v>
      </c>
      <c r="BS46" s="2">
        <v>86</v>
      </c>
      <c r="BT46" s="2">
        <v>87</v>
      </c>
      <c r="BU46" s="2" t="s">
        <v>391</v>
      </c>
      <c r="BV46" s="9" t="str">
        <f>HYPERLINK(".\links\FLYBASE\AGAP012191-PA-FLYBASE.txt","FBpp0087881")</f>
        <v>FBpp0087881</v>
      </c>
      <c r="BW46" s="2" t="str">
        <f>HYPERLINK("http://flybase.org/reports/FBgn0033274#alliance_summary_container","7E-50")</f>
        <v>7E-50</v>
      </c>
      <c r="BX46" s="2">
        <v>163</v>
      </c>
      <c r="BY46" s="2">
        <v>66</v>
      </c>
      <c r="BZ46" s="2">
        <v>76</v>
      </c>
      <c r="CA46" s="2">
        <v>72</v>
      </c>
      <c r="CB46" s="9" t="str">
        <f>HYPERLINK(".\links\CDD\AGAP012191-PA-CDD.txt","Sdh5, Flavinator of succinate dehydrogenase")</f>
        <v>Sdh5, Flavinator of succinate dehydrogenase</v>
      </c>
      <c r="CC46" s="15">
        <v>2.0000000000000001E-22</v>
      </c>
      <c r="CD46" s="2">
        <v>102.7</v>
      </c>
      <c r="CE46" s="2" t="s">
        <v>652</v>
      </c>
      <c r="CF46" s="2" t="s">
        <v>653</v>
      </c>
      <c r="CG46" s="9" t="str">
        <f>HYPERLINK(".\links\KOG\AGAP012191-PA-KOG.txt","Uncharacterized conserved protein")</f>
        <v>Uncharacterized conserved protein</v>
      </c>
      <c r="CH46" s="15">
        <v>1.0000000000000001E-37</v>
      </c>
      <c r="CI46" s="2">
        <v>76.599999999999994</v>
      </c>
      <c r="CJ46" s="2" t="s">
        <v>654</v>
      </c>
      <c r="CK46" s="2" t="s">
        <v>284</v>
      </c>
      <c r="CL46" s="9" t="str">
        <f>HYPERLINK(".\links\PFAM\AGAP012191-PA-PFAM.txt","Sdh5, Flavinator of succinate dehydrogenase")</f>
        <v>Sdh5, Flavinator of succinate dehydrogenase</v>
      </c>
      <c r="CM46" s="15">
        <v>6.0000000000000001E-23</v>
      </c>
      <c r="CN46" s="2">
        <v>102.7</v>
      </c>
      <c r="CO46" s="2" t="s">
        <v>652</v>
      </c>
      <c r="CP46" s="9" t="str">
        <f>HYPERLINK(".\links\SMART\AGAP012191-PA-SMART.txt","SAF, This domain family includes a range of different proteins")</f>
        <v>SAF, This domain family includes a range of different proteins</v>
      </c>
      <c r="CQ46" s="15">
        <v>2.7</v>
      </c>
      <c r="CR46" s="2">
        <v>44.4</v>
      </c>
      <c r="CS46" s="2" t="s">
        <v>655</v>
      </c>
      <c r="CT46" s="2" t="s">
        <v>648</v>
      </c>
      <c r="CU46" s="2" t="s">
        <v>648</v>
      </c>
      <c r="CV46" s="2" t="s">
        <v>648</v>
      </c>
      <c r="CW46" s="2" t="str">
        <f>HYPERLINK(".\links\pep\AGAP012191-PA-pep.txt","AGAP012191-PA")</f>
        <v>AGAP012191-PA</v>
      </c>
      <c r="CX46" s="2" t="s">
        <v>95</v>
      </c>
      <c r="CY46" s="2">
        <v>165</v>
      </c>
      <c r="CZ46" s="2" t="s">
        <v>113</v>
      </c>
      <c r="DA46" s="2" t="s">
        <v>656</v>
      </c>
      <c r="DB46" s="2">
        <v>0</v>
      </c>
      <c r="DC46" s="2">
        <v>0</v>
      </c>
      <c r="DD46" s="2" t="str">
        <f>HYPERLINK("https://www.kegg.jp/kegg-bin/search_pathway_text?map=aga&amp;keyword=AGAP012191&amp;mode=1&amp;viewImage=true","AGAP012191")</f>
        <v>AGAP012191</v>
      </c>
      <c r="DE46" s="2" t="s">
        <v>644</v>
      </c>
      <c r="DF46" s="2" t="s">
        <v>645</v>
      </c>
      <c r="DG46" s="2" t="s">
        <v>94</v>
      </c>
      <c r="DH46" s="2" t="str">
        <f>HYPERLINK("https://vectorbase.org/vectorbase/app/record/gene/AGAP012191","AGAP012191-RA")</f>
        <v>AGAP012191-RA</v>
      </c>
      <c r="DI46" s="2" t="s">
        <v>115</v>
      </c>
      <c r="DJ46" s="2">
        <v>636</v>
      </c>
      <c r="DK46" s="2" t="str">
        <f>HYPERLINK(".\links\netoglyc\AGAP012191-PA-netoglyc.txt","1")</f>
        <v>1</v>
      </c>
      <c r="DL46" s="2">
        <v>8.5</v>
      </c>
      <c r="DM46" s="2">
        <v>4.8</v>
      </c>
      <c r="DN46" s="2">
        <v>7.9</v>
      </c>
      <c r="DO46" s="2">
        <v>1.8</v>
      </c>
      <c r="DP46" s="2" t="s">
        <v>102</v>
      </c>
      <c r="DQ46" s="2" t="str">
        <f>HYPERLINK(".\links\Sigp\AGAP012191-PA-SigP.txt","CYT")</f>
        <v>CYT</v>
      </c>
      <c r="DR46" s="2" t="s">
        <v>102</v>
      </c>
      <c r="DS46" s="2">
        <v>19.065999999999999</v>
      </c>
      <c r="DT46" s="2">
        <v>9.41</v>
      </c>
      <c r="DU46" s="2" t="s">
        <v>102</v>
      </c>
      <c r="DV46" s="2" t="s">
        <v>102</v>
      </c>
      <c r="DW46" s="2" t="s">
        <v>650</v>
      </c>
      <c r="DX46" s="2">
        <v>165</v>
      </c>
      <c r="DY46" s="12">
        <v>0</v>
      </c>
      <c r="DZ46" s="2" t="s">
        <v>102</v>
      </c>
      <c r="EA46" s="2" t="s">
        <v>102</v>
      </c>
      <c r="EB46" s="2" t="s">
        <v>102</v>
      </c>
      <c r="EC46" s="2" t="str">
        <f>HYPERLINK(".\links\gpi\AGAP012191-PA-gpi.txt","N")</f>
        <v>N</v>
      </c>
      <c r="ED46" s="2">
        <v>0.31</v>
      </c>
      <c r="EF46" s="2">
        <v>1</v>
      </c>
      <c r="EG46" s="2" t="str">
        <f>HYPERLINK(".\links\pep\AGAP012191-PA-sulf.txt","1")</f>
        <v>1</v>
      </c>
      <c r="EH46" s="2" t="s">
        <v>102</v>
      </c>
      <c r="EI46" s="2">
        <v>8.4848484848484809</v>
      </c>
      <c r="EJ46" s="2">
        <v>7.8787878787878798</v>
      </c>
      <c r="EK46" s="2">
        <v>4.8484848484848504</v>
      </c>
      <c r="EL46" s="2">
        <v>12.7272727272727</v>
      </c>
      <c r="EM46" s="2" t="s">
        <v>102</v>
      </c>
      <c r="EN46" s="2" t="s">
        <v>102</v>
      </c>
      <c r="EO46" s="2" t="s">
        <v>102</v>
      </c>
      <c r="EP46" s="2" t="s">
        <v>102</v>
      </c>
      <c r="EQ46" s="2" t="s">
        <v>102</v>
      </c>
      <c r="ER46" s="2" t="s">
        <v>102</v>
      </c>
      <c r="ES46" s="2" t="s">
        <v>102</v>
      </c>
      <c r="ET46" s="2" t="str">
        <f>HYPERLINK(".\links\REFSEQ-INVERTEBRATE\AGAP012191-PA-REFSEQ-INVERTEBRATE.txt","AGAP012191-PA, partial")</f>
        <v>AGAP012191-PA, partial</v>
      </c>
      <c r="EU46" s="2" t="str">
        <f>HYPERLINK("http://www.ncbi.nlm.nih.gov/sutils/blink.cgi?pid=XP_320341.4","1E-105")</f>
        <v>1E-105</v>
      </c>
      <c r="EV46" s="2" t="str">
        <f>HYPERLINK("http://www.ncbi.nlm.nih.gov/protein/XP_320341.4","XP_320341.4")</f>
        <v>XP_320341.4</v>
      </c>
      <c r="EW46" s="2">
        <v>100</v>
      </c>
      <c r="EX46" s="2">
        <v>100</v>
      </c>
      <c r="EY46" s="2">
        <v>100</v>
      </c>
      <c r="EZ46" s="2" t="s">
        <v>105</v>
      </c>
    </row>
    <row r="47" spans="1:156" x14ac:dyDescent="0.25">
      <c r="A47" s="2" t="s">
        <v>657</v>
      </c>
      <c r="B47" s="2">
        <v>0.42459708889180198</v>
      </c>
      <c r="C47" s="2">
        <f t="shared" si="0"/>
        <v>1.3421976059163863</v>
      </c>
      <c r="D47" s="2">
        <v>5.1257228406762003</v>
      </c>
      <c r="E47" s="2">
        <v>16.1024861021662</v>
      </c>
      <c r="F47" s="2">
        <v>6.00052120643426E-5</v>
      </c>
      <c r="G47" s="2">
        <v>8.6118752008988095E-3</v>
      </c>
      <c r="H47" s="2" t="s">
        <v>658</v>
      </c>
      <c r="I47" s="2" t="s">
        <v>94</v>
      </c>
      <c r="J47" s="2" t="str">
        <f>HYPERLINK("https://vectorbase.org/vectorbase/app/record/gene/AGAP009996","AGAP009996-RA")</f>
        <v>AGAP009996-RA</v>
      </c>
      <c r="K47" s="2" t="str">
        <f>HYPERLINK(".\links\pep\AGAP009996-PA-pep.txt","AGAP009996-PA")</f>
        <v>AGAP009996-PA</v>
      </c>
      <c r="L47" s="12" t="s">
        <v>95</v>
      </c>
      <c r="M47" s="2">
        <v>161</v>
      </c>
      <c r="N47" s="2">
        <v>0</v>
      </c>
      <c r="O47" s="2">
        <v>1</v>
      </c>
      <c r="P47" s="2" t="s">
        <v>659</v>
      </c>
      <c r="Q47" s="9" t="s">
        <v>660</v>
      </c>
      <c r="R47" s="2" t="s">
        <v>196</v>
      </c>
      <c r="S47" s="2" t="str">
        <f>HYPERLINK(".\links\REFSEQ-INVERTEBRATE\AGAP009996-PA-REFSEQ-INVERTEBRATE.txt","REFSEQ-INVERTEBRATE")</f>
        <v>REFSEQ-INVERTEBRATE</v>
      </c>
      <c r="T47" s="2">
        <v>4.0000000000000001E-91</v>
      </c>
      <c r="U47" s="2">
        <v>99.3</v>
      </c>
      <c r="V47" s="2" t="s">
        <v>661</v>
      </c>
      <c r="W47" s="10" t="s">
        <v>183</v>
      </c>
      <c r="X47" s="2" t="s">
        <v>101</v>
      </c>
      <c r="Y47" s="2" t="str">
        <f>HYPERLINK(".\links\KOG\AGAP009996-PA-KOG.txt","KOG")</f>
        <v>KOG</v>
      </c>
      <c r="Z47" s="15">
        <v>2E-91</v>
      </c>
      <c r="AA47" s="2">
        <v>99.3</v>
      </c>
      <c r="AB47" s="13" t="s">
        <v>102</v>
      </c>
      <c r="AC47" s="13" t="str">
        <f>HYPERLINK(".\links\Sigp\AGAP009996-PA-SigP.txt","CYT")</f>
        <v>CYT</v>
      </c>
      <c r="AD47" s="2" t="s">
        <v>102</v>
      </c>
      <c r="AE47" s="2">
        <v>18.113</v>
      </c>
      <c r="AF47" s="2">
        <v>5.79</v>
      </c>
      <c r="AG47" s="2" t="s">
        <v>102</v>
      </c>
      <c r="AH47" s="2" t="s">
        <v>102</v>
      </c>
      <c r="AI47" s="2" t="s">
        <v>124</v>
      </c>
      <c r="AJ47" s="13">
        <v>0</v>
      </c>
      <c r="AK47" s="2" t="s">
        <v>102</v>
      </c>
      <c r="AL47" s="2" t="s">
        <v>102</v>
      </c>
      <c r="AM47" s="2" t="s">
        <v>102</v>
      </c>
      <c r="AN47" s="13" t="str">
        <f>HYPERLINK(".\links\gpi\AGAP009996-PA-gpi.txt","N")</f>
        <v>N</v>
      </c>
      <c r="AO47" s="14" t="str">
        <f>HYPERLINK(".\links\netoglyc\AGAP009996-PA-netoglyc.txt","0")</f>
        <v>0</v>
      </c>
      <c r="AP47" s="13">
        <v>11.8</v>
      </c>
      <c r="AQ47" s="2">
        <v>8.6999999999999993</v>
      </c>
      <c r="AR47" s="2">
        <v>4.3</v>
      </c>
      <c r="AS47" s="2" t="s">
        <v>104</v>
      </c>
      <c r="AT47" s="9" t="str">
        <f>HYPERLINK(".\links\NR-LIGHT\AGAP009996-PA-NR-LIGHT.txt","AGAP009996-PA, partial")</f>
        <v>AGAP009996-PA, partial</v>
      </c>
      <c r="AU47" s="2" t="str">
        <f>HYPERLINK("http://www.ncbi.nlm.nih.gov/sutils/blink.cgi?pid=XP_319139.2","4E-091")</f>
        <v>4E-091</v>
      </c>
      <c r="AV47" s="2" t="str">
        <f>HYPERLINK("http://www.ncbi.nlm.nih.gov/protein/XP_319139.2","XP_319139.2")</f>
        <v>XP_319139.2</v>
      </c>
      <c r="AW47" s="2">
        <v>100</v>
      </c>
      <c r="AX47" s="2">
        <v>100</v>
      </c>
      <c r="AY47" s="2">
        <v>99</v>
      </c>
      <c r="AZ47" s="2" t="s">
        <v>105</v>
      </c>
      <c r="BA47" s="9" t="str">
        <f>HYPERLINK(".\links\REFSEQ-INVERTEBRATE\AGAP009996-PA-REFSEQ-INVERTEBRATE.txt","AGAP009996-PA, partial")</f>
        <v>AGAP009996-PA, partial</v>
      </c>
      <c r="BB47" s="2" t="str">
        <f>HYPERLINK("http://www.ncbi.nlm.nih.gov/sutils/blink.cgi?pid=XP_319139.2","4E-091")</f>
        <v>4E-091</v>
      </c>
      <c r="BC47" s="2" t="str">
        <f>HYPERLINK("http://www.ncbi.nlm.nih.gov/protein/XP_319139.2","XP_319139.2")</f>
        <v>XP_319139.2</v>
      </c>
      <c r="BD47" s="2">
        <v>100</v>
      </c>
      <c r="BE47" s="2">
        <v>100</v>
      </c>
      <c r="BF47" s="2">
        <v>99</v>
      </c>
      <c r="BG47" s="2" t="s">
        <v>105</v>
      </c>
      <c r="BH47" s="9" t="str">
        <f>HYPERLINK(".\links\REFSEQ-PROTOZOA\AGAP009996-PA-REFSEQ-PROTOZOA.txt","cyp10l")</f>
        <v>cyp10l</v>
      </c>
      <c r="BI47" s="2" t="str">
        <f>HYPERLINK("http://www.ncbi.nlm.nih.gov/sutils/blink.cgi?pid=XP_004995976.1","4E-059")</f>
        <v>4E-059</v>
      </c>
      <c r="BJ47" s="2" t="str">
        <f>HYPERLINK("http://www.ncbi.nlm.nih.gov/protein/XP_004995976.1","XP_004995976.1")</f>
        <v>XP_004995976.1</v>
      </c>
      <c r="BK47" s="2">
        <v>66</v>
      </c>
      <c r="BL47" s="2">
        <v>78</v>
      </c>
      <c r="BM47" s="2">
        <v>97</v>
      </c>
      <c r="BN47" s="2" t="s">
        <v>435</v>
      </c>
      <c r="BO47" s="9" t="str">
        <f>HYPERLINK(".\links\SWISSP\AGAP009996-PA-SWISSP.txt","Peptidyl-prolyl cis-trans isomerase-like 3")</f>
        <v>Peptidyl-prolyl cis-trans isomerase-like 3</v>
      </c>
      <c r="BP47" s="2" t="str">
        <f>HYPERLINK("http://www.uniprot.org/uniprot/Q9D6L8","1E-069")</f>
        <v>1E-069</v>
      </c>
      <c r="BQ47" s="2" t="str">
        <f>HYPERLINK("http://www.uniprot.org/uniprot/Q9D6L8#expression","Q9D6L8")</f>
        <v>Q9D6L8</v>
      </c>
      <c r="BR47" s="2">
        <v>75</v>
      </c>
      <c r="BS47" s="2">
        <v>85</v>
      </c>
      <c r="BT47" s="2">
        <v>99</v>
      </c>
      <c r="BU47" s="2" t="s">
        <v>662</v>
      </c>
      <c r="BV47" s="9" t="str">
        <f>HYPERLINK(".\links\FLYBASE\AGAP009996-PA-FLYBASE.txt","FBpp0087366")</f>
        <v>FBpp0087366</v>
      </c>
      <c r="BW47" s="2" t="str">
        <f>HYPERLINK("http://flybase.org/reports/FBgn0033527#alliance_summary_container","2E-97")</f>
        <v>2E-97</v>
      </c>
      <c r="BX47" s="2">
        <v>161</v>
      </c>
      <c r="BY47" s="2">
        <v>81</v>
      </c>
      <c r="BZ47" s="2">
        <v>88</v>
      </c>
      <c r="CA47" s="2">
        <v>99</v>
      </c>
      <c r="CB47" s="9" t="str">
        <f>HYPERLINK(".\links\CDD\AGAP009996-PA-CDD.txt","Cyclophilin_PPIL3_like, Cyclophilin_PPIL3_like")</f>
        <v>Cyclophilin_PPIL3_like, Cyclophilin_PPIL3_like</v>
      </c>
      <c r="CC47" s="15">
        <v>6E-79</v>
      </c>
      <c r="CD47" s="2">
        <v>100.7</v>
      </c>
      <c r="CE47" s="2" t="s">
        <v>663</v>
      </c>
      <c r="CF47" s="2" t="s">
        <v>664</v>
      </c>
      <c r="CG47" s="9" t="str">
        <f>HYPERLINK(".\links\KOG\AGAP009996-PA-KOG.txt","Similar to cyclophilin-type peptidyl-prolyl cis-trans isomerase")</f>
        <v>Similar to cyclophilin-type peptidyl-prolyl cis-trans isomerase</v>
      </c>
      <c r="CH47" s="15">
        <v>3.0000000000000002E-76</v>
      </c>
      <c r="CI47" s="2">
        <v>99.4</v>
      </c>
      <c r="CJ47" s="2" t="s">
        <v>665</v>
      </c>
      <c r="CK47" s="2" t="s">
        <v>111</v>
      </c>
      <c r="CL47" s="9" t="str">
        <f>HYPERLINK(".\links\PFAM\AGAP009996-PA-PFAM.txt","Pro_isomerase, Cyclophilin type peptidyl-prolyl cis-trans isomerase/CLD")</f>
        <v>Pro_isomerase, Cyclophilin type peptidyl-prolyl cis-trans isomerase/CLD</v>
      </c>
      <c r="CM47" s="15">
        <v>3E-49</v>
      </c>
      <c r="CN47" s="2">
        <v>102</v>
      </c>
      <c r="CO47" s="2" t="s">
        <v>666</v>
      </c>
      <c r="CP47" s="9" t="str">
        <f>HYPERLINK(".\links\SMART\AGAP009996-PA-SMART.txt","DEXDc, DEAD-like helicases superfamily")</f>
        <v>DEXDc, DEAD-like helicases superfamily</v>
      </c>
      <c r="CQ47" s="15">
        <v>0.32</v>
      </c>
      <c r="CR47" s="2">
        <v>10.9</v>
      </c>
      <c r="CS47" s="2" t="s">
        <v>429</v>
      </c>
      <c r="CT47" s="2" t="s">
        <v>661</v>
      </c>
      <c r="CU47" s="2" t="s">
        <v>661</v>
      </c>
      <c r="CV47" s="2" t="s">
        <v>661</v>
      </c>
      <c r="CW47" s="2" t="str">
        <f>HYPERLINK(".\links\pep\AGAP009996-PA-pep.txt","AGAP009996-PA")</f>
        <v>AGAP009996-PA</v>
      </c>
      <c r="CX47" s="2" t="s">
        <v>95</v>
      </c>
      <c r="CY47" s="2">
        <v>161</v>
      </c>
      <c r="CZ47" s="2" t="s">
        <v>113</v>
      </c>
      <c r="DA47" s="2" t="s">
        <v>667</v>
      </c>
      <c r="DB47" s="2">
        <v>0</v>
      </c>
      <c r="DC47" s="2">
        <v>1</v>
      </c>
      <c r="DD47" s="2" t="str">
        <f>HYPERLINK("https://www.kegg.jp/kegg-bin/search_pathway_text?map=aga&amp;keyword=AGAP009996&amp;mode=1&amp;viewImage=true","AGAP009996")</f>
        <v>AGAP009996</v>
      </c>
      <c r="DE47" s="2" t="s">
        <v>657</v>
      </c>
      <c r="DF47" s="2" t="s">
        <v>658</v>
      </c>
      <c r="DG47" s="2" t="s">
        <v>94</v>
      </c>
      <c r="DH47" s="2" t="str">
        <f>HYPERLINK("https://vectorbase.org/vectorbase/app/record/gene/AGAP009996","AGAP009996-RA")</f>
        <v>AGAP009996-RA</v>
      </c>
      <c r="DI47" s="2" t="s">
        <v>118</v>
      </c>
      <c r="DJ47" s="2">
        <v>605</v>
      </c>
      <c r="DK47" s="2" t="str">
        <f>HYPERLINK(".\links\netoglyc\AGAP009996-PA-netoglyc.txt","0")</f>
        <v>0</v>
      </c>
      <c r="DL47" s="2">
        <v>11.8</v>
      </c>
      <c r="DM47" s="2">
        <v>8.6999999999999993</v>
      </c>
      <c r="DN47" s="2">
        <v>4.3</v>
      </c>
      <c r="DO47" s="2" t="s">
        <v>104</v>
      </c>
      <c r="DP47" s="2" t="s">
        <v>102</v>
      </c>
      <c r="DQ47" s="2" t="str">
        <f>HYPERLINK(".\links\Sigp\AGAP009996-PA-SigP.txt","CYT")</f>
        <v>CYT</v>
      </c>
      <c r="DR47" s="2" t="s">
        <v>102</v>
      </c>
      <c r="DS47" s="2">
        <v>18.113</v>
      </c>
      <c r="DT47" s="2">
        <v>5.79</v>
      </c>
      <c r="DU47" s="2" t="s">
        <v>102</v>
      </c>
      <c r="DV47" s="2" t="s">
        <v>102</v>
      </c>
      <c r="DW47" s="2" t="s">
        <v>124</v>
      </c>
      <c r="DX47" s="2">
        <v>161</v>
      </c>
      <c r="DY47" s="12">
        <v>0</v>
      </c>
      <c r="DZ47" s="2" t="s">
        <v>102</v>
      </c>
      <c r="EA47" s="2" t="s">
        <v>102</v>
      </c>
      <c r="EB47" s="2" t="s">
        <v>102</v>
      </c>
      <c r="EC47" s="2" t="str">
        <f>HYPERLINK(".\links\gpi\AGAP009996-PA-gpi.txt","N")</f>
        <v>N</v>
      </c>
      <c r="ED47" s="2">
        <v>0.3</v>
      </c>
      <c r="EF47" s="2">
        <v>4</v>
      </c>
      <c r="EG47" s="2" t="s">
        <v>102</v>
      </c>
      <c r="EH47" s="2" t="s">
        <v>102</v>
      </c>
      <c r="EI47" s="2">
        <v>11.8012422360248</v>
      </c>
      <c r="EJ47" s="2">
        <v>4.3478260869565197</v>
      </c>
      <c r="EK47" s="2">
        <v>8.6956521739130395</v>
      </c>
      <c r="EL47" s="2">
        <v>13.0434782608696</v>
      </c>
      <c r="EM47" s="2" t="s">
        <v>102</v>
      </c>
      <c r="EN47" s="2">
        <v>2</v>
      </c>
      <c r="EO47" s="2">
        <v>2</v>
      </c>
      <c r="EP47" s="2" t="s">
        <v>102</v>
      </c>
      <c r="EQ47" s="2" t="s">
        <v>102</v>
      </c>
      <c r="ER47" s="2" t="s">
        <v>102</v>
      </c>
      <c r="ES47" s="2" t="s">
        <v>102</v>
      </c>
      <c r="ET47" s="2" t="str">
        <f>HYPERLINK(".\links\REFSEQ-INVERTEBRATE\AGAP009996-PA-REFSEQ-INVERTEBRATE.txt","AGAP009996-PA, partial")</f>
        <v>AGAP009996-PA, partial</v>
      </c>
      <c r="EU47" s="2" t="str">
        <f>HYPERLINK("http://www.ncbi.nlm.nih.gov/sutils/blink.cgi?pid=XP_319139.2","1E-118")</f>
        <v>1E-118</v>
      </c>
      <c r="EV47" s="2" t="str">
        <f>HYPERLINK("http://www.ncbi.nlm.nih.gov/protein/XP_319139.2","XP_319139.2")</f>
        <v>XP_319139.2</v>
      </c>
      <c r="EW47" s="2">
        <v>100</v>
      </c>
      <c r="EX47" s="2">
        <v>100</v>
      </c>
      <c r="EY47" s="2">
        <v>99</v>
      </c>
      <c r="EZ47" s="2" t="s">
        <v>105</v>
      </c>
    </row>
    <row r="48" spans="1:156" x14ac:dyDescent="0.25">
      <c r="A48" s="2" t="s">
        <v>668</v>
      </c>
      <c r="B48" s="2">
        <v>0.42447191140123203</v>
      </c>
      <c r="C48" s="2">
        <f t="shared" si="0"/>
        <v>1.3420811532810986</v>
      </c>
      <c r="D48" s="2">
        <v>5.28863905222223</v>
      </c>
      <c r="E48" s="2">
        <v>11.601806466522</v>
      </c>
      <c r="F48" s="2">
        <v>6.5887788415583805E-4</v>
      </c>
      <c r="G48" s="2">
        <v>2.8354766586706499E-2</v>
      </c>
      <c r="H48" s="2" t="s">
        <v>669</v>
      </c>
      <c r="I48" s="2" t="s">
        <v>94</v>
      </c>
      <c r="J48" s="2" t="str">
        <f>HYPERLINK("https://vectorbase.org/vectorbase/app/record/gene/AGAP001998","AGAP001998-RA")</f>
        <v>AGAP001998-RA</v>
      </c>
      <c r="K48" s="2" t="str">
        <f>HYPERLINK(".\links\pep\AGAP001998-PA-pep.txt","AGAP001998-PA")</f>
        <v>AGAP001998-PA</v>
      </c>
      <c r="L48" s="12" t="s">
        <v>95</v>
      </c>
      <c r="M48" s="2">
        <v>163</v>
      </c>
      <c r="N48" s="2">
        <v>0</v>
      </c>
      <c r="O48" s="2">
        <v>1</v>
      </c>
      <c r="P48" s="2" t="s">
        <v>670</v>
      </c>
      <c r="Q48" s="9" t="s">
        <v>671</v>
      </c>
      <c r="R48" s="2" t="s">
        <v>672</v>
      </c>
      <c r="S48" s="2" t="str">
        <f>HYPERLINK(".\links\KOG\AGAP001998-PA-KOG.txt","KOG")</f>
        <v>KOG</v>
      </c>
      <c r="T48" s="2">
        <v>9.9999999999999993E-41</v>
      </c>
      <c r="U48" s="2">
        <v>84</v>
      </c>
      <c r="V48" s="2" t="s">
        <v>673</v>
      </c>
      <c r="W48" s="10" t="s">
        <v>674</v>
      </c>
      <c r="X48" s="2" t="s">
        <v>672</v>
      </c>
      <c r="Y48" s="2" t="str">
        <f>HYPERLINK(".\links\REFSEQVERTEBRATE95\AGAP001998-PA-REFSEQVERTEBRATE95.txt","REFSEQVERTEBRATE95")</f>
        <v>REFSEQVERTEBRATE95</v>
      </c>
      <c r="Z48" s="15">
        <v>3.9999999999999998E-38</v>
      </c>
      <c r="AA48" s="2">
        <v>71</v>
      </c>
      <c r="AB48" s="13" t="s">
        <v>102</v>
      </c>
      <c r="AC48" s="13" t="str">
        <f>HYPERLINK(".\links\Sigp\AGAP001998-PA-SigP.txt","CYT")</f>
        <v>CYT</v>
      </c>
      <c r="AD48" s="2" t="s">
        <v>102</v>
      </c>
      <c r="AE48" s="2">
        <v>19.044</v>
      </c>
      <c r="AF48" s="2">
        <v>9.61</v>
      </c>
      <c r="AG48" s="2" t="s">
        <v>102</v>
      </c>
      <c r="AH48" s="2" t="s">
        <v>102</v>
      </c>
      <c r="AI48" s="2" t="s">
        <v>211</v>
      </c>
      <c r="AJ48" s="13">
        <v>0</v>
      </c>
      <c r="AK48" s="2" t="s">
        <v>102</v>
      </c>
      <c r="AL48" s="2" t="s">
        <v>102</v>
      </c>
      <c r="AM48" s="2" t="s">
        <v>102</v>
      </c>
      <c r="AN48" s="13" t="str">
        <f>HYPERLINK(".\links\gpi\AGAP001998-PA-gpi.txt","N")</f>
        <v>N</v>
      </c>
      <c r="AO48" s="14" t="str">
        <f>HYPERLINK(".\links\netoglyc\AGAP001998-PA-netoglyc.txt","2")</f>
        <v>2</v>
      </c>
      <c r="AP48" s="13">
        <v>10.4</v>
      </c>
      <c r="AQ48" s="2">
        <v>3.1</v>
      </c>
      <c r="AR48" s="2">
        <v>6.1</v>
      </c>
      <c r="AS48" s="2" t="s">
        <v>104</v>
      </c>
      <c r="AT48" s="9" t="str">
        <f>HYPERLINK(".\links\NR-LIGHT\AGAP001998-PA-NR-LIGHT.txt","AGAP001998-PA")</f>
        <v>AGAP001998-PA</v>
      </c>
      <c r="AU48" s="2" t="str">
        <f>HYPERLINK("http://www.ncbi.nlm.nih.gov/sutils/blink.cgi?pid=XP_321061.3","6E-090")</f>
        <v>6E-090</v>
      </c>
      <c r="AV48" s="2" t="str">
        <f>HYPERLINK("http://www.ncbi.nlm.nih.gov/protein/XP_321061.3","XP_321061.3")</f>
        <v>XP_321061.3</v>
      </c>
      <c r="AW48" s="2">
        <v>100</v>
      </c>
      <c r="AX48" s="2">
        <v>100</v>
      </c>
      <c r="AY48" s="2">
        <v>100</v>
      </c>
      <c r="AZ48" s="2" t="s">
        <v>105</v>
      </c>
      <c r="BA48" s="9" t="str">
        <f>HYPERLINK(".\links\REFSEQ-INVERTEBRATE\AGAP001998-PA-REFSEQ-INVERTEBRATE.txt","AGAP001998-PA")</f>
        <v>AGAP001998-PA</v>
      </c>
      <c r="BB48" s="2" t="str">
        <f>HYPERLINK("http://www.ncbi.nlm.nih.gov/sutils/blink.cgi?pid=XP_321061.3","6E-090")</f>
        <v>6E-090</v>
      </c>
      <c r="BC48" s="2" t="str">
        <f>HYPERLINK("http://www.ncbi.nlm.nih.gov/protein/XP_321061.3","XP_321061.3")</f>
        <v>XP_321061.3</v>
      </c>
      <c r="BD48" s="2">
        <v>100</v>
      </c>
      <c r="BE48" s="2">
        <v>100</v>
      </c>
      <c r="BF48" s="2">
        <v>100</v>
      </c>
      <c r="BG48" s="2" t="s">
        <v>105</v>
      </c>
      <c r="BH48" s="9" t="str">
        <f>HYPERLINK(".\links\REFSEQ-PROTOZOA\AGAP001998-PA-REFSEQ-PROTOZOA.txt","hypothetical protein")</f>
        <v>hypothetical protein</v>
      </c>
      <c r="BI48" s="2" t="str">
        <f>HYPERLINK("http://www.ncbi.nlm.nih.gov/sutils/blink.cgi?pid=XP_001749941.1","4E-014")</f>
        <v>4E-014</v>
      </c>
      <c r="BJ48" s="2" t="str">
        <f>HYPERLINK("http://www.ncbi.nlm.nih.gov/protein/XP_001749941.1","XP_001749941.1")</f>
        <v>XP_001749941.1</v>
      </c>
      <c r="BK48" s="2">
        <v>33</v>
      </c>
      <c r="BL48" s="2">
        <v>54</v>
      </c>
      <c r="BM48" s="2">
        <v>40</v>
      </c>
      <c r="BN48" s="2" t="s">
        <v>248</v>
      </c>
      <c r="BO48" s="9" t="str">
        <f>HYPERLINK(".\links\SWISSP\AGAP001998-PA-SWISSP.txt","28S ribosomal protein S10, mitochondrial")</f>
        <v>28S ribosomal protein S10, mitochondrial</v>
      </c>
      <c r="BP48" s="2" t="str">
        <f>HYPERLINK("http://www.uniprot.org/uniprot/Q9VFB2","6E-049")</f>
        <v>6E-049</v>
      </c>
      <c r="BQ48" s="2" t="str">
        <f>HYPERLINK("http://www.uniprot.org/uniprot/Q9VFB2#expression","Q9VFB2")</f>
        <v>Q9VFB2</v>
      </c>
      <c r="BR48" s="2">
        <v>62</v>
      </c>
      <c r="BS48" s="2">
        <v>79</v>
      </c>
      <c r="BT48" s="2">
        <v>85</v>
      </c>
      <c r="BU48" s="2" t="s">
        <v>107</v>
      </c>
      <c r="BV48" s="9" t="str">
        <f>HYPERLINK(".\links\FLYBASE\AGAP001998-PA-FLYBASE.txt","FBpp0082512")</f>
        <v>FBpp0082512</v>
      </c>
      <c r="BW48" s="2" t="str">
        <f>HYPERLINK("http://flybase.org/reports/FBgn0038307#alliance_summary_container","4E-65")</f>
        <v>4E-65</v>
      </c>
      <c r="BX48" s="2">
        <v>163</v>
      </c>
      <c r="BY48" s="2">
        <v>62</v>
      </c>
      <c r="BZ48" s="2">
        <v>79</v>
      </c>
      <c r="CA48" s="2">
        <v>90</v>
      </c>
      <c r="CB48" s="9" t="str">
        <f>HYPERLINK(".\links\CDD\AGAP001998-PA-CDD.txt","Ribosomal_S10, Ribosomal protein S10p/S20e")</f>
        <v>Ribosomal_S10, Ribosomal protein S10p/S20e</v>
      </c>
      <c r="CC48" s="15">
        <v>3E-23</v>
      </c>
      <c r="CD48" s="2">
        <v>101</v>
      </c>
      <c r="CE48" s="2" t="s">
        <v>675</v>
      </c>
      <c r="CF48" s="2" t="s">
        <v>676</v>
      </c>
      <c r="CG48" s="9" t="str">
        <f>HYPERLINK(".\links\KOG\AGAP001998-PA-KOG.txt","Mitochondrial ribosomal protein S10")</f>
        <v>Mitochondrial ribosomal protein S10</v>
      </c>
      <c r="CH48" s="15">
        <v>9.9999999999999993E-41</v>
      </c>
      <c r="CI48" s="2">
        <v>84</v>
      </c>
      <c r="CJ48" s="2" t="s">
        <v>677</v>
      </c>
      <c r="CK48" s="2" t="s">
        <v>678</v>
      </c>
      <c r="CL48" s="9" t="str">
        <f>HYPERLINK(".\links\PFAM\AGAP001998-PA-PFAM.txt","Ribosomal_S10, Ribosomal protein S10p/S20e")</f>
        <v>Ribosomal_S10, Ribosomal protein S10p/S20e</v>
      </c>
      <c r="CM48" s="15">
        <v>6.9999999999999993E-24</v>
      </c>
      <c r="CN48" s="2">
        <v>101</v>
      </c>
      <c r="CO48" s="2" t="s">
        <v>675</v>
      </c>
      <c r="CP48" s="9" t="str">
        <f>HYPERLINK(".\links\SMART\AGAP001998-PA-SMART.txt","MCM, minichromosome maintenance proteins")</f>
        <v>MCM, minichromosome maintenance proteins</v>
      </c>
      <c r="CQ48" s="15">
        <v>2</v>
      </c>
      <c r="CR48" s="2">
        <v>2.9</v>
      </c>
      <c r="CS48" s="2" t="s">
        <v>679</v>
      </c>
      <c r="CT48" s="2" t="s">
        <v>673</v>
      </c>
      <c r="CU48" s="2" t="s">
        <v>673</v>
      </c>
      <c r="CV48" s="2" t="s">
        <v>673</v>
      </c>
      <c r="CW48" s="2" t="str">
        <f>HYPERLINK(".\links\pep\AGAP001998-PA-pep.txt","AGAP001998-PA")</f>
        <v>AGAP001998-PA</v>
      </c>
      <c r="CX48" s="2" t="s">
        <v>95</v>
      </c>
      <c r="CY48" s="2">
        <v>163</v>
      </c>
      <c r="CZ48" s="2" t="s">
        <v>113</v>
      </c>
      <c r="DA48" s="2" t="s">
        <v>680</v>
      </c>
      <c r="DB48" s="2">
        <v>0</v>
      </c>
      <c r="DC48" s="2">
        <v>1</v>
      </c>
      <c r="DD48" s="2" t="str">
        <f>HYPERLINK("https://www.kegg.jp/kegg-bin/search_pathway_text?map=aga&amp;keyword=AGAP001998&amp;mode=1&amp;viewImage=true","AGAP001998")</f>
        <v>AGAP001998</v>
      </c>
      <c r="DE48" s="2" t="s">
        <v>668</v>
      </c>
      <c r="DF48" s="2" t="s">
        <v>669</v>
      </c>
      <c r="DG48" s="2" t="s">
        <v>94</v>
      </c>
      <c r="DH48" s="2" t="str">
        <f>HYPERLINK("https://vectorbase.org/vectorbase/app/record/gene/AGAP001998","AGAP001998-RA")</f>
        <v>AGAP001998-RA</v>
      </c>
      <c r="DI48" s="2" t="s">
        <v>90</v>
      </c>
      <c r="DJ48" s="2">
        <v>575</v>
      </c>
      <c r="DK48" s="2" t="str">
        <f>HYPERLINK(".\links\netoglyc\AGAP001998-PA-netoglyc.txt","2")</f>
        <v>2</v>
      </c>
      <c r="DL48" s="2">
        <v>10.4</v>
      </c>
      <c r="DM48" s="2">
        <v>3.1</v>
      </c>
      <c r="DN48" s="2">
        <v>6.1</v>
      </c>
      <c r="DO48" s="2" t="s">
        <v>104</v>
      </c>
      <c r="DP48" s="2" t="s">
        <v>102</v>
      </c>
      <c r="DQ48" s="2" t="str">
        <f>HYPERLINK(".\links\Sigp\AGAP001998-PA-SigP.txt","CYT")</f>
        <v>CYT</v>
      </c>
      <c r="DR48" s="2" t="s">
        <v>102</v>
      </c>
      <c r="DS48" s="2">
        <v>19.044</v>
      </c>
      <c r="DT48" s="2">
        <v>9.61</v>
      </c>
      <c r="DU48" s="2" t="s">
        <v>102</v>
      </c>
      <c r="DV48" s="2" t="s">
        <v>102</v>
      </c>
      <c r="DW48" s="2" t="s">
        <v>211</v>
      </c>
      <c r="DX48" s="2">
        <v>163</v>
      </c>
      <c r="DY48" s="12">
        <v>0</v>
      </c>
      <c r="DZ48" s="2" t="s">
        <v>102</v>
      </c>
      <c r="EA48" s="2" t="s">
        <v>102</v>
      </c>
      <c r="EB48" s="2" t="s">
        <v>102</v>
      </c>
      <c r="EC48" s="2" t="str">
        <f>HYPERLINK(".\links\gpi\AGAP001998-PA-gpi.txt","Y-NoSP")</f>
        <v>Y-NoSP</v>
      </c>
      <c r="ED48" s="2">
        <v>0.34</v>
      </c>
      <c r="EF48" s="2">
        <v>0</v>
      </c>
      <c r="EG48" s="2" t="s">
        <v>102</v>
      </c>
      <c r="EH48" s="2" t="s">
        <v>102</v>
      </c>
      <c r="EI48" s="2">
        <v>10.429447852760701</v>
      </c>
      <c r="EJ48" s="2">
        <v>6.1349693251533699</v>
      </c>
      <c r="EK48" s="2">
        <v>3.0674846625766898</v>
      </c>
      <c r="EL48" s="2">
        <v>9.2024539877300597</v>
      </c>
      <c r="EM48" s="2" t="s">
        <v>102</v>
      </c>
      <c r="EN48" s="2">
        <v>1</v>
      </c>
      <c r="EO48" s="2">
        <v>1</v>
      </c>
      <c r="EP48" s="2" t="s">
        <v>102</v>
      </c>
      <c r="EQ48" s="2" t="s">
        <v>102</v>
      </c>
      <c r="ER48" s="2" t="s">
        <v>102</v>
      </c>
      <c r="ES48" s="2" t="s">
        <v>102</v>
      </c>
      <c r="ET48" s="2" t="str">
        <f>HYPERLINK(".\links\REFSEQ-INVERTEBRATE\AGAP001998-PA-REFSEQ-INVERTEBRATE.txt","AGAP001998-PA")</f>
        <v>AGAP001998-PA</v>
      </c>
      <c r="EU48" s="2" t="str">
        <f>HYPERLINK("http://www.ncbi.nlm.nih.gov/sutils/blink.cgi?pid=XP_321061.3","1E-118")</f>
        <v>1E-118</v>
      </c>
      <c r="EV48" s="2" t="str">
        <f>HYPERLINK("http://www.ncbi.nlm.nih.gov/protein/XP_321061.3","XP_321061.3")</f>
        <v>XP_321061.3</v>
      </c>
      <c r="EW48" s="2">
        <v>100</v>
      </c>
      <c r="EX48" s="2">
        <v>100</v>
      </c>
      <c r="EY48" s="2">
        <v>100</v>
      </c>
      <c r="EZ48" s="2" t="s">
        <v>105</v>
      </c>
    </row>
    <row r="49" spans="1:156" x14ac:dyDescent="0.25">
      <c r="A49" s="2" t="s">
        <v>681</v>
      </c>
      <c r="B49" s="2">
        <v>0.422652423917458</v>
      </c>
      <c r="C49" s="2">
        <f t="shared" si="0"/>
        <v>1.3403896241568256</v>
      </c>
      <c r="D49" s="2">
        <v>5.8590630159271404</v>
      </c>
      <c r="E49" s="2">
        <v>11.275556261935501</v>
      </c>
      <c r="F49" s="2">
        <v>7.8534318863023804E-4</v>
      </c>
      <c r="G49" s="2">
        <v>2.9655933300736001E-2</v>
      </c>
      <c r="H49" s="2" t="s">
        <v>93</v>
      </c>
      <c r="I49" s="2" t="s">
        <v>94</v>
      </c>
      <c r="J49" s="2" t="str">
        <f>HYPERLINK("https://vectorbase.org/vectorbase/app/record/gene/AGAP009656","AGAP009656-RA")</f>
        <v>AGAP009656-RA</v>
      </c>
      <c r="K49" s="2" t="str">
        <f>HYPERLINK(".\links\pep\AGAP009656-PA-pep.txt","AGAP009656-PA")</f>
        <v>AGAP009656-PA</v>
      </c>
      <c r="L49" s="12" t="s">
        <v>95</v>
      </c>
      <c r="M49" s="2">
        <v>323</v>
      </c>
      <c r="N49" s="2">
        <v>0</v>
      </c>
      <c r="O49" s="2">
        <v>1</v>
      </c>
      <c r="P49" s="2" t="s">
        <v>102</v>
      </c>
      <c r="Q49" s="9" t="s">
        <v>607</v>
      </c>
      <c r="R49" s="2" t="s">
        <v>608</v>
      </c>
      <c r="V49" s="2" t="s">
        <v>682</v>
      </c>
      <c r="W49" s="10" t="s">
        <v>607</v>
      </c>
      <c r="X49" s="2" t="s">
        <v>608</v>
      </c>
      <c r="AB49" s="13" t="str">
        <f>HYPERLINK(".\links\pep\AGAP009656-PA-sulf.txt","2")</f>
        <v>2</v>
      </c>
      <c r="AC49" s="13" t="str">
        <f>HYPERLINK(".\links\Sigp\AGAP009656-PA-SigP.txt","CYT")</f>
        <v>CYT</v>
      </c>
      <c r="AD49" s="2" t="s">
        <v>102</v>
      </c>
      <c r="AE49" s="2">
        <v>36.600999999999999</v>
      </c>
      <c r="AF49" s="2">
        <v>4.97</v>
      </c>
      <c r="AG49" s="2" t="s">
        <v>102</v>
      </c>
      <c r="AH49" s="2" t="s">
        <v>102</v>
      </c>
      <c r="AI49" s="2" t="s">
        <v>211</v>
      </c>
      <c r="AJ49" s="13">
        <v>0</v>
      </c>
      <c r="AK49" s="2" t="s">
        <v>102</v>
      </c>
      <c r="AL49" s="2" t="s">
        <v>102</v>
      </c>
      <c r="AM49" s="2" t="s">
        <v>102</v>
      </c>
      <c r="AN49" s="13" t="str">
        <f>HYPERLINK(".\links\gpi\AGAP009656-PA-gpi.txt","N")</f>
        <v>N</v>
      </c>
      <c r="AO49" s="14" t="str">
        <f>HYPERLINK(".\links\netoglyc\AGAP009656-PA-netoglyc.txt","0")</f>
        <v>0</v>
      </c>
      <c r="AP49" s="13">
        <v>17</v>
      </c>
      <c r="AQ49" s="2">
        <v>3.1</v>
      </c>
      <c r="AR49" s="2">
        <v>1.9</v>
      </c>
      <c r="AS49" s="2" t="s">
        <v>104</v>
      </c>
      <c r="AT49" s="9" t="str">
        <f>HYPERLINK(".\links\NR-LIGHT\AGAP009656-PA-NR-LIGHT.txt","AGAP009656-PA, partial")</f>
        <v>AGAP009656-PA, partial</v>
      </c>
      <c r="AU49" s="2" t="str">
        <f>HYPERLINK("http://www.ncbi.nlm.nih.gov/sutils/blink.cgi?pid=XP_318693.4","5E-085")</f>
        <v>5E-085</v>
      </c>
      <c r="AV49" s="2" t="str">
        <f>HYPERLINK("http://www.ncbi.nlm.nih.gov/protein/XP_318693.4","XP_318693.4")</f>
        <v>XP_318693.4</v>
      </c>
      <c r="AW49" s="2">
        <v>99</v>
      </c>
      <c r="AX49" s="2">
        <v>100</v>
      </c>
      <c r="AY49" s="2">
        <v>60</v>
      </c>
      <c r="AZ49" s="2" t="s">
        <v>105</v>
      </c>
      <c r="BA49" s="9" t="str">
        <f>HYPERLINK(".\links\REFSEQ-INVERTEBRATE\AGAP009656-PA-REFSEQ-INVERTEBRATE.txt","AGAP009656-PA, partial")</f>
        <v>AGAP009656-PA, partial</v>
      </c>
      <c r="BB49" s="2" t="str">
        <f>HYPERLINK("http://www.ncbi.nlm.nih.gov/sutils/blink.cgi?pid=XP_318693.4","5E-085")</f>
        <v>5E-085</v>
      </c>
      <c r="BC49" s="2" t="str">
        <f>HYPERLINK("http://www.ncbi.nlm.nih.gov/protein/XP_318693.4","XP_318693.4")</f>
        <v>XP_318693.4</v>
      </c>
      <c r="BD49" s="2">
        <v>99</v>
      </c>
      <c r="BE49" s="2">
        <v>100</v>
      </c>
      <c r="BF49" s="2">
        <v>60</v>
      </c>
      <c r="BG49" s="2" t="s">
        <v>105</v>
      </c>
      <c r="BH49" s="9" t="str">
        <f>HYPERLINK(".\links\REFSEQ-PROTOZOA\AGAP009656-PA-REFSEQ-PROTOZOA.txt","hypothetical protein GUITHDRAFT_53031, partial")</f>
        <v>hypothetical protein GUITHDRAFT_53031, partial</v>
      </c>
      <c r="BI49" s="2" t="str">
        <f>HYPERLINK("http://www.ncbi.nlm.nih.gov/sutils/blink.cgi?pid=XP_005836375.1","3E-006")</f>
        <v>3E-006</v>
      </c>
      <c r="BJ49" s="2" t="str">
        <f>HYPERLINK("http://www.ncbi.nlm.nih.gov/protein/XP_005836375.1","XP_005836375.1")</f>
        <v>XP_005836375.1</v>
      </c>
      <c r="BK49" s="2">
        <v>36</v>
      </c>
      <c r="BL49" s="2">
        <v>56</v>
      </c>
      <c r="BM49" s="2">
        <v>34</v>
      </c>
      <c r="BN49" s="2" t="s">
        <v>279</v>
      </c>
      <c r="BO49" s="9" t="str">
        <f>HYPERLINK(".\links\SWISSP\AGAP009656-PA-SWISSP.txt","Zinc finger protein 425 (Fragment)")</f>
        <v>Zinc finger protein 425 (Fragment)</v>
      </c>
      <c r="BP49" s="2" t="str">
        <f>HYPERLINK("http://www.uniprot.org/uniprot/Q9N003","6E-007")</f>
        <v>6E-007</v>
      </c>
      <c r="BQ49" s="2" t="str">
        <f>HYPERLINK("http://www.uniprot.org/uniprot/Q9N003#expression","Q9N003")</f>
        <v>Q9N003</v>
      </c>
      <c r="BR49" s="2">
        <v>32</v>
      </c>
      <c r="BS49" s="2">
        <v>52</v>
      </c>
      <c r="BT49" s="2">
        <v>12</v>
      </c>
      <c r="BU49" s="2" t="s">
        <v>683</v>
      </c>
      <c r="BV49" s="9" t="str">
        <f>HYPERLINK(".\links\FLYBASE\AGAP009656-PA-FLYBASE.txt","FBpp0088034")</f>
        <v>FBpp0088034</v>
      </c>
      <c r="BW49" s="2" t="str">
        <f>HYPERLINK("http://flybase.org/reports/FBgn0033186#alliance_summary_container","2E-06")</f>
        <v>2E-06</v>
      </c>
      <c r="BX49" s="2">
        <v>577</v>
      </c>
      <c r="BY49" s="2">
        <v>35</v>
      </c>
      <c r="BZ49" s="2">
        <v>46</v>
      </c>
      <c r="CA49" s="2">
        <v>17</v>
      </c>
      <c r="CB49" s="9" t="str">
        <f>HYPERLINK(".\links\CDD\AGAP009656-PA-CDD.txt","zf-AD, Zinc-finger associated domain (zf-AD)")</f>
        <v>zf-AD, Zinc-finger associated domain (zf-AD)</v>
      </c>
      <c r="CC49" s="15">
        <v>8.9999999999999996E-7</v>
      </c>
      <c r="CD49" s="2">
        <v>100</v>
      </c>
      <c r="CE49" s="2" t="s">
        <v>684</v>
      </c>
      <c r="CF49" s="2" t="s">
        <v>685</v>
      </c>
      <c r="CG49" s="9" t="str">
        <f>HYPERLINK(".\links\KOG\AGAP009656-PA-KOG.txt","Zn finger proteins")</f>
        <v>Zn finger proteins</v>
      </c>
      <c r="CH49" s="15">
        <v>2.9999999999999997E-4</v>
      </c>
      <c r="CI49" s="2">
        <v>16.5</v>
      </c>
      <c r="CJ49" s="2" t="s">
        <v>686</v>
      </c>
      <c r="CK49" s="2" t="s">
        <v>191</v>
      </c>
      <c r="CL49" s="9" t="str">
        <f>HYPERLINK(".\links\PFAM\AGAP009656-PA-PFAM.txt","zf-AD, Zinc-finger associated domain (zf-AD)")</f>
        <v>zf-AD, Zinc-finger associated domain (zf-AD)</v>
      </c>
      <c r="CM49" s="15">
        <v>2.0000000000000002E-5</v>
      </c>
      <c r="CN49" s="2">
        <v>98.6</v>
      </c>
      <c r="CO49" s="2" t="s">
        <v>687</v>
      </c>
      <c r="CP49" s="9" t="str">
        <f>HYPERLINK(".\links\SMART\AGAP009656-PA-SMART.txt","zf-AD, Zinc-finger associated domain (zf-AD)")</f>
        <v>zf-AD, Zinc-finger associated domain (zf-AD)</v>
      </c>
      <c r="CQ49" s="15">
        <v>8.9999999999999995E-9</v>
      </c>
      <c r="CR49" s="2">
        <v>100</v>
      </c>
      <c r="CS49" s="2" t="s">
        <v>684</v>
      </c>
      <c r="CT49" s="2" t="s">
        <v>682</v>
      </c>
      <c r="CU49" s="2" t="s">
        <v>682</v>
      </c>
      <c r="CV49" s="2" t="s">
        <v>682</v>
      </c>
      <c r="CW49" s="2" t="str">
        <f>HYPERLINK(".\links\pep\AGAP009656-PA-pep.txt","AGAP009656-PA")</f>
        <v>AGAP009656-PA</v>
      </c>
      <c r="CX49" s="2" t="s">
        <v>95</v>
      </c>
      <c r="CY49" s="2">
        <v>323</v>
      </c>
      <c r="CZ49" s="2" t="s">
        <v>113</v>
      </c>
      <c r="DA49" s="2" t="s">
        <v>688</v>
      </c>
      <c r="DB49" s="2">
        <v>0</v>
      </c>
      <c r="DC49" s="2">
        <v>1</v>
      </c>
      <c r="DD49" s="2" t="str">
        <f>HYPERLINK("https://www.kegg.jp/kegg-bin/search_pathway_text?map=aga&amp;keyword=AGAP009656&amp;mode=1&amp;viewImage=true","AGAP009656")</f>
        <v>AGAP009656</v>
      </c>
      <c r="DE49" s="2" t="s">
        <v>681</v>
      </c>
      <c r="DF49" s="2" t="s">
        <v>93</v>
      </c>
      <c r="DG49" s="2" t="s">
        <v>94</v>
      </c>
      <c r="DH49" s="2" t="str">
        <f>HYPERLINK("https://vectorbase.org/vectorbase/app/record/gene/AGAP009656","AGAP009656-RA")</f>
        <v>AGAP009656-RA</v>
      </c>
      <c r="DI49" s="2" t="s">
        <v>115</v>
      </c>
      <c r="DJ49" s="2">
        <v>1384</v>
      </c>
      <c r="DK49" s="2" t="str">
        <f>HYPERLINK(".\links\netoglyc\AGAP009656-PA-netoglyc.txt","0")</f>
        <v>0</v>
      </c>
      <c r="DL49" s="2">
        <v>17</v>
      </c>
      <c r="DM49" s="2">
        <v>3.1</v>
      </c>
      <c r="DN49" s="2">
        <v>1.9</v>
      </c>
      <c r="DO49" s="2" t="s">
        <v>104</v>
      </c>
      <c r="DP49" s="2" t="s">
        <v>689</v>
      </c>
      <c r="DQ49" s="2" t="str">
        <f>HYPERLINK(".\links\Sigp\AGAP009656-PA-SigP.txt","CYT")</f>
        <v>CYT</v>
      </c>
      <c r="DR49" s="2" t="s">
        <v>102</v>
      </c>
      <c r="DS49" s="2">
        <v>36.600999999999999</v>
      </c>
      <c r="DT49" s="2">
        <v>4.97</v>
      </c>
      <c r="DU49" s="2" t="s">
        <v>102</v>
      </c>
      <c r="DV49" s="2" t="s">
        <v>102</v>
      </c>
      <c r="DW49" s="2" t="s">
        <v>211</v>
      </c>
      <c r="DX49" s="2">
        <v>323</v>
      </c>
      <c r="DY49" s="12">
        <v>0</v>
      </c>
      <c r="DZ49" s="2" t="s">
        <v>102</v>
      </c>
      <c r="EA49" s="2" t="s">
        <v>102</v>
      </c>
      <c r="EB49" s="2" t="s">
        <v>102</v>
      </c>
      <c r="EC49" s="2" t="str">
        <f>HYPERLINK(".\links\gpi\AGAP009656-PA-gpi.txt","N")</f>
        <v>N</v>
      </c>
      <c r="ED49" s="2">
        <v>0.38</v>
      </c>
      <c r="EF49" s="2">
        <v>15</v>
      </c>
      <c r="EG49" s="2" t="str">
        <f>HYPERLINK(".\links\pep\AGAP009656-PA-sulf.txt","2")</f>
        <v>2</v>
      </c>
      <c r="EH49" s="2" t="s">
        <v>102</v>
      </c>
      <c r="EI49" s="2">
        <v>17.027863777089799</v>
      </c>
      <c r="EJ49" s="2">
        <v>1.85758513931889</v>
      </c>
      <c r="EK49" s="2">
        <v>3.09597523219814</v>
      </c>
      <c r="EL49" s="2">
        <v>4.95356037151703</v>
      </c>
      <c r="EM49" s="2" t="s">
        <v>102</v>
      </c>
      <c r="EN49" s="2" t="s">
        <v>102</v>
      </c>
      <c r="EO49" s="2" t="s">
        <v>102</v>
      </c>
      <c r="EP49" s="2" t="s">
        <v>102</v>
      </c>
      <c r="EQ49" s="2" t="s">
        <v>102</v>
      </c>
      <c r="ER49" s="2" t="s">
        <v>102</v>
      </c>
      <c r="ES49" s="2" t="s">
        <v>102</v>
      </c>
      <c r="ET49" s="2" t="str">
        <f>HYPERLINK(".\links\REFSEQ-INVERTEBRATE\AGAP009656-PA-REFSEQ-INVERTEBRATE.txt","AGAP009656-PA, partial")</f>
        <v>AGAP009656-PA, partial</v>
      </c>
      <c r="EU49" s="2" t="str">
        <f>HYPERLINK("http://www.ncbi.nlm.nih.gov/sutils/blink.cgi?pid=XP_318693.4","1E-105")</f>
        <v>1E-105</v>
      </c>
      <c r="EV49" s="2" t="str">
        <f>HYPERLINK("http://www.ncbi.nlm.nih.gov/protein/XP_318693.4","XP_318693.4")</f>
        <v>XP_318693.4</v>
      </c>
      <c r="EW49" s="2">
        <v>99</v>
      </c>
      <c r="EX49" s="2">
        <v>100</v>
      </c>
      <c r="EY49" s="2">
        <v>60</v>
      </c>
      <c r="EZ49" s="2" t="s">
        <v>105</v>
      </c>
    </row>
    <row r="50" spans="1:156" x14ac:dyDescent="0.25">
      <c r="A50" s="2" t="s">
        <v>690</v>
      </c>
      <c r="B50" s="2">
        <v>0.42236373957762702</v>
      </c>
      <c r="C50" s="2">
        <f t="shared" si="0"/>
        <v>1.340121438039217</v>
      </c>
      <c r="D50" s="2">
        <v>10.140643310403901</v>
      </c>
      <c r="E50" s="2">
        <v>15.6558826028333</v>
      </c>
      <c r="F50" s="2">
        <v>7.5975886543248701E-5</v>
      </c>
      <c r="G50" s="2">
        <v>9.2437328627619306E-3</v>
      </c>
      <c r="H50" s="2" t="s">
        <v>691</v>
      </c>
      <c r="I50" s="2" t="s">
        <v>94</v>
      </c>
      <c r="J50" s="2" t="str">
        <f>HYPERLINK("https://vectorbase.org/vectorbase/app/record/gene/AGAP004962","AGAP004962-RA")</f>
        <v>AGAP004962-RA</v>
      </c>
      <c r="K50" s="2" t="str">
        <f>HYPERLINK(".\links\pep\AGAP004962-PA-pep.txt","AGAP004962-PA")</f>
        <v>AGAP004962-PA</v>
      </c>
      <c r="L50" s="12" t="s">
        <v>95</v>
      </c>
      <c r="M50" s="2">
        <v>484</v>
      </c>
      <c r="N50" s="2">
        <v>0</v>
      </c>
      <c r="O50" s="2">
        <v>0</v>
      </c>
      <c r="P50" s="2" t="s">
        <v>692</v>
      </c>
      <c r="Q50" s="9" t="s">
        <v>693</v>
      </c>
      <c r="R50" s="2" t="s">
        <v>388</v>
      </c>
      <c r="S50" s="2" t="str">
        <f>HYPERLINK(".\links\KOG\AGAP004962-PA-KOG.txt","KOG")</f>
        <v>KOG</v>
      </c>
      <c r="T50" s="2">
        <v>2.0000000000000001E-42</v>
      </c>
      <c r="U50" s="2">
        <v>76.3</v>
      </c>
      <c r="V50" s="2" t="s">
        <v>694</v>
      </c>
      <c r="W50" s="10" t="s">
        <v>695</v>
      </c>
      <c r="X50" s="2" t="s">
        <v>355</v>
      </c>
      <c r="Y50" s="2" t="str">
        <f>HYPERLINK(".\links\KOG\AGAP004962-PA-KOG.txt","KOG")</f>
        <v>KOG</v>
      </c>
      <c r="Z50" s="15">
        <v>5.0000000000000002E-55</v>
      </c>
      <c r="AA50" s="2">
        <v>61.3</v>
      </c>
      <c r="AB50" s="13" t="s">
        <v>102</v>
      </c>
      <c r="AC50" s="13" t="str">
        <f>HYPERLINK(".\links\Sigp\AGAP004962-PA-SigP.txt","CYT")</f>
        <v>CYT</v>
      </c>
      <c r="AD50" s="2" t="s">
        <v>102</v>
      </c>
      <c r="AE50" s="2">
        <v>54.892000000000003</v>
      </c>
      <c r="AF50" s="2">
        <v>9.2799999999999994</v>
      </c>
      <c r="AG50" s="2" t="s">
        <v>102</v>
      </c>
      <c r="AH50" s="2" t="s">
        <v>102</v>
      </c>
      <c r="AI50" s="2" t="s">
        <v>696</v>
      </c>
      <c r="AJ50" s="13">
        <v>0</v>
      </c>
      <c r="AK50" s="2" t="s">
        <v>102</v>
      </c>
      <c r="AL50" s="2" t="s">
        <v>102</v>
      </c>
      <c r="AM50" s="2" t="s">
        <v>102</v>
      </c>
      <c r="AN50" s="13" t="str">
        <f>HYPERLINK(".\links\gpi\AGAP004962-PA-gpi.txt","N")</f>
        <v>N</v>
      </c>
      <c r="AO50" s="14" t="str">
        <f>HYPERLINK(".\links\netoglyc\AGAP004962-PA-netoglyc.txt","0")</f>
        <v>0</v>
      </c>
      <c r="AP50" s="13">
        <v>11.4</v>
      </c>
      <c r="AQ50" s="2">
        <v>3.9</v>
      </c>
      <c r="AR50" s="2">
        <v>4.5</v>
      </c>
      <c r="AS50" s="2" t="s">
        <v>104</v>
      </c>
      <c r="AT50" s="9" t="str">
        <f>HYPERLINK(".\links\NR-LIGHT\AGAP004962-PA-NR-LIGHT.txt","AGAP004962-PA")</f>
        <v>AGAP004962-PA</v>
      </c>
      <c r="AU50" s="2" t="str">
        <f>HYPERLINK("http://www.ncbi.nlm.nih.gov/sutils/blink.cgi?pid=XP_315059.4","0.0")</f>
        <v>0.0</v>
      </c>
      <c r="AV50" s="2" t="str">
        <f>HYPERLINK("http://www.ncbi.nlm.nih.gov/protein/XP_315059.4","XP_315059.4")</f>
        <v>XP_315059.4</v>
      </c>
      <c r="AW50" s="2">
        <v>100</v>
      </c>
      <c r="AX50" s="2">
        <v>100</v>
      </c>
      <c r="AY50" s="2">
        <v>100</v>
      </c>
      <c r="AZ50" s="2" t="s">
        <v>105</v>
      </c>
      <c r="BA50" s="9" t="str">
        <f>HYPERLINK(".\links\REFSEQ-INVERTEBRATE\AGAP004962-PA-REFSEQ-INVERTEBRATE.txt","AGAP004962-PA")</f>
        <v>AGAP004962-PA</v>
      </c>
      <c r="BB50" s="2" t="str">
        <f>HYPERLINK("http://www.ncbi.nlm.nih.gov/sutils/blink.cgi?pid=XP_315059.4","0.0")</f>
        <v>0.0</v>
      </c>
      <c r="BC50" s="2" t="str">
        <f>HYPERLINK("http://www.ncbi.nlm.nih.gov/protein/XP_315059.4","XP_315059.4")</f>
        <v>XP_315059.4</v>
      </c>
      <c r="BD50" s="2">
        <v>100</v>
      </c>
      <c r="BE50" s="2">
        <v>100</v>
      </c>
      <c r="BF50" s="2">
        <v>100</v>
      </c>
      <c r="BG50" s="2" t="s">
        <v>105</v>
      </c>
      <c r="BH50" s="9" t="str">
        <f>HYPERLINK(".\links\REFSEQ-PROTOZOA\AGAP004962-PA-REFSEQ-PROTOZOA.txt","cyclin B")</f>
        <v>cyclin B</v>
      </c>
      <c r="BI50" s="2" t="str">
        <f>HYPERLINK("http://www.ncbi.nlm.nih.gov/sutils/blink.cgi?pid=XP_001746195.1","2E-061")</f>
        <v>2E-061</v>
      </c>
      <c r="BJ50" s="2" t="str">
        <f>HYPERLINK("http://www.ncbi.nlm.nih.gov/protein/XP_001746195.1","XP_001746195.1")</f>
        <v>XP_001746195.1</v>
      </c>
      <c r="BK50" s="2">
        <v>39</v>
      </c>
      <c r="BL50" s="2">
        <v>57</v>
      </c>
      <c r="BM50" s="2">
        <v>96</v>
      </c>
      <c r="BN50" s="2" t="s">
        <v>248</v>
      </c>
      <c r="BO50" s="9" t="str">
        <f>HYPERLINK(".\links\SWISSP\AGAP004962-PA-SWISSP.txt","G2/mitotic-specific cyclin-B")</f>
        <v>G2/mitotic-specific cyclin-B</v>
      </c>
      <c r="BP50" s="2" t="str">
        <f>HYPERLINK("http://www.uniprot.org/uniprot/P20439","9E-085")</f>
        <v>9E-085</v>
      </c>
      <c r="BQ50" s="2" t="str">
        <f>HYPERLINK("http://www.uniprot.org/uniprot/P20439#expression","P20439")</f>
        <v>P20439</v>
      </c>
      <c r="BR50" s="2">
        <v>38</v>
      </c>
      <c r="BS50" s="2">
        <v>54</v>
      </c>
      <c r="BT50" s="2">
        <v>101</v>
      </c>
      <c r="BU50" s="2" t="s">
        <v>107</v>
      </c>
      <c r="BV50" s="9" t="str">
        <f>HYPERLINK(".\links\FLYBASE\AGAP004962-PA-FLYBASE.txt","FBpp0071822")</f>
        <v>FBpp0071822</v>
      </c>
      <c r="BW50" s="2" t="str">
        <f>HYPERLINK("http://flybase.org/reports/FBgn0000405#alliance_summary_container","1E-105")</f>
        <v>1E-105</v>
      </c>
      <c r="BX50" s="2">
        <v>530</v>
      </c>
      <c r="BY50" s="2">
        <v>39</v>
      </c>
      <c r="BZ50" s="2">
        <v>54</v>
      </c>
      <c r="CA50" s="2">
        <v>102</v>
      </c>
      <c r="CB50" s="9" t="str">
        <f>HYPERLINK(".\links\CDD\AGAP004962-PA-CDD.txt","COG5024, Cyclin")</f>
        <v>COG5024, Cyclin</v>
      </c>
      <c r="CC50" s="15">
        <v>1E-46</v>
      </c>
      <c r="CD50" s="2">
        <v>73.400000000000006</v>
      </c>
      <c r="CE50" s="2" t="s">
        <v>697</v>
      </c>
      <c r="CF50" s="2" t="s">
        <v>698</v>
      </c>
      <c r="CG50" s="9" t="str">
        <f>HYPERLINK(".\links\KOG\AGAP004962-PA-KOG.txt","Cyclin B and related kinase-activating proteins")</f>
        <v>Cyclin B and related kinase-activating proteins</v>
      </c>
      <c r="CH50" s="15">
        <v>9.9999999999999997E-65</v>
      </c>
      <c r="CI50" s="2">
        <v>96.2</v>
      </c>
      <c r="CJ50" s="2" t="s">
        <v>699</v>
      </c>
      <c r="CK50" s="2" t="s">
        <v>700</v>
      </c>
      <c r="CL50" s="9" t="str">
        <f>HYPERLINK(".\links\PFAM\AGAP004962-PA-PFAM.txt","Cyclin_N, Cyclin, N-terminal domain")</f>
        <v>Cyclin_N, Cyclin, N-terminal domain</v>
      </c>
      <c r="CM50" s="15">
        <v>6.9999999999999995E-44</v>
      </c>
      <c r="CN50" s="2">
        <v>102.4</v>
      </c>
      <c r="CO50" s="2" t="s">
        <v>701</v>
      </c>
      <c r="CP50" s="9" t="str">
        <f>HYPERLINK(".\links\SMART\AGAP004962-PA-SMART.txt","CYCLIN, domain present in cyclins, TFIIB and Retinoblastoma")</f>
        <v>CYCLIN, domain present in cyclins, TFIIB and Retinoblastoma</v>
      </c>
      <c r="CQ50" s="15">
        <v>2.0000000000000001E-18</v>
      </c>
      <c r="CR50" s="2">
        <v>103.6</v>
      </c>
      <c r="CS50" s="2" t="s">
        <v>478</v>
      </c>
      <c r="CT50" s="2" t="s">
        <v>694</v>
      </c>
      <c r="CU50" s="2" t="s">
        <v>694</v>
      </c>
      <c r="CV50" s="2" t="s">
        <v>694</v>
      </c>
      <c r="CW50" s="2" t="str">
        <f>HYPERLINK(".\links\pep\AGAP004962-PA-pep.txt","AGAP004962-PA")</f>
        <v>AGAP004962-PA</v>
      </c>
      <c r="CX50" s="2" t="s">
        <v>95</v>
      </c>
      <c r="CY50" s="2">
        <v>484</v>
      </c>
      <c r="CZ50" s="2" t="s">
        <v>113</v>
      </c>
      <c r="DA50" s="2" t="s">
        <v>702</v>
      </c>
      <c r="DB50" s="2">
        <v>0</v>
      </c>
      <c r="DC50" s="2">
        <v>0</v>
      </c>
      <c r="DD50" s="2" t="str">
        <f>HYPERLINK("https://www.kegg.jp/kegg-bin/search_pathway_text?map=aga&amp;keyword=AGAP004962&amp;mode=1&amp;viewImage=true","AGAP004962")</f>
        <v>AGAP004962</v>
      </c>
      <c r="DE50" s="2" t="s">
        <v>690</v>
      </c>
      <c r="DF50" s="2" t="s">
        <v>691</v>
      </c>
      <c r="DG50" s="2" t="s">
        <v>94</v>
      </c>
      <c r="DH50" s="2" t="str">
        <f>HYPERLINK("https://vectorbase.org/vectorbase/app/record/gene/AGAP004962","AGAP004962-RA")</f>
        <v>AGAP004962-RA</v>
      </c>
      <c r="DI50" s="2" t="s">
        <v>115</v>
      </c>
      <c r="DJ50" s="2">
        <v>1973</v>
      </c>
      <c r="DK50" s="2" t="str">
        <f>HYPERLINK(".\links\netoglyc\AGAP004962-PA-netoglyc.txt","0")</f>
        <v>0</v>
      </c>
      <c r="DL50" s="2">
        <v>11.4</v>
      </c>
      <c r="DM50" s="2">
        <v>3.9</v>
      </c>
      <c r="DN50" s="2">
        <v>4.5</v>
      </c>
      <c r="DO50" s="2" t="s">
        <v>104</v>
      </c>
      <c r="DP50" s="2" t="s">
        <v>102</v>
      </c>
      <c r="DQ50" s="2" t="str">
        <f>HYPERLINK(".\links\Sigp\AGAP004962-PA-SigP.txt","CYT")</f>
        <v>CYT</v>
      </c>
      <c r="DR50" s="2" t="s">
        <v>102</v>
      </c>
      <c r="DS50" s="2">
        <v>54.892000000000003</v>
      </c>
      <c r="DT50" s="2">
        <v>9.2799999999999994</v>
      </c>
      <c r="DU50" s="2" t="s">
        <v>102</v>
      </c>
      <c r="DV50" s="2" t="s">
        <v>102</v>
      </c>
      <c r="DW50" s="2" t="s">
        <v>696</v>
      </c>
      <c r="DX50" s="2">
        <v>484</v>
      </c>
      <c r="DY50" s="12">
        <v>0</v>
      </c>
      <c r="DZ50" s="2" t="s">
        <v>102</v>
      </c>
      <c r="EA50" s="2" t="s">
        <v>102</v>
      </c>
      <c r="EB50" s="2" t="s">
        <v>102</v>
      </c>
      <c r="EC50" s="2" t="str">
        <f>HYPERLINK(".\links\gpi\AGAP004962-PA-gpi.txt","Y-NoSP")</f>
        <v>Y-NoSP</v>
      </c>
      <c r="ED50" s="2">
        <v>0.25</v>
      </c>
      <c r="EF50" s="2">
        <v>4</v>
      </c>
      <c r="EG50" s="2" t="s">
        <v>102</v>
      </c>
      <c r="EH50" s="2" t="s">
        <v>102</v>
      </c>
      <c r="EI50" s="2">
        <v>11.363636363636401</v>
      </c>
      <c r="EJ50" s="2">
        <v>4.5454545454545503</v>
      </c>
      <c r="EK50" s="2">
        <v>3.9256198347107398</v>
      </c>
      <c r="EL50" s="2">
        <v>8.4710743801652892</v>
      </c>
      <c r="EM50" s="2" t="s">
        <v>102</v>
      </c>
      <c r="EN50" s="2">
        <v>4</v>
      </c>
      <c r="EO50" s="2">
        <v>4</v>
      </c>
      <c r="EP50" s="2" t="s">
        <v>102</v>
      </c>
      <c r="EQ50" s="2" t="s">
        <v>102</v>
      </c>
      <c r="ER50" s="2" t="s">
        <v>102</v>
      </c>
      <c r="ES50" s="2" t="s">
        <v>102</v>
      </c>
      <c r="ET50" s="2" t="str">
        <f>HYPERLINK(".\links\REFSEQ-INVERTEBRATE\AGAP004962-PA-REFSEQ-INVERTEBRATE.txt","AGAP004962-PA")</f>
        <v>AGAP004962-PA</v>
      </c>
      <c r="EU50" s="2" t="str">
        <f>HYPERLINK("http://www.ncbi.nlm.nih.gov/sutils/blink.cgi?pid=XP_315059.4","0.0")</f>
        <v>0.0</v>
      </c>
      <c r="EV50" s="2" t="str">
        <f>HYPERLINK("http://www.ncbi.nlm.nih.gov/protein/XP_315059.4","XP_315059.4")</f>
        <v>XP_315059.4</v>
      </c>
      <c r="EW50" s="2">
        <v>100</v>
      </c>
      <c r="EX50" s="2">
        <v>100</v>
      </c>
      <c r="EY50" s="2">
        <v>100</v>
      </c>
      <c r="EZ50" s="2" t="s">
        <v>105</v>
      </c>
    </row>
    <row r="51" spans="1:156" x14ac:dyDescent="0.25">
      <c r="A51" s="2" t="s">
        <v>703</v>
      </c>
      <c r="B51" s="2">
        <v>0.420360900493778</v>
      </c>
      <c r="C51" s="2">
        <f t="shared" si="0"/>
        <v>1.3382622888094458</v>
      </c>
      <c r="D51" s="2">
        <v>6.6474444189079502</v>
      </c>
      <c r="E51" s="2">
        <v>15.228989851559801</v>
      </c>
      <c r="F51" s="2">
        <v>9.5230273771915194E-5</v>
      </c>
      <c r="G51" s="2">
        <v>1.0664708500252499E-2</v>
      </c>
      <c r="H51" s="2" t="s">
        <v>93</v>
      </c>
      <c r="I51" s="2" t="s">
        <v>94</v>
      </c>
      <c r="J51" s="2" t="str">
        <f>HYPERLINK("https://vectorbase.org/vectorbase/app/record/gene/AGAP010297","AGAP010297-RA")</f>
        <v>AGAP010297-RA</v>
      </c>
      <c r="K51" s="2" t="str">
        <f>HYPERLINK(".\links\pep\AGAP010297-PA-pep.txt","AGAP010297-PA")</f>
        <v>AGAP010297-PA</v>
      </c>
      <c r="L51" s="12" t="s">
        <v>95</v>
      </c>
      <c r="M51" s="2">
        <v>198</v>
      </c>
      <c r="N51" s="2">
        <v>0</v>
      </c>
      <c r="O51" s="2">
        <v>0</v>
      </c>
      <c r="P51" s="2" t="s">
        <v>102</v>
      </c>
      <c r="Q51" s="9" t="s">
        <v>704</v>
      </c>
      <c r="R51" s="2" t="s">
        <v>196</v>
      </c>
      <c r="S51" s="2" t="str">
        <f>HYPERLINK(".\links\REFSEQ-INVERTEBRATE\AGAP010297-PA-REFSEQ-INVERTEBRATE.txt","REFSEQ-INVERTEBRATE")</f>
        <v>REFSEQ-INVERTEBRATE</v>
      </c>
      <c r="T51" s="2">
        <v>0</v>
      </c>
      <c r="U51" s="2">
        <v>100</v>
      </c>
      <c r="V51" s="2" t="s">
        <v>704</v>
      </c>
      <c r="W51" s="10" t="s">
        <v>705</v>
      </c>
      <c r="X51" s="2" t="s">
        <v>358</v>
      </c>
      <c r="Y51" s="2" t="str">
        <f>HYPERLINK(".\links\PFAM\AGAP010297-PA-PFAM.txt","PFAM")</f>
        <v>PFAM</v>
      </c>
      <c r="Z51" s="15">
        <v>1.9999999999999998E-24</v>
      </c>
      <c r="AA51" s="2">
        <v>80</v>
      </c>
      <c r="AB51" s="13" t="s">
        <v>102</v>
      </c>
      <c r="AC51" s="13" t="str">
        <f>HYPERLINK(".\links\Sigp\AGAP010297-PA-SigP.txt","CYT")</f>
        <v>CYT</v>
      </c>
      <c r="AD51" s="2" t="s">
        <v>102</v>
      </c>
      <c r="AE51" s="2">
        <v>23.596</v>
      </c>
      <c r="AF51" s="2">
        <v>5.6</v>
      </c>
      <c r="AG51" s="2" t="s">
        <v>102</v>
      </c>
      <c r="AH51" s="2" t="s">
        <v>102</v>
      </c>
      <c r="AI51" s="2" t="s">
        <v>211</v>
      </c>
      <c r="AJ51" s="13">
        <v>0</v>
      </c>
      <c r="AK51" s="2" t="s">
        <v>102</v>
      </c>
      <c r="AL51" s="2" t="s">
        <v>102</v>
      </c>
      <c r="AM51" s="2" t="s">
        <v>102</v>
      </c>
      <c r="AN51" s="13" t="str">
        <f>HYPERLINK(".\links\gpi\AGAP010297-PA-gpi.txt","N")</f>
        <v>N</v>
      </c>
      <c r="AO51" s="14" t="str">
        <f>HYPERLINK(".\links\netoglyc\AGAP010297-PA-netoglyc.txt","0")</f>
        <v>0</v>
      </c>
      <c r="AP51" s="13">
        <v>9.6</v>
      </c>
      <c r="AQ51" s="2" t="s">
        <v>125</v>
      </c>
      <c r="AR51" s="2" t="s">
        <v>125</v>
      </c>
      <c r="AS51" s="2" t="s">
        <v>104</v>
      </c>
      <c r="AT51" s="9" t="str">
        <f>HYPERLINK(".\links\NR-LIGHT\AGAP010297-PA-NR-LIGHT.txt","AGAP010297-PA")</f>
        <v>AGAP010297-PA</v>
      </c>
      <c r="AU51" s="2" t="str">
        <f>HYPERLINK("http://www.ncbi.nlm.nih.gov/sutils/blink.cgi?pid=XP_309689.4","1E-105")</f>
        <v>1E-105</v>
      </c>
      <c r="AV51" s="2" t="str">
        <f>HYPERLINK("http://www.ncbi.nlm.nih.gov/protein/XP_309689.4","XP_309689.4")</f>
        <v>XP_309689.4</v>
      </c>
      <c r="AW51" s="2">
        <v>100</v>
      </c>
      <c r="AX51" s="2">
        <v>100</v>
      </c>
      <c r="AY51" s="2">
        <v>100</v>
      </c>
      <c r="AZ51" s="2" t="s">
        <v>105</v>
      </c>
      <c r="BA51" s="9" t="str">
        <f>HYPERLINK(".\links\REFSEQ-INVERTEBRATE\AGAP010297-PA-REFSEQ-INVERTEBRATE.txt","AGAP010297-PA")</f>
        <v>AGAP010297-PA</v>
      </c>
      <c r="BB51" s="2" t="str">
        <f>HYPERLINK("http://www.ncbi.nlm.nih.gov/sutils/blink.cgi?pid=XP_309689.4","1E-105")</f>
        <v>1E-105</v>
      </c>
      <c r="BC51" s="2" t="str">
        <f>HYPERLINK("http://www.ncbi.nlm.nih.gov/protein/XP_309689.4","XP_309689.4")</f>
        <v>XP_309689.4</v>
      </c>
      <c r="BD51" s="2">
        <v>100</v>
      </c>
      <c r="BE51" s="2">
        <v>100</v>
      </c>
      <c r="BF51" s="2">
        <v>100</v>
      </c>
      <c r="BG51" s="2" t="s">
        <v>105</v>
      </c>
      <c r="BH51" s="9" t="str">
        <f>HYPERLINK(".\links\REFSEQ-PROTOZOA\AGAP010297-PA-REFSEQ-PROTOZOA.txt","hypothetical protein CAOG_07404")</f>
        <v>hypothetical protein CAOG_07404</v>
      </c>
      <c r="BI51" s="2" t="str">
        <f>HYPERLINK("http://www.ncbi.nlm.nih.gov/sutils/blink.cgi?pid=XP_004343263.2","5E-021")</f>
        <v>5E-021</v>
      </c>
      <c r="BJ51" s="2" t="str">
        <f>HYPERLINK("http://www.ncbi.nlm.nih.gov/protein/XP_004343263.2","XP_004343263.2")</f>
        <v>XP_004343263.2</v>
      </c>
      <c r="BK51" s="2">
        <v>32</v>
      </c>
      <c r="BL51" s="2">
        <v>58</v>
      </c>
      <c r="BM51" s="2">
        <v>23</v>
      </c>
      <c r="BN51" s="2" t="s">
        <v>106</v>
      </c>
      <c r="BO51" s="9" t="str">
        <f>HYPERLINK(".\links\SWISSP\AGAP010297-PA-SWISSP.txt","Transforming acidic coiled-coil-containing protein 2")</f>
        <v>Transforming acidic coiled-coil-containing protein 2</v>
      </c>
      <c r="BP51" s="2" t="str">
        <f>HYPERLINK("http://www.uniprot.org/uniprot/Q9JJG0","3E-022")</f>
        <v>3E-022</v>
      </c>
      <c r="BQ51" s="2" t="str">
        <f>HYPERLINK("http://www.uniprot.org/uniprot/Q9JJG0#expression","Q9JJG0")</f>
        <v>Q9JJG0</v>
      </c>
      <c r="BR51" s="2">
        <v>35</v>
      </c>
      <c r="BS51" s="2">
        <v>59</v>
      </c>
      <c r="BT51" s="2">
        <v>15</v>
      </c>
      <c r="BU51" s="2" t="s">
        <v>662</v>
      </c>
      <c r="BV51" s="9" t="str">
        <f>HYPERLINK(".\links\FLYBASE\AGAP010297-PA-FLYBASE.txt","FBpp0291769")</f>
        <v>FBpp0291769</v>
      </c>
      <c r="BW51" s="2" t="str">
        <f>HYPERLINK("http://flybase.org/reports/FBgn0026620#alliance_summary_container","1E-56")</f>
        <v>1E-56</v>
      </c>
      <c r="BX51" s="2">
        <v>245</v>
      </c>
      <c r="BY51" s="2">
        <v>55</v>
      </c>
      <c r="BZ51" s="2">
        <v>74</v>
      </c>
      <c r="CA51" s="2">
        <v>78</v>
      </c>
      <c r="CB51" s="9" t="str">
        <f>HYPERLINK(".\links\CDD\AGAP010297-PA-CDD.txt","TACC, Transforming acidic coiled-coil-containing protein (TACC)")</f>
        <v>TACC, Transforming acidic coiled-coil-containing protein (TACC)</v>
      </c>
      <c r="CC51" s="15">
        <v>3.0000000000000001E-26</v>
      </c>
      <c r="CD51" s="2">
        <v>95.5</v>
      </c>
      <c r="CE51" s="2" t="s">
        <v>706</v>
      </c>
      <c r="CF51" s="2" t="s">
        <v>707</v>
      </c>
      <c r="CG51" s="9" t="str">
        <f>HYPERLINK(".\links\KOG\AGAP010297-PA-KOG.txt","Myosin class II heavy chain")</f>
        <v>Myosin class II heavy chain</v>
      </c>
      <c r="CH51" s="15">
        <v>2E-3</v>
      </c>
      <c r="CI51" s="2">
        <v>10.5</v>
      </c>
      <c r="CJ51" s="2" t="s">
        <v>708</v>
      </c>
      <c r="CK51" s="2" t="s">
        <v>131</v>
      </c>
      <c r="CL51" s="9" t="str">
        <f>HYPERLINK(".\links\PFAM\AGAP010297-PA-PFAM.txt","TACC, Transforming acidic coiled-coil-containing protein (TACC)")</f>
        <v>TACC, Transforming acidic coiled-coil-containing protein (TACC)</v>
      </c>
      <c r="CM51" s="15">
        <v>8.0000000000000003E-27</v>
      </c>
      <c r="CN51" s="2">
        <v>95.5</v>
      </c>
      <c r="CO51" s="2" t="s">
        <v>706</v>
      </c>
      <c r="CP51" s="9" t="str">
        <f>HYPERLINK(".\links\SMART\AGAP010297-PA-SMART.txt","TOPEUc, DNA Topoisomerase I (eukaryota)")</f>
        <v>TOPEUc, DNA Topoisomerase I (eukaryota)</v>
      </c>
      <c r="CQ51" s="15">
        <v>0.21</v>
      </c>
      <c r="CR51" s="2">
        <v>21.2</v>
      </c>
      <c r="CS51" s="2" t="s">
        <v>709</v>
      </c>
      <c r="CT51" s="2" t="s">
        <v>704</v>
      </c>
      <c r="CU51" s="2" t="s">
        <v>704</v>
      </c>
      <c r="CV51" s="2" t="s">
        <v>704</v>
      </c>
      <c r="CW51" s="2" t="str">
        <f>HYPERLINK(".\links\pep\AGAP010297-PA-pep.txt","AGAP010297-PA")</f>
        <v>AGAP010297-PA</v>
      </c>
      <c r="CX51" s="2" t="s">
        <v>95</v>
      </c>
      <c r="CY51" s="2">
        <v>198</v>
      </c>
      <c r="CZ51" s="2" t="s">
        <v>113</v>
      </c>
      <c r="DA51" s="2" t="s">
        <v>710</v>
      </c>
      <c r="DB51" s="2">
        <v>0</v>
      </c>
      <c r="DC51" s="2">
        <v>0</v>
      </c>
      <c r="DD51" s="2" t="str">
        <f>HYPERLINK("https://www.kegg.jp/kegg-bin/search_pathway_text?map=aga&amp;keyword=AGAP010297&amp;mode=1&amp;viewImage=true","AGAP010297")</f>
        <v>AGAP010297</v>
      </c>
      <c r="DE51" s="2" t="s">
        <v>703</v>
      </c>
      <c r="DF51" s="2" t="s">
        <v>93</v>
      </c>
      <c r="DG51" s="2" t="s">
        <v>94</v>
      </c>
      <c r="DH51" s="2" t="str">
        <f>HYPERLINK("https://vectorbase.org/vectorbase/app/record/gene/AGAP010297","AGAP010297-RA")</f>
        <v>AGAP010297-RA</v>
      </c>
      <c r="DI51" s="2" t="s">
        <v>90</v>
      </c>
      <c r="DJ51" s="2">
        <v>1714</v>
      </c>
      <c r="DK51" s="2" t="str">
        <f>HYPERLINK(".\links\netoglyc\AGAP010297-PA-netoglyc.txt","0")</f>
        <v>0</v>
      </c>
      <c r="DL51" s="2">
        <v>9.6</v>
      </c>
      <c r="DM51" s="2" t="s">
        <v>125</v>
      </c>
      <c r="DN51" s="2" t="s">
        <v>125</v>
      </c>
      <c r="DO51" s="2" t="s">
        <v>104</v>
      </c>
      <c r="DP51" s="2" t="s">
        <v>102</v>
      </c>
      <c r="DQ51" s="2" t="str">
        <f>HYPERLINK(".\links\Sigp\AGAP010297-PA-SigP.txt","CYT")</f>
        <v>CYT</v>
      </c>
      <c r="DR51" s="2" t="s">
        <v>102</v>
      </c>
      <c r="DS51" s="2">
        <v>23.596</v>
      </c>
      <c r="DT51" s="2">
        <v>5.6</v>
      </c>
      <c r="DU51" s="2" t="s">
        <v>102</v>
      </c>
      <c r="DV51" s="2" t="s">
        <v>102</v>
      </c>
      <c r="DW51" s="2" t="s">
        <v>211</v>
      </c>
      <c r="DX51" s="2">
        <v>198</v>
      </c>
      <c r="DY51" s="12">
        <v>0</v>
      </c>
      <c r="DZ51" s="2" t="s">
        <v>102</v>
      </c>
      <c r="EA51" s="2" t="s">
        <v>102</v>
      </c>
      <c r="EB51" s="2" t="s">
        <v>102</v>
      </c>
      <c r="EC51" s="2" t="str">
        <f>HYPERLINK(".\links\gpi\AGAP010297-PA-gpi.txt","N")</f>
        <v>N</v>
      </c>
      <c r="ED51" s="2">
        <v>0.56999999999999995</v>
      </c>
      <c r="EF51" s="2">
        <v>4</v>
      </c>
      <c r="EG51" s="2" t="s">
        <v>102</v>
      </c>
      <c r="EH51" s="2" t="s">
        <v>102</v>
      </c>
      <c r="EI51" s="2">
        <v>9.5959595959596005</v>
      </c>
      <c r="EJ51" s="2">
        <v>0</v>
      </c>
      <c r="EK51" s="2">
        <v>0</v>
      </c>
      <c r="EL51" s="2">
        <v>0</v>
      </c>
      <c r="EM51" s="2" t="s">
        <v>102</v>
      </c>
      <c r="EN51" s="2" t="s">
        <v>102</v>
      </c>
      <c r="EO51" s="2" t="s">
        <v>102</v>
      </c>
      <c r="EP51" s="2" t="s">
        <v>102</v>
      </c>
      <c r="EQ51" s="2" t="s">
        <v>102</v>
      </c>
      <c r="ER51" s="2" t="s">
        <v>102</v>
      </c>
      <c r="ES51" s="2" t="s">
        <v>102</v>
      </c>
      <c r="ET51" s="2" t="str">
        <f>HYPERLINK(".\links\REFSEQ-INVERTEBRATE\AGAP010297-PA-REFSEQ-INVERTEBRATE.txt","AGAP010297-PA")</f>
        <v>AGAP010297-PA</v>
      </c>
      <c r="EU51" s="2" t="str">
        <f>HYPERLINK("http://www.ncbi.nlm.nih.gov/sutils/blink.cgi?pid=XP_309689.4","1E-135")</f>
        <v>1E-135</v>
      </c>
      <c r="EV51" s="2" t="str">
        <f>HYPERLINK("http://www.ncbi.nlm.nih.gov/protein/XP_309689.4","XP_309689.4")</f>
        <v>XP_309689.4</v>
      </c>
      <c r="EW51" s="2">
        <v>100</v>
      </c>
      <c r="EX51" s="2">
        <v>100</v>
      </c>
      <c r="EY51" s="2">
        <v>100</v>
      </c>
      <c r="EZ51" s="2" t="s">
        <v>105</v>
      </c>
    </row>
    <row r="52" spans="1:156" x14ac:dyDescent="0.25">
      <c r="A52" s="2" t="s">
        <v>711</v>
      </c>
      <c r="B52" s="2">
        <v>0.42012738445245901</v>
      </c>
      <c r="C52" s="2">
        <f t="shared" si="0"/>
        <v>1.3380456938859198</v>
      </c>
      <c r="D52" s="2">
        <v>6.9860096124544198</v>
      </c>
      <c r="E52" s="2">
        <v>13.1401699144254</v>
      </c>
      <c r="F52" s="2">
        <v>2.8903164541356898E-4</v>
      </c>
      <c r="G52" s="2">
        <v>1.9116824601011599E-2</v>
      </c>
      <c r="H52" s="2" t="s">
        <v>712</v>
      </c>
      <c r="I52" s="2" t="s">
        <v>94</v>
      </c>
      <c r="J52" s="2" t="str">
        <f>HYPERLINK("https://vectorbase.org/vectorbase/app/record/gene/AGAP001057","AGAP001057-RA")</f>
        <v>AGAP001057-RA</v>
      </c>
      <c r="K52" s="2" t="str">
        <f>HYPERLINK(".\links\pep\AGAP001057-PA-pep.txt","AGAP001057-PA")</f>
        <v>AGAP001057-PA</v>
      </c>
      <c r="L52" s="12" t="s">
        <v>95</v>
      </c>
      <c r="M52" s="2">
        <v>761</v>
      </c>
      <c r="N52" s="2">
        <v>0</v>
      </c>
      <c r="O52" s="2">
        <v>2</v>
      </c>
      <c r="P52" s="2" t="s">
        <v>713</v>
      </c>
      <c r="Q52" s="9" t="s">
        <v>714</v>
      </c>
      <c r="R52" s="2" t="s">
        <v>388</v>
      </c>
      <c r="S52" s="2" t="str">
        <f>HYPERLINK(".\links\CDD\AGAP001057-PA-CDD.txt","CDD")</f>
        <v>CDD</v>
      </c>
      <c r="T52" s="2">
        <v>2E-92</v>
      </c>
      <c r="U52" s="2">
        <v>98.8</v>
      </c>
      <c r="V52" s="2" t="s">
        <v>715</v>
      </c>
      <c r="W52" s="10" t="s">
        <v>716</v>
      </c>
      <c r="X52" s="2" t="s">
        <v>717</v>
      </c>
      <c r="Y52" s="2" t="str">
        <f>HYPERLINK(".\links\CDD\AGAP001057-PA-CDD.txt","CDD")</f>
        <v>CDD</v>
      </c>
      <c r="Z52" s="15">
        <v>9.9999999999999998E-86</v>
      </c>
      <c r="AA52" s="2">
        <v>100</v>
      </c>
      <c r="AB52" s="13" t="s">
        <v>102</v>
      </c>
      <c r="AC52" s="13" t="str">
        <f>HYPERLINK(".\links\Sigp\AGAP001057-PA-SigP.txt","CYT")</f>
        <v>CYT</v>
      </c>
      <c r="AD52" s="2" t="s">
        <v>102</v>
      </c>
      <c r="AE52" s="2">
        <v>87.153000000000006</v>
      </c>
      <c r="AF52" s="2">
        <v>9.3699999999999992</v>
      </c>
      <c r="AG52" s="2" t="s">
        <v>102</v>
      </c>
      <c r="AH52" s="2" t="s">
        <v>102</v>
      </c>
      <c r="AI52" s="2" t="s">
        <v>611</v>
      </c>
      <c r="AJ52" s="13">
        <v>0</v>
      </c>
      <c r="AK52" s="2" t="s">
        <v>102</v>
      </c>
      <c r="AL52" s="2" t="s">
        <v>102</v>
      </c>
      <c r="AM52" s="2" t="s">
        <v>102</v>
      </c>
      <c r="AN52" s="13" t="str">
        <f>HYPERLINK(".\links\gpi\AGAP001057-PA-gpi.txt","N")</f>
        <v>N</v>
      </c>
      <c r="AO52" s="14" t="str">
        <f>HYPERLINK(".\links\netoglyc\AGAP001057-PA-netoglyc.txt","0")</f>
        <v>0</v>
      </c>
      <c r="AP52" s="13">
        <v>12.1</v>
      </c>
      <c r="AQ52" s="2">
        <v>3.7</v>
      </c>
      <c r="AR52" s="2">
        <v>3.4</v>
      </c>
      <c r="AS52" s="2" t="s">
        <v>104</v>
      </c>
      <c r="AT52" s="9" t="str">
        <f>HYPERLINK(".\links\NR-LIGHT\AGAP001057-PA-NR-LIGHT.txt","AGAP001057-PA")</f>
        <v>AGAP001057-PA</v>
      </c>
      <c r="AU52" s="2" t="str">
        <f>HYPERLINK("http://www.ncbi.nlm.nih.gov/sutils/blink.cgi?pid=XP_001230842.3","0.0")</f>
        <v>0.0</v>
      </c>
      <c r="AV52" s="2" t="str">
        <f>HYPERLINK("http://www.ncbi.nlm.nih.gov/protein/XP_001230842.3","XP_001230842.3")</f>
        <v>XP_001230842.3</v>
      </c>
      <c r="AW52" s="2">
        <v>100</v>
      </c>
      <c r="AX52" s="2">
        <v>100</v>
      </c>
      <c r="AY52" s="2">
        <v>100</v>
      </c>
      <c r="AZ52" s="2" t="s">
        <v>105</v>
      </c>
      <c r="BA52" s="9" t="str">
        <f>HYPERLINK(".\links\REFSEQ-INVERTEBRATE\AGAP001057-PA-REFSEQ-INVERTEBRATE.txt","AGAP001057-PA")</f>
        <v>AGAP001057-PA</v>
      </c>
      <c r="BB52" s="2" t="str">
        <f>HYPERLINK("http://www.ncbi.nlm.nih.gov/sutils/blink.cgi?pid=XP_001230842.3","0.0")</f>
        <v>0.0</v>
      </c>
      <c r="BC52" s="2" t="str">
        <f>HYPERLINK("http://www.ncbi.nlm.nih.gov/protein/XP_001230842.3","XP_001230842.3")</f>
        <v>XP_001230842.3</v>
      </c>
      <c r="BD52" s="2">
        <v>100</v>
      </c>
      <c r="BE52" s="2">
        <v>100</v>
      </c>
      <c r="BF52" s="2">
        <v>100</v>
      </c>
      <c r="BG52" s="2" t="s">
        <v>105</v>
      </c>
      <c r="BH52" s="9" t="str">
        <f>HYPERLINK(".\links\REFSEQ-PROTOZOA\AGAP001057-PA-REFSEQ-PROTOZOA.txt","hypothetical protein PHYSODRAFT_509429")</f>
        <v>hypothetical protein PHYSODRAFT_509429</v>
      </c>
      <c r="BI52" s="2" t="str">
        <f>HYPERLINK("http://www.ncbi.nlm.nih.gov/sutils/blink.cgi?pid=XP_009529527.1","1E-137")</f>
        <v>1E-137</v>
      </c>
      <c r="BJ52" s="2" t="str">
        <f>HYPERLINK("http://www.ncbi.nlm.nih.gov/protein/XP_009529527.1","XP_009529527.1")</f>
        <v>XP_009529527.1</v>
      </c>
      <c r="BK52" s="2">
        <v>41</v>
      </c>
      <c r="BL52" s="2">
        <v>60</v>
      </c>
      <c r="BM52" s="2">
        <v>95</v>
      </c>
      <c r="BN52" s="2" t="s">
        <v>718</v>
      </c>
      <c r="BO52" s="9" t="str">
        <f>HYPERLINK(".\links\SWISSP\AGAP001057-PA-SWISSP.txt","Probable ATP-dependent RNA helicase DDX10")</f>
        <v>Probable ATP-dependent RNA helicase DDX10</v>
      </c>
      <c r="BP52" s="2" t="str">
        <f>HYPERLINK("http://www.uniprot.org/uniprot/Q80Y44","1E-147")</f>
        <v>1E-147</v>
      </c>
      <c r="BQ52" s="2" t="str">
        <f>HYPERLINK("http://www.uniprot.org/uniprot/Q80Y44#expression","Q80Y44")</f>
        <v>Q80Y44</v>
      </c>
      <c r="BR52" s="2">
        <v>39</v>
      </c>
      <c r="BS52" s="2">
        <v>56</v>
      </c>
      <c r="BT52" s="2">
        <v>95</v>
      </c>
      <c r="BU52" s="2" t="s">
        <v>662</v>
      </c>
      <c r="BV52" s="9" t="str">
        <f>HYPERLINK(".\links\FLYBASE\AGAP001057-PA-FLYBASE.txt","FBpp0074227")</f>
        <v>FBpp0074227</v>
      </c>
      <c r="BW52" s="2" t="str">
        <f>HYPERLINK("http://flybase.org/reports/FBgn0030855#alliance_summary_container","0.0")</f>
        <v>0.0</v>
      </c>
      <c r="BX52" s="2">
        <v>826</v>
      </c>
      <c r="BY52" s="2">
        <v>46</v>
      </c>
      <c r="BZ52" s="2">
        <v>65</v>
      </c>
      <c r="CA52" s="2">
        <v>88</v>
      </c>
      <c r="CB52" s="9" t="str">
        <f>HYPERLINK(".\links\CDD\AGAP001057-PA-CDD.txt","SrmB, Superfamily II DNA and RNA helicases")</f>
        <v>SrmB, Superfamily II DNA and RNA helicases</v>
      </c>
      <c r="CC52" s="15">
        <v>2E-92</v>
      </c>
      <c r="CD52" s="2">
        <v>98.8</v>
      </c>
      <c r="CE52" s="2" t="s">
        <v>719</v>
      </c>
      <c r="CF52" s="2" t="s">
        <v>720</v>
      </c>
      <c r="CG52" s="9" t="str">
        <f>HYPERLINK(".\links\KOG\AGAP001057-PA-KOG.txt","RNA Helicase")</f>
        <v>RNA Helicase</v>
      </c>
      <c r="CH52" s="15">
        <v>0</v>
      </c>
      <c r="CI52" s="2">
        <v>99.3</v>
      </c>
      <c r="CJ52" s="2" t="s">
        <v>721</v>
      </c>
      <c r="CK52" s="2" t="s">
        <v>722</v>
      </c>
      <c r="CL52" s="9" t="str">
        <f>HYPERLINK(".\links\PFAM\AGAP001057-PA-PFAM.txt","DEAD, DEAD/DEAH box helicase")</f>
        <v>DEAD, DEAD/DEAH box helicase</v>
      </c>
      <c r="CM52" s="15">
        <v>3.0000000000000002E-47</v>
      </c>
      <c r="CN52" s="2">
        <v>103.6</v>
      </c>
      <c r="CO52" s="2" t="s">
        <v>723</v>
      </c>
      <c r="CP52" s="9" t="str">
        <f>HYPERLINK(".\links\SMART\AGAP001057-PA-SMART.txt","DEXDc, DEAD-like helicases superfamily")</f>
        <v>DEXDc, DEAD-like helicases superfamily</v>
      </c>
      <c r="CQ52" s="15">
        <v>1.9999999999999999E-38</v>
      </c>
      <c r="CR52" s="2">
        <v>95</v>
      </c>
      <c r="CS52" s="2" t="s">
        <v>429</v>
      </c>
      <c r="CT52" s="2" t="s">
        <v>715</v>
      </c>
      <c r="CU52" s="2" t="s">
        <v>715</v>
      </c>
      <c r="CV52" s="2" t="s">
        <v>715</v>
      </c>
      <c r="CW52" s="2" t="str">
        <f>HYPERLINK(".\links\pep\AGAP001057-PA-pep.txt","AGAP001057-PA")</f>
        <v>AGAP001057-PA</v>
      </c>
      <c r="CX52" s="2" t="s">
        <v>95</v>
      </c>
      <c r="CY52" s="2">
        <v>761</v>
      </c>
      <c r="CZ52" s="2" t="s">
        <v>113</v>
      </c>
      <c r="DA52" s="2" t="s">
        <v>724</v>
      </c>
      <c r="DB52" s="2">
        <v>0</v>
      </c>
      <c r="DC52" s="2">
        <v>2</v>
      </c>
      <c r="DD52" s="2" t="str">
        <f>HYPERLINK("https://www.kegg.jp/kegg-bin/search_pathway_text?map=aga&amp;keyword=AGAP001057&amp;mode=1&amp;viewImage=true","AGAP001057")</f>
        <v>AGAP001057</v>
      </c>
      <c r="DE52" s="2" t="s">
        <v>711</v>
      </c>
      <c r="DF52" s="2" t="s">
        <v>712</v>
      </c>
      <c r="DG52" s="2" t="s">
        <v>94</v>
      </c>
      <c r="DH52" s="2" t="str">
        <f>HYPERLINK("https://vectorbase.org/vectorbase/app/record/gene/AGAP001057","AGAP001057-RA")</f>
        <v>AGAP001057-RA</v>
      </c>
      <c r="DI52" s="2" t="s">
        <v>115</v>
      </c>
      <c r="DJ52" s="2">
        <v>2405</v>
      </c>
      <c r="DK52" s="2" t="str">
        <f>HYPERLINK(".\links\netoglyc\AGAP001057-PA-netoglyc.txt","0")</f>
        <v>0</v>
      </c>
      <c r="DL52" s="2">
        <v>12.1</v>
      </c>
      <c r="DM52" s="2">
        <v>3.7</v>
      </c>
      <c r="DN52" s="2">
        <v>3.4</v>
      </c>
      <c r="DO52" s="2" t="s">
        <v>104</v>
      </c>
      <c r="DP52" s="2" t="s">
        <v>725</v>
      </c>
      <c r="DQ52" s="2" t="str">
        <f>HYPERLINK(".\links\Sigp\AGAP001057-PA-SigP.txt","CYT")</f>
        <v>CYT</v>
      </c>
      <c r="DR52" s="2" t="s">
        <v>102</v>
      </c>
      <c r="DS52" s="2">
        <v>87.153000000000006</v>
      </c>
      <c r="DT52" s="2">
        <v>9.3699999999999992</v>
      </c>
      <c r="DU52" s="2" t="s">
        <v>102</v>
      </c>
      <c r="DV52" s="2" t="s">
        <v>102</v>
      </c>
      <c r="DW52" s="2" t="s">
        <v>611</v>
      </c>
      <c r="DX52" s="2">
        <v>761</v>
      </c>
      <c r="DY52" s="12">
        <v>0</v>
      </c>
      <c r="DZ52" s="2" t="s">
        <v>102</v>
      </c>
      <c r="EA52" s="2" t="s">
        <v>102</v>
      </c>
      <c r="EB52" s="2" t="s">
        <v>102</v>
      </c>
      <c r="EC52" s="2" t="str">
        <f>HYPERLINK(".\links\gpi\AGAP001057-PA-gpi.txt","Y-NoSP")</f>
        <v>Y-NoSP</v>
      </c>
      <c r="ED52" s="2">
        <v>0.25</v>
      </c>
      <c r="EF52" s="2">
        <v>9</v>
      </c>
      <c r="EG52" s="2" t="s">
        <v>102</v>
      </c>
      <c r="EH52" s="2" t="s">
        <v>102</v>
      </c>
      <c r="EI52" s="2">
        <v>12.0893561103811</v>
      </c>
      <c r="EJ52" s="2">
        <v>3.4165571616294299</v>
      </c>
      <c r="EK52" s="2">
        <v>3.67936925098555</v>
      </c>
      <c r="EL52" s="2">
        <v>7.0959264126149799</v>
      </c>
      <c r="EM52" s="2" t="s">
        <v>102</v>
      </c>
      <c r="EN52" s="2" t="s">
        <v>102</v>
      </c>
      <c r="EO52" s="2">
        <v>1</v>
      </c>
      <c r="EP52" s="2" t="s">
        <v>102</v>
      </c>
      <c r="EQ52" s="2" t="s">
        <v>102</v>
      </c>
      <c r="ER52" s="2" t="s">
        <v>102</v>
      </c>
      <c r="ES52" s="2" t="s">
        <v>102</v>
      </c>
      <c r="ET52" s="2" t="str">
        <f>HYPERLINK(".\links\REFSEQ-INVERTEBRATE\AGAP001057-PA-REFSEQ-INVERTEBRATE.txt","AGAP001057-PA")</f>
        <v>AGAP001057-PA</v>
      </c>
      <c r="EU52" s="2" t="str">
        <f>HYPERLINK("http://www.ncbi.nlm.nih.gov/sutils/blink.cgi?pid=XP_001230842.3","0.0")</f>
        <v>0.0</v>
      </c>
      <c r="EV52" s="2" t="str">
        <f>HYPERLINK("http://www.ncbi.nlm.nih.gov/protein/XP_001230842.3","XP_001230842.3")</f>
        <v>XP_001230842.3</v>
      </c>
      <c r="EW52" s="2">
        <v>100</v>
      </c>
      <c r="EX52" s="2">
        <v>100</v>
      </c>
      <c r="EY52" s="2">
        <v>100</v>
      </c>
      <c r="EZ52" s="2" t="s">
        <v>105</v>
      </c>
    </row>
    <row r="53" spans="1:156" x14ac:dyDescent="0.25">
      <c r="A53" s="2" t="s">
        <v>726</v>
      </c>
      <c r="B53" s="2">
        <v>0.41977504584450498</v>
      </c>
      <c r="C53" s="2">
        <f t="shared" si="0"/>
        <v>1.3377189529048197</v>
      </c>
      <c r="D53" s="2">
        <v>5.0710607203002898</v>
      </c>
      <c r="E53" s="2">
        <v>10.048106176212899</v>
      </c>
      <c r="F53" s="2">
        <v>1.52504639640907E-3</v>
      </c>
      <c r="G53" s="2">
        <v>3.84381898634562E-2</v>
      </c>
      <c r="H53" s="2" t="s">
        <v>93</v>
      </c>
      <c r="I53" s="2" t="s">
        <v>94</v>
      </c>
      <c r="J53" s="2" t="str">
        <f>HYPERLINK("https://vectorbase.org/vectorbase/app/record/gene/AGAP028026","AGAP028026-RA")</f>
        <v>AGAP028026-RA</v>
      </c>
      <c r="K53" s="2" t="str">
        <f>HYPERLINK(".\links\pep\AGAP028026-PA-pep.txt","AGAP028026-PA")</f>
        <v>AGAP028026-PA</v>
      </c>
      <c r="L53" s="12" t="s">
        <v>95</v>
      </c>
      <c r="M53" s="2">
        <v>169</v>
      </c>
      <c r="N53" s="2">
        <v>0</v>
      </c>
      <c r="O53" s="2">
        <v>1</v>
      </c>
      <c r="P53" s="2" t="s">
        <v>102</v>
      </c>
      <c r="Q53" s="9" t="s">
        <v>727</v>
      </c>
      <c r="R53" s="2" t="s">
        <v>196</v>
      </c>
      <c r="S53" s="2" t="str">
        <f>HYPERLINK(".\links\NR-LIGHT\AGAP028026-PA-NR-LIGHT.txt","NR-LIGHT")</f>
        <v>NR-LIGHT</v>
      </c>
      <c r="T53" s="2">
        <v>9.0000000000000004E-49</v>
      </c>
      <c r="U53" s="2">
        <v>100</v>
      </c>
      <c r="V53" s="2" t="s">
        <v>728</v>
      </c>
      <c r="W53" s="10" t="s">
        <v>729</v>
      </c>
      <c r="X53" s="2" t="s">
        <v>672</v>
      </c>
      <c r="Y53" s="2" t="str">
        <f>HYPERLINK(".\links\ARTHORPODA\AGAP028026-PA-ARTHORPODA.txt","ARTHORPODA")</f>
        <v>ARTHORPODA</v>
      </c>
      <c r="Z53" s="2">
        <v>0</v>
      </c>
      <c r="AA53" s="2">
        <v>100</v>
      </c>
      <c r="AB53" s="13" t="str">
        <f>HYPERLINK(".\links\pep\AGAP028026-PA-sulf.txt","1")</f>
        <v>1</v>
      </c>
      <c r="AC53" s="13" t="str">
        <f>HYPERLINK(".\links\Sigp\AGAP028026-PA-SigP.txt","CYT")</f>
        <v>CYT</v>
      </c>
      <c r="AD53" s="2" t="s">
        <v>102</v>
      </c>
      <c r="AE53" s="2">
        <v>19.488</v>
      </c>
      <c r="AF53" s="2">
        <v>9.69</v>
      </c>
      <c r="AG53" s="2" t="s">
        <v>102</v>
      </c>
      <c r="AH53" s="2" t="s">
        <v>102</v>
      </c>
      <c r="AI53" s="2" t="s">
        <v>211</v>
      </c>
      <c r="AJ53" s="13">
        <v>0</v>
      </c>
      <c r="AK53" s="2" t="s">
        <v>102</v>
      </c>
      <c r="AL53" s="2" t="s">
        <v>102</v>
      </c>
      <c r="AM53" s="2" t="s">
        <v>102</v>
      </c>
      <c r="AN53" s="13" t="str">
        <f>HYPERLINK(".\links\gpi\AGAP028026-PA-gpi.txt","N")</f>
        <v>N</v>
      </c>
      <c r="AO53" s="14" t="str">
        <f>HYPERLINK(".\links\netoglyc\AGAP028026-PA-netoglyc.txt","0")</f>
        <v>0</v>
      </c>
      <c r="AP53" s="13">
        <v>14.2</v>
      </c>
      <c r="AQ53" s="2">
        <v>2.4</v>
      </c>
      <c r="AR53" s="2">
        <v>1.8</v>
      </c>
      <c r="AS53" s="2" t="s">
        <v>104</v>
      </c>
      <c r="AT53" s="9" t="str">
        <f>HYPERLINK(".\links\NR-LIGHT\AGAP028026-PA-NR-LIGHT.txt","hypothetical protein AND_007862")</f>
        <v>hypothetical protein AND_007862</v>
      </c>
      <c r="AU53" s="2" t="str">
        <f>HYPERLINK("http://www.ncbi.nlm.nih.gov/sutils/blink.cgi?pid=ETN60516.1","9E-049")</f>
        <v>9E-049</v>
      </c>
      <c r="AV53" s="2" t="str">
        <f>HYPERLINK("http://www.ncbi.nlm.nih.gov/protein/ETN60516.1","ETN60516.1")</f>
        <v>ETN60516.1</v>
      </c>
      <c r="AW53" s="2">
        <v>59</v>
      </c>
      <c r="AX53" s="2">
        <v>78</v>
      </c>
      <c r="AY53" s="2">
        <v>100</v>
      </c>
      <c r="AZ53" s="2" t="s">
        <v>360</v>
      </c>
      <c r="BA53" s="9" t="str">
        <f>HYPERLINK(".\links\REFSEQ-INVERTEBRATE\AGAP028026-PA-REFSEQ-INVERTEBRATE.txt","uncharacterized protein LOC5565316")</f>
        <v>uncharacterized protein LOC5565316</v>
      </c>
      <c r="BB53" s="2" t="str">
        <f>HYPERLINK("http://www.ncbi.nlm.nih.gov/sutils/blink.cgi?pid=XP_001649661.1","2E-025")</f>
        <v>2E-025</v>
      </c>
      <c r="BC53" s="2" t="str">
        <f>HYPERLINK("http://www.ncbi.nlm.nih.gov/protein/XP_001649661.1","XP_001649661.1")</f>
        <v>XP_001649661.1</v>
      </c>
      <c r="BD53" s="2">
        <v>41</v>
      </c>
      <c r="BE53" s="2">
        <v>58</v>
      </c>
      <c r="BF53" s="2">
        <v>110</v>
      </c>
      <c r="BG53" s="2" t="s">
        <v>391</v>
      </c>
      <c r="BH53" s="9" t="str">
        <f>HYPERLINK(".\links\REFSEQ-PROTOZOA\AGAP028026-PA-REFSEQ-PROTOZOA.txt","unnamed protein product")</f>
        <v>unnamed protein product</v>
      </c>
      <c r="BI53" s="2" t="str">
        <f>HYPERLINK("http://www.ncbi.nlm.nih.gov/sutils/blink.cgi?pid=XP_005714429.1","0.006")</f>
        <v>0.006</v>
      </c>
      <c r="BJ53" s="2" t="str">
        <f>HYPERLINK("http://www.ncbi.nlm.nih.gov/protein/XP_005714429.1","XP_005714429.1")</f>
        <v>XP_005714429.1</v>
      </c>
      <c r="BK53" s="2">
        <v>23</v>
      </c>
      <c r="BL53" s="2">
        <v>41</v>
      </c>
      <c r="BM53" s="2">
        <v>24</v>
      </c>
      <c r="BN53" s="2" t="s">
        <v>322</v>
      </c>
      <c r="BO53" s="9" t="str">
        <f>HYPERLINK(".\links\SWISSP\AGAP028026-PA-SWISSP.txt","V-type ATP synthase subunit D")</f>
        <v>V-type ATP synthase subunit D</v>
      </c>
      <c r="BP53" s="2" t="str">
        <f>HYPERLINK("http://www.uniprot.org/uniprot/B9LS43","0.037")</f>
        <v>0.037</v>
      </c>
      <c r="BQ53" s="2" t="str">
        <f>HYPERLINK("http://www.uniprot.org/uniprot/B9LS43#expression","B9LS43")</f>
        <v>B9LS43</v>
      </c>
      <c r="BR53" s="2">
        <v>35</v>
      </c>
      <c r="BS53" s="2">
        <v>60</v>
      </c>
      <c r="BT53" s="2">
        <v>29</v>
      </c>
      <c r="BU53" s="2" t="s">
        <v>730</v>
      </c>
      <c r="BV53" s="9" t="str">
        <f>HYPERLINK(".\links\FLYBASE\AGAP028026-PA-FLYBASE.txt","FBpp0293708")</f>
        <v>FBpp0293708</v>
      </c>
      <c r="BW53" s="2" t="str">
        <f>HYPERLINK("http://flybase.org/reports/FBgn0261016#alliance_summary_container","6.5")</f>
        <v>6.5</v>
      </c>
      <c r="BX53" s="2">
        <v>1836</v>
      </c>
      <c r="BY53" s="2">
        <v>22</v>
      </c>
      <c r="BZ53" s="2">
        <v>47</v>
      </c>
      <c r="CA53" s="2">
        <v>6</v>
      </c>
      <c r="CB53" s="9" t="str">
        <f>HYPERLINK(".\links\CDD\AGAP028026-PA-CDD.txt","AROS, Active regulator of SIRT1, or 40S ribosomal protein S19-binding 1")</f>
        <v>AROS, Active regulator of SIRT1, or 40S ribosomal protein S19-binding 1</v>
      </c>
      <c r="CC53" s="15">
        <v>2.0000000000000002E-5</v>
      </c>
      <c r="CD53" s="2">
        <v>122.5</v>
      </c>
      <c r="CE53" s="2" t="s">
        <v>731</v>
      </c>
      <c r="CF53" s="2" t="s">
        <v>732</v>
      </c>
      <c r="CG53" s="9" t="str">
        <f>HYPERLINK(".\links\KOG\AGAP028026-PA-KOG.txt","ABC superfamily")</f>
        <v>ABC superfamily</v>
      </c>
      <c r="CH53" s="15">
        <v>0.77</v>
      </c>
      <c r="CI53" s="2">
        <v>5.4</v>
      </c>
      <c r="CJ53" s="2" t="s">
        <v>733</v>
      </c>
      <c r="CK53" s="2" t="s">
        <v>526</v>
      </c>
      <c r="CL53" s="9" t="str">
        <f>HYPERLINK(".\links\PFAM\AGAP028026-PA-PFAM.txt","AROS, Active regulator of SIRT1, or 40S ribosomal protein S19-binding 1")</f>
        <v>AROS, Active regulator of SIRT1, or 40S ribosomal protein S19-binding 1</v>
      </c>
      <c r="CM53" s="15">
        <v>5.0000000000000004E-6</v>
      </c>
      <c r="CN53" s="2">
        <v>122.5</v>
      </c>
      <c r="CO53" s="2" t="s">
        <v>731</v>
      </c>
      <c r="CP53" s="9" t="str">
        <f>HYPERLINK(".\links\SMART\AGAP028026-PA-SMART.txt","UBA_e1_C, Ubiquitin-activating enzyme e1 C-terminal domain")</f>
        <v>UBA_e1_C, Ubiquitin-activating enzyme e1 C-terminal domain</v>
      </c>
      <c r="CQ53" s="15">
        <v>2</v>
      </c>
      <c r="CR53" s="2">
        <v>25.8</v>
      </c>
      <c r="CS53" s="2" t="s">
        <v>734</v>
      </c>
      <c r="CT53" s="2" t="s">
        <v>728</v>
      </c>
      <c r="CU53" s="2" t="s">
        <v>728</v>
      </c>
      <c r="CV53" s="2" t="s">
        <v>728</v>
      </c>
      <c r="CW53" s="2" t="str">
        <f>HYPERLINK(".\links\pep\AGAP028026-PA-pep.txt","AGAP028026-PA")</f>
        <v>AGAP028026-PA</v>
      </c>
      <c r="CX53" s="2" t="s">
        <v>95</v>
      </c>
      <c r="CY53" s="2">
        <v>169</v>
      </c>
      <c r="CZ53" s="2" t="s">
        <v>113</v>
      </c>
      <c r="DA53" s="2" t="s">
        <v>735</v>
      </c>
      <c r="DB53" s="2">
        <v>0</v>
      </c>
      <c r="DC53" s="2">
        <v>1</v>
      </c>
      <c r="DD53" s="2" t="str">
        <f>HYPERLINK("https://www.kegg.jp/kegg-bin/search_pathway_text?map=aga&amp;keyword=AGAP028026&amp;mode=1&amp;viewImage=true","AGAP028026")</f>
        <v>AGAP028026</v>
      </c>
      <c r="DE53" s="2" t="s">
        <v>726</v>
      </c>
      <c r="DF53" s="2" t="s">
        <v>93</v>
      </c>
      <c r="DG53" s="2" t="s">
        <v>94</v>
      </c>
      <c r="DH53" s="2" t="str">
        <f>HYPERLINK("https://vectorbase.org/vectorbase/app/record/gene/AGAP028026","AGAP028026-RA")</f>
        <v>AGAP028026-RA</v>
      </c>
      <c r="DI53" s="2" t="s">
        <v>135</v>
      </c>
      <c r="DJ53" s="2">
        <v>637</v>
      </c>
      <c r="DK53" s="2" t="str">
        <f>HYPERLINK(".\links\netoglyc\AGAP028026-PA-netoglyc.txt","0")</f>
        <v>0</v>
      </c>
      <c r="DL53" s="2">
        <v>14.2</v>
      </c>
      <c r="DM53" s="2">
        <v>2.4</v>
      </c>
      <c r="DN53" s="2">
        <v>1.8</v>
      </c>
      <c r="DO53" s="2" t="s">
        <v>104</v>
      </c>
      <c r="DP53" s="2" t="s">
        <v>736</v>
      </c>
      <c r="DQ53" s="2" t="str">
        <f>HYPERLINK(".\links\Sigp\AGAP028026-PA-SigP.txt","CYT")</f>
        <v>CYT</v>
      </c>
      <c r="DR53" s="2" t="s">
        <v>102</v>
      </c>
      <c r="DS53" s="2">
        <v>19.488</v>
      </c>
      <c r="DT53" s="2">
        <v>9.69</v>
      </c>
      <c r="DU53" s="2" t="s">
        <v>102</v>
      </c>
      <c r="DV53" s="2" t="s">
        <v>102</v>
      </c>
      <c r="DW53" s="2" t="s">
        <v>211</v>
      </c>
      <c r="DX53" s="2">
        <v>169</v>
      </c>
      <c r="DY53" s="12">
        <v>0</v>
      </c>
      <c r="DZ53" s="2" t="s">
        <v>102</v>
      </c>
      <c r="EA53" s="2" t="s">
        <v>102</v>
      </c>
      <c r="EB53" s="2" t="s">
        <v>102</v>
      </c>
      <c r="EC53" s="2" t="str">
        <f>HYPERLINK(".\links\gpi\AGAP028026-PA-gpi.txt","Y-NoSP")</f>
        <v>Y-NoSP</v>
      </c>
      <c r="ED53" s="2">
        <v>0.38</v>
      </c>
      <c r="EF53" s="2">
        <v>0</v>
      </c>
      <c r="EG53" s="2" t="str">
        <f>HYPERLINK(".\links\pep\AGAP028026-PA-sulf.txt","1")</f>
        <v>1</v>
      </c>
      <c r="EH53" s="2" t="s">
        <v>102</v>
      </c>
      <c r="EI53" s="2">
        <v>14.2011834319527</v>
      </c>
      <c r="EJ53" s="2">
        <v>1.7751479289940799</v>
      </c>
      <c r="EK53" s="2">
        <v>2.3668639053254399</v>
      </c>
      <c r="EL53" s="2">
        <v>4.14201183431953</v>
      </c>
      <c r="EM53" s="2" t="s">
        <v>102</v>
      </c>
      <c r="EN53" s="2">
        <v>1</v>
      </c>
      <c r="EO53" s="2">
        <v>1</v>
      </c>
      <c r="EP53" s="2" t="s">
        <v>102</v>
      </c>
      <c r="EQ53" s="2" t="s">
        <v>102</v>
      </c>
      <c r="ER53" s="2" t="s">
        <v>102</v>
      </c>
      <c r="ES53" s="2" t="s">
        <v>102</v>
      </c>
      <c r="ET53" s="2" t="str">
        <f>HYPERLINK(".\links\REFSEQ-INVERTEBRATE\AGAP028026-PA-REFSEQ-INVERTEBRATE.txt","uncharacterized protein LOC118509305")</f>
        <v>uncharacterized protein LOC118509305</v>
      </c>
      <c r="EU53" s="2" t="str">
        <f>HYPERLINK("http://www.ncbi.nlm.nih.gov/sutils/blink.cgi?pid=XP_035905647.1","3E-68")</f>
        <v>3E-68</v>
      </c>
      <c r="EV53" s="2" t="str">
        <f>HYPERLINK("http://www.ncbi.nlm.nih.gov/protein/XP_035905647.1","XP_035905647.1")</f>
        <v>XP_035905647.1</v>
      </c>
      <c r="EW53" s="2">
        <v>73</v>
      </c>
      <c r="EX53" s="2">
        <v>83</v>
      </c>
      <c r="EY53" s="2">
        <v>101</v>
      </c>
      <c r="EZ53" s="2" t="s">
        <v>370</v>
      </c>
    </row>
    <row r="54" spans="1:156" x14ac:dyDescent="0.25">
      <c r="A54" s="2" t="s">
        <v>737</v>
      </c>
      <c r="B54" s="2">
        <v>0.41938957857821002</v>
      </c>
      <c r="C54" s="2">
        <f t="shared" si="0"/>
        <v>1.3373615814765734</v>
      </c>
      <c r="D54" s="2">
        <v>4.1402781624870002</v>
      </c>
      <c r="E54" s="2">
        <v>9.0139094957348505</v>
      </c>
      <c r="F54" s="2">
        <v>2.6793269895371802E-3</v>
      </c>
      <c r="G54" s="2">
        <v>4.7682441318702203E-2</v>
      </c>
      <c r="H54" s="2" t="s">
        <v>93</v>
      </c>
      <c r="I54" s="2" t="s">
        <v>94</v>
      </c>
      <c r="J54" s="2" t="str">
        <f>HYPERLINK("https://vectorbase.org/vectorbase/app/record/gene/AGAP028671","AGAP028671-RA")</f>
        <v>AGAP028671-RA</v>
      </c>
      <c r="K54" s="2" t="str">
        <f>HYPERLINK(".\links\pep\AGAP028671-PA-pep.txt","AGAP028671-PA")</f>
        <v>AGAP028671-PA</v>
      </c>
      <c r="L54" s="12" t="s">
        <v>95</v>
      </c>
      <c r="M54" s="2">
        <v>496</v>
      </c>
      <c r="N54" s="2">
        <v>0</v>
      </c>
      <c r="O54" s="2">
        <v>2</v>
      </c>
      <c r="P54" s="2" t="s">
        <v>102</v>
      </c>
      <c r="Q54" s="9" t="s">
        <v>738</v>
      </c>
      <c r="R54" s="2" t="s">
        <v>420</v>
      </c>
      <c r="S54" s="2" t="str">
        <f>HYPERLINK(".\links\KOG\AGAP028671-PA-KOG.txt","KOG")</f>
        <v>KOG</v>
      </c>
      <c r="T54" s="2">
        <v>1E-14</v>
      </c>
      <c r="U54" s="2">
        <v>62</v>
      </c>
      <c r="V54" s="2" t="s">
        <v>739</v>
      </c>
      <c r="W54" s="10" t="s">
        <v>740</v>
      </c>
      <c r="X54" s="2" t="s">
        <v>420</v>
      </c>
      <c r="Y54" s="2" t="str">
        <f>HYPERLINK(".\links\UNIPROTKB\AGAP028671-PA-UNIPROTKB.txt","UNIPROTKB")</f>
        <v>UNIPROTKB</v>
      </c>
      <c r="Z54" s="15">
        <v>2.0000000000000001E-22</v>
      </c>
      <c r="AA54" s="2">
        <v>38.9</v>
      </c>
      <c r="AB54" s="13" t="str">
        <f>HYPERLINK(".\links\pep\AGAP028671-PA-sulf.txt","2")</f>
        <v>2</v>
      </c>
      <c r="AC54" s="13" t="str">
        <f>HYPERLINK(".\links\Sigp\AGAP028671-PA-SigP.txt","CYT")</f>
        <v>CYT</v>
      </c>
      <c r="AD54" s="2" t="s">
        <v>102</v>
      </c>
      <c r="AE54" s="2">
        <v>55.96</v>
      </c>
      <c r="AF54" s="2">
        <v>5.91</v>
      </c>
      <c r="AG54" s="2" t="s">
        <v>102</v>
      </c>
      <c r="AH54" s="2" t="s">
        <v>102</v>
      </c>
      <c r="AI54" s="2" t="s">
        <v>124</v>
      </c>
      <c r="AJ54" s="13">
        <v>0</v>
      </c>
      <c r="AK54" s="2" t="s">
        <v>102</v>
      </c>
      <c r="AL54" s="2" t="s">
        <v>102</v>
      </c>
      <c r="AM54" s="2" t="s">
        <v>102</v>
      </c>
      <c r="AN54" s="9" t="str">
        <f>HYPERLINK(".\links\gpi\AGAP028671-PA-gpi.txt","N")</f>
        <v>N</v>
      </c>
      <c r="AO54" s="14" t="str">
        <f>HYPERLINK(".\links\netoglyc\AGAP028671-PA-netoglyc.txt","6")</f>
        <v>6</v>
      </c>
      <c r="AP54" s="13">
        <v>16.3</v>
      </c>
      <c r="AQ54" s="2">
        <v>5.2</v>
      </c>
      <c r="AR54" s="2">
        <v>3.6</v>
      </c>
      <c r="AS54" s="2" t="s">
        <v>104</v>
      </c>
      <c r="AT54" s="9" t="str">
        <f>HYPERLINK(".\links\NR-LIGHT\AGAP028671-PA-NR-LIGHT.txt","AGAP012919-PA, partial")</f>
        <v>AGAP012919-PA, partial</v>
      </c>
      <c r="AU54" s="2" t="str">
        <f>HYPERLINK("http://www.ncbi.nlm.nih.gov/sutils/blink.cgi?pid=XP_001687815.1","1E-124")</f>
        <v>1E-124</v>
      </c>
      <c r="AV54" s="2" t="str">
        <f>HYPERLINK("http://www.ncbi.nlm.nih.gov/protein/XP_001687815.1","XP_001687815.1")</f>
        <v>XP_001687815.1</v>
      </c>
      <c r="AW54" s="2">
        <v>98</v>
      </c>
      <c r="AX54" s="2">
        <v>99</v>
      </c>
      <c r="AY54" s="2">
        <v>100</v>
      </c>
      <c r="AZ54" s="2" t="s">
        <v>105</v>
      </c>
      <c r="BA54" s="9" t="str">
        <f>HYPERLINK(".\links\REFSEQ-INVERTEBRATE\AGAP028671-PA-REFSEQ-INVERTEBRATE.txt","AGAP012919-PA, partial")</f>
        <v>AGAP012919-PA, partial</v>
      </c>
      <c r="BB54" s="2" t="str">
        <f>HYPERLINK("http://www.ncbi.nlm.nih.gov/sutils/blink.cgi?pid=XP_001687815.1","1E-124")</f>
        <v>1E-124</v>
      </c>
      <c r="BC54" s="2" t="str">
        <f>HYPERLINK("http://www.ncbi.nlm.nih.gov/protein/XP_001687815.1","XP_001687815.1")</f>
        <v>XP_001687815.1</v>
      </c>
      <c r="BD54" s="2">
        <v>98</v>
      </c>
      <c r="BE54" s="2">
        <v>99</v>
      </c>
      <c r="BF54" s="2">
        <v>100</v>
      </c>
      <c r="BG54" s="2" t="s">
        <v>105</v>
      </c>
      <c r="BH54" s="9" t="str">
        <f>HYPERLINK(".\links\REFSEQ-PROTOZOA\AGAP028671-PA-REFSEQ-PROTOZOA.txt","zinc finger, c2h2 type family protein")</f>
        <v>zinc finger, c2h2 type family protein</v>
      </c>
      <c r="BI54" s="2" t="str">
        <f>HYPERLINK("http://www.ncbi.nlm.nih.gov/sutils/blink.cgi?pid=XP_002372116.1","1E-022")</f>
        <v>1E-022</v>
      </c>
      <c r="BJ54" s="2" t="str">
        <f>HYPERLINK("http://www.ncbi.nlm.nih.gov/protein/XP_002372116.1","XP_002372116.1")</f>
        <v>XP_002372116.1</v>
      </c>
      <c r="BK54" s="2">
        <v>27</v>
      </c>
      <c r="BL54" s="2">
        <v>48</v>
      </c>
      <c r="BM54" s="2">
        <v>71</v>
      </c>
      <c r="BN54" s="2" t="s">
        <v>741</v>
      </c>
      <c r="BO54" s="9" t="str">
        <f>HYPERLINK(".\links\SWISSP\AGAP028671-PA-SWISSP.txt","Zinc finger and BTB domain-containing protein 24")</f>
        <v>Zinc finger and BTB domain-containing protein 24</v>
      </c>
      <c r="BP54" s="2" t="str">
        <f>HYPERLINK("http://www.uniprot.org/uniprot/Q52KB5","4E-028")</f>
        <v>4E-028</v>
      </c>
      <c r="BQ54" s="2" t="str">
        <f>HYPERLINK("http://www.uniprot.org/uniprot/Q52KB5#expression","Q52KB5")</f>
        <v>Q52KB5</v>
      </c>
      <c r="BR54" s="2">
        <v>33</v>
      </c>
      <c r="BS54" s="2">
        <v>49</v>
      </c>
      <c r="BT54" s="2">
        <v>33</v>
      </c>
      <c r="BU54" s="2" t="s">
        <v>213</v>
      </c>
      <c r="BV54" s="9" t="str">
        <f>HYPERLINK(".\links\FLYBASE\AGAP028671-PA-FLYBASE.txt","FBpp0081662")</f>
        <v>FBpp0081662</v>
      </c>
      <c r="BW54" s="2" t="str">
        <f>HYPERLINK("http://flybase.org/reports/FBgn0037794#alliance_summary_container","4E-23")</f>
        <v>4E-23</v>
      </c>
      <c r="BX54" s="2">
        <v>634</v>
      </c>
      <c r="BY54" s="2">
        <v>28</v>
      </c>
      <c r="BZ54" s="2">
        <v>46</v>
      </c>
      <c r="CA54" s="2">
        <v>32</v>
      </c>
      <c r="CB54" s="9" t="str">
        <f>HYPERLINK(".\links\CDD\AGAP028671-PA-CDD.txt","ZF_C2H2, Zinc finger, C2H2 type")</f>
        <v>ZF_C2H2, Zinc finger, C2H2 type</v>
      </c>
      <c r="CC54" s="15">
        <v>2E-14</v>
      </c>
      <c r="CD54" s="2">
        <v>100</v>
      </c>
      <c r="CE54" s="2" t="s">
        <v>569</v>
      </c>
      <c r="CF54" s="2" t="s">
        <v>742</v>
      </c>
      <c r="CG54" s="9" t="str">
        <f>HYPERLINK(".\links\KOG\AGAP028671-PA-KOG.txt","C2H2-type Zn-finger protein")</f>
        <v>C2H2-type Zn-finger protein</v>
      </c>
      <c r="CH54" s="15">
        <v>1E-14</v>
      </c>
      <c r="CI54" s="2">
        <v>62</v>
      </c>
      <c r="CJ54" s="2" t="s">
        <v>743</v>
      </c>
      <c r="CK54" s="2" t="s">
        <v>309</v>
      </c>
      <c r="CL54" s="9" t="str">
        <f>HYPERLINK(".\links\PFAM\AGAP028671-PA-PFAM.txt","zf-AD, Zinc-finger associated domain (zf-AD)")</f>
        <v>zf-AD, Zinc-finger associated domain (zf-AD)</v>
      </c>
      <c r="CM54" s="15">
        <v>9.9999999999999995E-8</v>
      </c>
      <c r="CN54" s="2">
        <v>101.4</v>
      </c>
      <c r="CO54" s="2" t="s">
        <v>687</v>
      </c>
      <c r="CP54" s="9" t="str">
        <f>HYPERLINK(".\links\SMART\AGAP028671-PA-SMART.txt","zf-AD, Zinc-finger associated domain (zf-AD)")</f>
        <v>zf-AD, Zinc-finger associated domain (zf-AD)</v>
      </c>
      <c r="CQ54" s="15">
        <v>6.0000000000000003E-12</v>
      </c>
      <c r="CR54" s="2">
        <v>101.4</v>
      </c>
      <c r="CS54" s="2" t="s">
        <v>684</v>
      </c>
      <c r="CT54" s="2" t="s">
        <v>739</v>
      </c>
      <c r="CU54" s="2" t="s">
        <v>739</v>
      </c>
      <c r="CV54" s="2" t="s">
        <v>739</v>
      </c>
      <c r="CW54" s="2" t="str">
        <f>HYPERLINK(".\links\pep\AGAP028671-PA-pep.txt","AGAP028671-PA")</f>
        <v>AGAP028671-PA</v>
      </c>
      <c r="CX54" s="2" t="s">
        <v>95</v>
      </c>
      <c r="CY54" s="2">
        <v>496</v>
      </c>
      <c r="CZ54" s="2" t="s">
        <v>113</v>
      </c>
      <c r="DA54" s="2" t="s">
        <v>744</v>
      </c>
      <c r="DB54" s="2">
        <v>0</v>
      </c>
      <c r="DC54" s="2">
        <v>2</v>
      </c>
      <c r="DD54" s="2" t="str">
        <f>HYPERLINK("https://www.kegg.jp/kegg-bin/search_pathway_text?map=aga&amp;keyword=AGAP028671&amp;mode=1&amp;viewImage=true","AGAP028671")</f>
        <v>AGAP028671</v>
      </c>
      <c r="DE54" s="2" t="s">
        <v>737</v>
      </c>
      <c r="DF54" s="2" t="s">
        <v>93</v>
      </c>
      <c r="DG54" s="2" t="s">
        <v>94</v>
      </c>
      <c r="DH54" s="2" t="str">
        <f>HYPERLINK("https://vectorbase.org/vectorbase/app/record/gene/AGAP028671","AGAP028671-RA")</f>
        <v>AGAP028671-RA</v>
      </c>
      <c r="DI54" s="2" t="s">
        <v>135</v>
      </c>
      <c r="DJ54" s="2">
        <v>1642</v>
      </c>
      <c r="DK54" s="2" t="str">
        <f>HYPERLINK(".\links\netoglyc\AGAP028671-PA-netoglyc.txt","6")</f>
        <v>6</v>
      </c>
      <c r="DL54" s="2">
        <v>16.3</v>
      </c>
      <c r="DM54" s="2">
        <v>5.2</v>
      </c>
      <c r="DN54" s="2">
        <v>3.6</v>
      </c>
      <c r="DO54" s="2" t="s">
        <v>104</v>
      </c>
      <c r="DP54" s="2" t="s">
        <v>745</v>
      </c>
      <c r="DQ54" s="2" t="str">
        <f>HYPERLINK(".\links\Sigp\AGAP028671-PA-SigP.txt","CYT")</f>
        <v>CYT</v>
      </c>
      <c r="DR54" s="2" t="s">
        <v>102</v>
      </c>
      <c r="DS54" s="2">
        <v>55.96</v>
      </c>
      <c r="DT54" s="2">
        <v>5.91</v>
      </c>
      <c r="DU54" s="2" t="s">
        <v>102</v>
      </c>
      <c r="DV54" s="2" t="s">
        <v>102</v>
      </c>
      <c r="DW54" s="2" t="s">
        <v>124</v>
      </c>
      <c r="DX54" s="2">
        <v>496</v>
      </c>
      <c r="DY54" s="12">
        <v>0</v>
      </c>
      <c r="DZ54" s="2" t="s">
        <v>102</v>
      </c>
      <c r="EA54" s="2" t="s">
        <v>102</v>
      </c>
      <c r="EB54" s="2" t="s">
        <v>102</v>
      </c>
      <c r="EC54" s="2" t="str">
        <f>HYPERLINK(".\links\gpi\AGAP028671-PA-gpi.txt","Y-NoSP")</f>
        <v>Y-NoSP</v>
      </c>
      <c r="ED54" s="2">
        <v>0.23</v>
      </c>
      <c r="EF54" s="2">
        <v>23</v>
      </c>
      <c r="EG54" s="2" t="str">
        <f>HYPERLINK(".\links\pep\AGAP028671-PA-sulf.txt","2")</f>
        <v>2</v>
      </c>
      <c r="EH54" s="2" t="s">
        <v>102</v>
      </c>
      <c r="EI54" s="2">
        <v>16.330645161290299</v>
      </c>
      <c r="EJ54" s="2">
        <v>3.62903225806452</v>
      </c>
      <c r="EK54" s="2">
        <v>5.2419354838709697</v>
      </c>
      <c r="EL54" s="2">
        <v>8.8709677419354804</v>
      </c>
      <c r="EM54" s="2" t="s">
        <v>102</v>
      </c>
      <c r="EN54" s="2" t="s">
        <v>102</v>
      </c>
      <c r="EO54" s="2" t="s">
        <v>102</v>
      </c>
      <c r="EP54" s="2" t="s">
        <v>102</v>
      </c>
      <c r="EQ54" s="2" t="s">
        <v>102</v>
      </c>
      <c r="ER54" s="2" t="s">
        <v>102</v>
      </c>
      <c r="ES54" s="2" t="s">
        <v>102</v>
      </c>
      <c r="ET54" s="2" t="str">
        <f>HYPERLINK(".\links\REFSEQ-INVERTEBRATE\AGAP028671-PA-REFSEQ-INVERTEBRATE.txt","AGAP012919-PA, partial")</f>
        <v>AGAP012919-PA, partial</v>
      </c>
      <c r="EU54" s="2" t="str">
        <f>HYPERLINK("http://www.ncbi.nlm.nih.gov/sutils/blink.cgi?pid=XP_001687815.1","1E-158")</f>
        <v>1E-158</v>
      </c>
      <c r="EV54" s="2" t="str">
        <f>HYPERLINK("http://www.ncbi.nlm.nih.gov/protein/XP_001687815.1","XP_001687815.1")</f>
        <v>XP_001687815.1</v>
      </c>
      <c r="EW54" s="2">
        <v>98</v>
      </c>
      <c r="EX54" s="2">
        <v>99</v>
      </c>
      <c r="EY54" s="2">
        <v>100</v>
      </c>
      <c r="EZ54" s="2" t="s">
        <v>105</v>
      </c>
    </row>
    <row r="55" spans="1:156" x14ac:dyDescent="0.25">
      <c r="A55" s="2" t="s">
        <v>746</v>
      </c>
      <c r="B55" s="2">
        <v>0.41923449087404702</v>
      </c>
      <c r="C55" s="2">
        <f t="shared" si="0"/>
        <v>1.3372178246993094</v>
      </c>
      <c r="D55" s="2">
        <v>8.7296367649076299</v>
      </c>
      <c r="E55" s="2">
        <v>14.839699292227101</v>
      </c>
      <c r="F55" s="2">
        <v>1.17045557361201E-4</v>
      </c>
      <c r="G55" s="2">
        <v>1.1308666350927799E-2</v>
      </c>
      <c r="H55" s="2" t="s">
        <v>747</v>
      </c>
      <c r="I55" s="2" t="s">
        <v>102</v>
      </c>
      <c r="J55" s="2" t="str">
        <f>HYPERLINK("https://vectorbase.org/vectorbase/app/record/gene/AGAP010282","AGAP010282-RA")</f>
        <v>AGAP010282-RA</v>
      </c>
      <c r="K55" s="2" t="str">
        <f>HYPERLINK(".\links\pep\AGAP010282-PA-pep.txt","AGAP010282-PA")</f>
        <v>AGAP010282-PA</v>
      </c>
      <c r="L55" s="12" t="s">
        <v>95</v>
      </c>
      <c r="M55" s="2">
        <v>904</v>
      </c>
      <c r="N55" s="2">
        <v>0</v>
      </c>
      <c r="O55" s="2">
        <v>0</v>
      </c>
      <c r="P55" s="2" t="s">
        <v>748</v>
      </c>
      <c r="Q55" s="9" t="s">
        <v>749</v>
      </c>
      <c r="R55" s="2" t="s">
        <v>388</v>
      </c>
      <c r="S55" s="2" t="str">
        <f>HYPERLINK(".\links\KOG\AGAP010282-PA-KOG.txt","KOG")</f>
        <v>KOG</v>
      </c>
      <c r="T55" s="2">
        <v>3.0000000000000002E-76</v>
      </c>
      <c r="U55" s="2">
        <v>75</v>
      </c>
      <c r="V55" s="2" t="s">
        <v>750</v>
      </c>
      <c r="W55" s="10" t="s">
        <v>183</v>
      </c>
      <c r="X55" s="2" t="s">
        <v>388</v>
      </c>
      <c r="Y55" s="2" t="str">
        <f>HYPERLINK(".\links\COG\AGAP010282-PA-COG.txt","COG")</f>
        <v>COG</v>
      </c>
      <c r="Z55" s="15">
        <v>5.9999999999999999E-88</v>
      </c>
      <c r="AA55" s="2">
        <v>73.400000000000006</v>
      </c>
      <c r="AB55" s="13" t="str">
        <f>HYPERLINK(".\links\pep\AGAP010282-PA-sulf.txt","5")</f>
        <v>5</v>
      </c>
      <c r="AC55" s="13" t="str">
        <f>HYPERLINK(".\links\Sigp\AGAP010282-PA-SigP.txt","CYT")</f>
        <v>CYT</v>
      </c>
      <c r="AD55" s="2" t="s">
        <v>102</v>
      </c>
      <c r="AE55" s="2">
        <v>103.065</v>
      </c>
      <c r="AF55" s="2">
        <v>6.14</v>
      </c>
      <c r="AG55" s="2" t="s">
        <v>102</v>
      </c>
      <c r="AH55" s="2" t="s">
        <v>102</v>
      </c>
      <c r="AI55" s="2" t="s">
        <v>482</v>
      </c>
      <c r="AJ55" s="13">
        <v>0</v>
      </c>
      <c r="AK55" s="2" t="s">
        <v>102</v>
      </c>
      <c r="AL55" s="2" t="s">
        <v>102</v>
      </c>
      <c r="AM55" s="2" t="s">
        <v>102</v>
      </c>
      <c r="AN55" s="13" t="str">
        <f>HYPERLINK(".\links\gpi\AGAP010282-PA-gpi.txt","N")</f>
        <v>N</v>
      </c>
      <c r="AO55" s="14" t="str">
        <f>HYPERLINK(".\links\netoglyc\AGAP010282-PA-netoglyc.txt","0")</f>
        <v>0</v>
      </c>
      <c r="AP55" s="13">
        <v>11.1</v>
      </c>
      <c r="AQ55" s="2">
        <v>4.5999999999999996</v>
      </c>
      <c r="AR55" s="2">
        <v>3.1</v>
      </c>
      <c r="AS55" s="2" t="s">
        <v>104</v>
      </c>
      <c r="AT55" s="9" t="str">
        <f>HYPERLINK(".\links\NR-LIGHT\AGAP010282-PA-NR-LIGHT.txt","AGAP010282-PA, partial")</f>
        <v>AGAP010282-PA, partial</v>
      </c>
      <c r="AU55" s="2" t="str">
        <f>HYPERLINK("http://www.ncbi.nlm.nih.gov/sutils/blink.cgi?pid=XP_319476.4","0.0")</f>
        <v>0.0</v>
      </c>
      <c r="AV55" s="2" t="str">
        <f>HYPERLINK("http://www.ncbi.nlm.nih.gov/protein/XP_319476.4","XP_319476.4")</f>
        <v>XP_319476.4</v>
      </c>
      <c r="AW55" s="2">
        <v>100</v>
      </c>
      <c r="AX55" s="2">
        <v>100</v>
      </c>
      <c r="AY55" s="2">
        <v>100</v>
      </c>
      <c r="AZ55" s="2" t="s">
        <v>105</v>
      </c>
      <c r="BA55" s="9" t="str">
        <f>HYPERLINK(".\links\REFSEQ-INVERTEBRATE\AGAP010282-PA-REFSEQ-INVERTEBRATE.txt","AGAP010282-PA, partial")</f>
        <v>AGAP010282-PA, partial</v>
      </c>
      <c r="BB55" s="2" t="str">
        <f>HYPERLINK("http://www.ncbi.nlm.nih.gov/sutils/blink.cgi?pid=XP_319476.4","0.0")</f>
        <v>0.0</v>
      </c>
      <c r="BC55" s="2" t="str">
        <f>HYPERLINK("http://www.ncbi.nlm.nih.gov/protein/XP_319476.4","XP_319476.4")</f>
        <v>XP_319476.4</v>
      </c>
      <c r="BD55" s="2">
        <v>100</v>
      </c>
      <c r="BE55" s="2">
        <v>100</v>
      </c>
      <c r="BF55" s="2">
        <v>100</v>
      </c>
      <c r="BG55" s="2" t="s">
        <v>105</v>
      </c>
      <c r="BH55" s="9" t="str">
        <f>HYPERLINK(".\links\REFSEQ-PROTOZOA\AGAP010282-PA-REFSEQ-PROTOZOA.txt","Msh2 protein")</f>
        <v>Msh2 protein</v>
      </c>
      <c r="BI55" s="2" t="str">
        <f>HYPERLINK("http://www.ncbi.nlm.nih.gov/sutils/blink.cgi?pid=XP_004363541.2","0.0")</f>
        <v>0.0</v>
      </c>
      <c r="BJ55" s="2" t="str">
        <f>HYPERLINK("http://www.ncbi.nlm.nih.gov/protein/XP_004363541.2","XP_004363541.2")</f>
        <v>XP_004363541.2</v>
      </c>
      <c r="BK55" s="2">
        <v>43</v>
      </c>
      <c r="BL55" s="2">
        <v>64</v>
      </c>
      <c r="BM55" s="2">
        <v>96</v>
      </c>
      <c r="BN55" s="2" t="s">
        <v>106</v>
      </c>
      <c r="BO55" s="9" t="str">
        <f>HYPERLINK(".\links\SWISSP\AGAP010282-PA-SWISSP.txt","DNA mismatch repair protein spellchecker 1")</f>
        <v>DNA mismatch repair protein spellchecker 1</v>
      </c>
      <c r="BP55" s="2" t="str">
        <f>HYPERLINK("http://www.uniprot.org/uniprot/P43248","0.0")</f>
        <v>0.0</v>
      </c>
      <c r="BQ55" s="2" t="str">
        <f>HYPERLINK("http://www.uniprot.org/uniprot/P43248#expression","P43248")</f>
        <v>P43248</v>
      </c>
      <c r="BR55" s="2">
        <v>53</v>
      </c>
      <c r="BS55" s="2">
        <v>72</v>
      </c>
      <c r="BT55" s="2">
        <v>98</v>
      </c>
      <c r="BU55" s="2" t="s">
        <v>107</v>
      </c>
      <c r="BV55" s="9" t="str">
        <f>HYPERLINK(".\links\FLYBASE\AGAP010282-PA-FLYBASE.txt","FBpp0301208")</f>
        <v>FBpp0301208</v>
      </c>
      <c r="BW55" s="2" t="str">
        <f>HYPERLINK("http://flybase.org/reports/FBgn0015546#alliance_summary_container","0.0")</f>
        <v>0.0</v>
      </c>
      <c r="BX55" s="2">
        <v>917</v>
      </c>
      <c r="BY55" s="2">
        <v>53</v>
      </c>
      <c r="BZ55" s="2">
        <v>72</v>
      </c>
      <c r="CA55" s="2">
        <v>98</v>
      </c>
      <c r="CB55" s="9" t="str">
        <f>HYPERLINK(".\links\CDD\AGAP010282-PA-CDD.txt","MutS, Mismatch repair ATPase (MutS family)")</f>
        <v>MutS, Mismatch repair ATPase (MutS family)</v>
      </c>
      <c r="CC55" s="15">
        <v>1E-136</v>
      </c>
      <c r="CD55" s="2">
        <v>106.2</v>
      </c>
      <c r="CE55" s="2" t="s">
        <v>751</v>
      </c>
      <c r="CF55" s="2" t="s">
        <v>752</v>
      </c>
      <c r="CG55" s="9" t="str">
        <f>HYPERLINK(".\links\KOG\AGAP010282-PA-KOG.txt","Mismatch repair ATPase MSH2 (MutS family)")</f>
        <v>Mismatch repair ATPase MSH2 (MutS family)</v>
      </c>
      <c r="CH55" s="15">
        <v>0</v>
      </c>
      <c r="CI55" s="2">
        <v>106</v>
      </c>
      <c r="CJ55" s="2" t="s">
        <v>753</v>
      </c>
      <c r="CK55" s="2" t="s">
        <v>427</v>
      </c>
      <c r="CL55" s="9" t="str">
        <f>HYPERLINK(".\links\PFAM\AGAP010282-PA-PFAM.txt","MutS_V, MutS domain V")</f>
        <v>MutS_V, MutS domain V</v>
      </c>
      <c r="CM55" s="15">
        <v>4.9999999999999999E-86</v>
      </c>
      <c r="CN55" s="2">
        <v>99.5</v>
      </c>
      <c r="CO55" s="2" t="s">
        <v>754</v>
      </c>
      <c r="CP55" s="9" t="str">
        <f>HYPERLINK(".\links\SMART\AGAP010282-PA-SMART.txt","MUTSac, ATPase domain of DNA mismatch repair MUTS family")</f>
        <v>MUTSac, ATPase domain of DNA mismatch repair MUTS family</v>
      </c>
      <c r="CQ55" s="15">
        <v>4E-78</v>
      </c>
      <c r="CR55" s="2">
        <v>98.9</v>
      </c>
      <c r="CS55" s="2" t="s">
        <v>755</v>
      </c>
      <c r="CT55" s="2" t="s">
        <v>750</v>
      </c>
      <c r="CU55" s="2" t="s">
        <v>750</v>
      </c>
      <c r="CV55" s="2" t="s">
        <v>750</v>
      </c>
      <c r="CW55" s="2" t="str">
        <f>HYPERLINK(".\links\pep\AGAP010282-PA-pep.txt","AGAP010282-PA")</f>
        <v>AGAP010282-PA</v>
      </c>
      <c r="CX55" s="2" t="s">
        <v>95</v>
      </c>
      <c r="CY55" s="2">
        <v>904</v>
      </c>
      <c r="CZ55" s="2" t="s">
        <v>113</v>
      </c>
      <c r="DA55" s="2">
        <v>0</v>
      </c>
      <c r="DB55" s="2">
        <v>0</v>
      </c>
      <c r="DD55" s="2" t="str">
        <f>HYPERLINK("https://www.kegg.jp/kegg-bin/search_pathway_text?map=aga&amp;keyword=AGAP010282&amp;mode=1&amp;viewImage=true","AGAP010282")</f>
        <v>AGAP010282</v>
      </c>
      <c r="DE55" s="2" t="s">
        <v>746</v>
      </c>
      <c r="DF55" s="2" t="s">
        <v>747</v>
      </c>
      <c r="DG55" s="2" t="s">
        <v>102</v>
      </c>
      <c r="DH55" s="2" t="str">
        <f>HYPERLINK("https://vectorbase.org/vectorbase/app/record/gene/AGAP010282","AGAP010282-RA")</f>
        <v>AGAP010282-RA</v>
      </c>
      <c r="DI55" s="2" t="s">
        <v>115</v>
      </c>
      <c r="DJ55" s="2">
        <v>2998</v>
      </c>
      <c r="DK55" s="2" t="str">
        <f>HYPERLINK(".\links\netoglyc\AGAP010282-PA-netoglyc.txt","0")</f>
        <v>0</v>
      </c>
      <c r="DL55" s="2">
        <v>11.1</v>
      </c>
      <c r="DM55" s="2">
        <v>4.5999999999999996</v>
      </c>
      <c r="DN55" s="2">
        <v>3.1</v>
      </c>
      <c r="DO55" s="2" t="s">
        <v>104</v>
      </c>
      <c r="DP55" s="2" t="s">
        <v>102</v>
      </c>
      <c r="DQ55" s="2" t="str">
        <f>HYPERLINK(".\links\Sigp\AGAP010282-PA-SigP.txt","CYT")</f>
        <v>CYT</v>
      </c>
      <c r="DR55" s="2" t="s">
        <v>102</v>
      </c>
      <c r="DS55" s="2">
        <v>103.065</v>
      </c>
      <c r="DT55" s="2">
        <v>6.14</v>
      </c>
      <c r="DU55" s="2" t="s">
        <v>102</v>
      </c>
      <c r="DV55" s="2" t="s">
        <v>102</v>
      </c>
      <c r="DW55" s="2" t="s">
        <v>482</v>
      </c>
      <c r="DX55" s="2">
        <v>904</v>
      </c>
      <c r="DY55" s="12">
        <v>0</v>
      </c>
      <c r="DZ55" s="2" t="s">
        <v>102</v>
      </c>
      <c r="EA55" s="2" t="s">
        <v>102</v>
      </c>
      <c r="EB55" s="2" t="s">
        <v>102</v>
      </c>
      <c r="EC55" s="2" t="str">
        <f>HYPERLINK(".\links\gpi\AGAP010282-PA-gpi.txt","N")</f>
        <v>N</v>
      </c>
      <c r="ED55" s="2">
        <v>0.22</v>
      </c>
      <c r="EF55" s="2">
        <v>16</v>
      </c>
      <c r="EG55" s="2" t="str">
        <f>HYPERLINK(".\links\pep\AGAP010282-PA-sulf.txt","5")</f>
        <v>5</v>
      </c>
      <c r="EH55" s="2" t="s">
        <v>102</v>
      </c>
      <c r="EI55" s="2">
        <v>11.061946902654901</v>
      </c>
      <c r="EJ55" s="2">
        <v>3.0973451327433601</v>
      </c>
      <c r="EK55" s="2">
        <v>4.6460176991150401</v>
      </c>
      <c r="EL55" s="2">
        <v>7.74336283185841</v>
      </c>
      <c r="EM55" s="2">
        <v>1</v>
      </c>
      <c r="EN55" s="2">
        <v>3</v>
      </c>
      <c r="EO55" s="2">
        <v>5</v>
      </c>
      <c r="EP55" s="2" t="s">
        <v>102</v>
      </c>
      <c r="EQ55" s="2" t="s">
        <v>102</v>
      </c>
      <c r="ER55" s="2" t="s">
        <v>102</v>
      </c>
      <c r="ES55" s="2" t="s">
        <v>102</v>
      </c>
      <c r="ET55" s="2" t="str">
        <f>HYPERLINK(".\links\REFSEQ-INVERTEBRATE\AGAP010282-PA-REFSEQ-INVERTEBRATE.txt","AGAP010282-PA, partial")</f>
        <v>AGAP010282-PA, partial</v>
      </c>
      <c r="EU55" s="2" t="str">
        <f>HYPERLINK("http://www.ncbi.nlm.nih.gov/sutils/blink.cgi?pid=XP_319476.4","0.0")</f>
        <v>0.0</v>
      </c>
      <c r="EV55" s="2" t="str">
        <f>HYPERLINK("http://www.ncbi.nlm.nih.gov/protein/XP_319476.4","XP_319476.4")</f>
        <v>XP_319476.4</v>
      </c>
      <c r="EW55" s="2">
        <v>100</v>
      </c>
      <c r="EX55" s="2">
        <v>100</v>
      </c>
      <c r="EY55" s="2">
        <v>100</v>
      </c>
      <c r="EZ55" s="2" t="s">
        <v>105</v>
      </c>
    </row>
    <row r="56" spans="1:156" x14ac:dyDescent="0.25">
      <c r="A56" s="2" t="s">
        <v>756</v>
      </c>
      <c r="B56" s="2">
        <v>0.410560787655395</v>
      </c>
      <c r="C56" s="2">
        <f t="shared" si="0"/>
        <v>1.3292023858011723</v>
      </c>
      <c r="D56" s="2">
        <v>5.7486542150633699</v>
      </c>
      <c r="E56" s="2">
        <v>9.38849095104535</v>
      </c>
      <c r="F56" s="2">
        <v>2.1835186460809298E-3</v>
      </c>
      <c r="G56" s="2">
        <v>4.4946739881412998E-2</v>
      </c>
      <c r="H56" s="2" t="s">
        <v>757</v>
      </c>
      <c r="I56" s="2" t="s">
        <v>94</v>
      </c>
      <c r="J56" s="2" t="str">
        <f>HYPERLINK("https://vectorbase.org/vectorbase/app/record/gene/AGAP004370","AGAP004370-RA")</f>
        <v>AGAP004370-RA</v>
      </c>
      <c r="K56" s="2" t="str">
        <f>HYPERLINK(".\links\pep\AGAP004370-PA-pep.txt","AGAP004370-PA")</f>
        <v>AGAP004370-PA</v>
      </c>
      <c r="L56" s="12" t="s">
        <v>95</v>
      </c>
      <c r="M56" s="2">
        <v>112</v>
      </c>
      <c r="N56" s="2">
        <v>0</v>
      </c>
      <c r="O56" s="2">
        <v>0</v>
      </c>
      <c r="P56" s="2" t="s">
        <v>758</v>
      </c>
      <c r="Q56" s="9" t="s">
        <v>759</v>
      </c>
      <c r="R56" s="2" t="s">
        <v>420</v>
      </c>
      <c r="S56" s="2" t="str">
        <f>HYPERLINK(".\links\KOG\AGAP004370-PA-KOG.txt","KOG")</f>
        <v>KOG</v>
      </c>
      <c r="T56" s="2">
        <v>1E-41</v>
      </c>
      <c r="U56" s="2">
        <v>97.2</v>
      </c>
      <c r="V56" s="2" t="s">
        <v>760</v>
      </c>
      <c r="W56" s="10" t="s">
        <v>761</v>
      </c>
      <c r="X56" s="2" t="s">
        <v>420</v>
      </c>
      <c r="Y56" s="2" t="str">
        <f>HYPERLINK(".\links\REFSEQVERTEBRATE95\AGAP004370-PA-REFSEQVERTEBRATE95.txt","REFSEQVERTEBRATE95")</f>
        <v>REFSEQVERTEBRATE95</v>
      </c>
      <c r="Z56" s="15">
        <v>4.0000000000000001E-54</v>
      </c>
      <c r="AA56" s="2">
        <v>100</v>
      </c>
      <c r="AB56" s="13" t="s">
        <v>102</v>
      </c>
      <c r="AC56" s="13" t="str">
        <f>HYPERLINK(".\links\Sigp\AGAP004370-PA-SigP.txt","CYT")</f>
        <v>CYT</v>
      </c>
      <c r="AD56" s="2" t="s">
        <v>102</v>
      </c>
      <c r="AE56" s="2">
        <v>12.868</v>
      </c>
      <c r="AF56" s="2">
        <v>8.6199999999999992</v>
      </c>
      <c r="AG56" s="2" t="s">
        <v>102</v>
      </c>
      <c r="AH56" s="2" t="s">
        <v>102</v>
      </c>
      <c r="AI56" s="2" t="s">
        <v>291</v>
      </c>
      <c r="AJ56" s="13">
        <v>0</v>
      </c>
      <c r="AK56" s="2" t="s">
        <v>102</v>
      </c>
      <c r="AL56" s="2" t="s">
        <v>102</v>
      </c>
      <c r="AM56" s="2" t="s">
        <v>102</v>
      </c>
      <c r="AN56" s="13" t="str">
        <f>HYPERLINK(".\links\gpi\AGAP004370-PA-gpi.txt","N")</f>
        <v>N</v>
      </c>
      <c r="AO56" s="14" t="str">
        <f>HYPERLINK(".\links\netoglyc\AGAP004370-PA-netoglyc.txt","1")</f>
        <v>1</v>
      </c>
      <c r="AP56" s="13">
        <v>13.4</v>
      </c>
      <c r="AQ56" s="2">
        <v>3.6</v>
      </c>
      <c r="AR56" s="2">
        <v>1.8</v>
      </c>
      <c r="AS56" s="2" t="s">
        <v>104</v>
      </c>
      <c r="AT56" s="9" t="str">
        <f>HYPERLINK(".\links\NR-LIGHT\AGAP004370-PA-NR-LIGHT.txt","AGAP004370-PA")</f>
        <v>AGAP004370-PA</v>
      </c>
      <c r="AU56" s="2" t="str">
        <f>HYPERLINK("http://www.ncbi.nlm.nih.gov/sutils/blink.cgi?pid=XP_313653.4","9E-058")</f>
        <v>9E-058</v>
      </c>
      <c r="AV56" s="2" t="str">
        <f>HYPERLINK("http://www.ncbi.nlm.nih.gov/protein/XP_313653.4","XP_313653.4")</f>
        <v>XP_313653.4</v>
      </c>
      <c r="AW56" s="2">
        <v>100</v>
      </c>
      <c r="AX56" s="2">
        <v>100</v>
      </c>
      <c r="AY56" s="2">
        <v>100</v>
      </c>
      <c r="AZ56" s="2" t="s">
        <v>105</v>
      </c>
      <c r="BA56" s="9" t="str">
        <f>HYPERLINK(".\links\REFSEQ-INVERTEBRATE\AGAP004370-PA-REFSEQ-INVERTEBRATE.txt","AGAP004370-PA")</f>
        <v>AGAP004370-PA</v>
      </c>
      <c r="BB56" s="2" t="str">
        <f>HYPERLINK("http://www.ncbi.nlm.nih.gov/sutils/blink.cgi?pid=XP_313653.4","8E-058")</f>
        <v>8E-058</v>
      </c>
      <c r="BC56" s="2" t="str">
        <f>HYPERLINK("http://www.ncbi.nlm.nih.gov/protein/XP_313653.4","XP_313653.4")</f>
        <v>XP_313653.4</v>
      </c>
      <c r="BD56" s="2">
        <v>100</v>
      </c>
      <c r="BE56" s="2">
        <v>100</v>
      </c>
      <c r="BF56" s="2">
        <v>100</v>
      </c>
      <c r="BG56" s="2" t="s">
        <v>105</v>
      </c>
      <c r="BH56" s="9" t="str">
        <f>HYPERLINK(".\links\REFSEQ-PROTOZOA\AGAP004370-PA-REFSEQ-PROTOZOA.txt","transcription initiation factor IIA gamma chain")</f>
        <v>transcription initiation factor IIA gamma chain</v>
      </c>
      <c r="BI56" s="2" t="str">
        <f>HYPERLINK("http://www.ncbi.nlm.nih.gov/sutils/blink.cgi?pid=XP_020431397.1","6E-024")</f>
        <v>6E-024</v>
      </c>
      <c r="BJ56" s="2" t="str">
        <f>HYPERLINK("http://www.ncbi.nlm.nih.gov/protein/XP_020431397.1","XP_020431397.1")</f>
        <v>XP_020431397.1</v>
      </c>
      <c r="BK56" s="2">
        <v>54</v>
      </c>
      <c r="BL56" s="2">
        <v>73</v>
      </c>
      <c r="BM56" s="2">
        <v>79</v>
      </c>
      <c r="BN56" s="2" t="s">
        <v>762</v>
      </c>
      <c r="BO56" s="9" t="str">
        <f>HYPERLINK(".\links\SWISSP\AGAP004370-PA-SWISSP.txt","Transcription initiation factor IIA subunit 2")</f>
        <v>Transcription initiation factor IIA subunit 2</v>
      </c>
      <c r="BP56" s="2" t="str">
        <f>HYPERLINK("http://www.uniprot.org/uniprot/P52656","2E-046")</f>
        <v>2E-046</v>
      </c>
      <c r="BQ56" s="2" t="str">
        <f>HYPERLINK("http://www.uniprot.org/uniprot/P52656#expression","P52656")</f>
        <v>P52656</v>
      </c>
      <c r="BR56" s="2">
        <v>86</v>
      </c>
      <c r="BS56" s="2">
        <v>93</v>
      </c>
      <c r="BT56" s="2">
        <v>97</v>
      </c>
      <c r="BU56" s="2" t="s">
        <v>107</v>
      </c>
      <c r="BV56" s="9" t="str">
        <f>HYPERLINK(".\links\FLYBASE\AGAP004370-PA-FLYBASE.txt","FBpp0083912")</f>
        <v>FBpp0083912</v>
      </c>
      <c r="BW56" s="2" t="str">
        <f>HYPERLINK("http://flybase.org/reports/FBgn0013347#alliance_summary_container","4E-64")</f>
        <v>4E-64</v>
      </c>
      <c r="BX56" s="2">
        <v>106</v>
      </c>
      <c r="BY56" s="2">
        <v>86</v>
      </c>
      <c r="BZ56" s="2">
        <v>93</v>
      </c>
      <c r="CA56" s="2">
        <v>97</v>
      </c>
      <c r="CB56" s="9" t="str">
        <f>HYPERLINK(".\links\CDD\AGAP004370-PA-CDD.txt","TFIIA_gamma_N, Transcription initiation factor IIA, gamma subunit, helical domain")</f>
        <v>TFIIA_gamma_N, Transcription initiation factor IIA, gamma subunit, helical domain</v>
      </c>
      <c r="CC56" s="15">
        <v>3.0000000000000003E-20</v>
      </c>
      <c r="CD56" s="2">
        <v>100</v>
      </c>
      <c r="CE56" s="2" t="s">
        <v>763</v>
      </c>
      <c r="CF56" s="2" t="s">
        <v>764</v>
      </c>
      <c r="CG56" s="9" t="str">
        <f>HYPERLINK(".\links\KOG\AGAP004370-PA-KOG.txt","gamma subunit")</f>
        <v>gamma subunit</v>
      </c>
      <c r="CH56" s="15">
        <v>1E-41</v>
      </c>
      <c r="CI56" s="2">
        <v>97.2</v>
      </c>
      <c r="CJ56" s="2" t="s">
        <v>765</v>
      </c>
      <c r="CK56" s="2" t="s">
        <v>309</v>
      </c>
      <c r="CL56" s="9" t="str">
        <f>HYPERLINK(".\links\PFAM\AGAP004370-PA-PFAM.txt","TFIIA_gamma_N, Transcription initiation factor IIA, gamma subunit, helical domain")</f>
        <v>TFIIA_gamma_N, Transcription initiation factor IIA, gamma subunit, helical domain</v>
      </c>
      <c r="CM56" s="15">
        <v>7.0000000000000007E-21</v>
      </c>
      <c r="CN56" s="2">
        <v>100</v>
      </c>
      <c r="CO56" s="2" t="s">
        <v>763</v>
      </c>
      <c r="CP56" s="9" t="str">
        <f>HYPERLINK(".\links\SMART\AGAP004370-PA-SMART.txt","RelA_SpoT, Region found in RelA / SpoT proteins")</f>
        <v>RelA_SpoT, Region found in RelA / SpoT proteins</v>
      </c>
      <c r="CQ56" s="15">
        <v>0.33</v>
      </c>
      <c r="CR56" s="2">
        <v>19.8</v>
      </c>
      <c r="CS56" s="2" t="s">
        <v>766</v>
      </c>
      <c r="CT56" s="2" t="s">
        <v>760</v>
      </c>
      <c r="CU56" s="2" t="s">
        <v>760</v>
      </c>
      <c r="CV56" s="2" t="s">
        <v>760</v>
      </c>
      <c r="CW56" s="2" t="str">
        <f>HYPERLINK(".\links\pep\AGAP004370-PA-pep.txt","AGAP004370-PA")</f>
        <v>AGAP004370-PA</v>
      </c>
      <c r="CX56" s="2" t="s">
        <v>95</v>
      </c>
      <c r="CY56" s="2">
        <v>112</v>
      </c>
      <c r="CZ56" s="2" t="s">
        <v>113</v>
      </c>
      <c r="DA56" s="2" t="s">
        <v>767</v>
      </c>
      <c r="DB56" s="2">
        <v>0</v>
      </c>
      <c r="DC56" s="2">
        <v>0</v>
      </c>
      <c r="DD56" s="2" t="str">
        <f>HYPERLINK("https://www.kegg.jp/kegg-bin/search_pathway_text?map=aga&amp;keyword=AGAP004370&amp;mode=1&amp;viewImage=true","AGAP004370")</f>
        <v>AGAP004370</v>
      </c>
      <c r="DE56" s="2" t="s">
        <v>756</v>
      </c>
      <c r="DF56" s="2" t="s">
        <v>757</v>
      </c>
      <c r="DG56" s="2" t="s">
        <v>94</v>
      </c>
      <c r="DH56" s="2" t="str">
        <f>HYPERLINK("https://vectorbase.org/vectorbase/app/record/gene/AGAP004370","AGAP004370-RA")</f>
        <v>AGAP004370-RA</v>
      </c>
      <c r="DI56" s="2" t="s">
        <v>135</v>
      </c>
      <c r="DJ56" s="2">
        <v>769</v>
      </c>
      <c r="DK56" s="2" t="str">
        <f>HYPERLINK(".\links\netoglyc\AGAP004370-PA-netoglyc.txt","1")</f>
        <v>1</v>
      </c>
      <c r="DL56" s="2">
        <v>13.4</v>
      </c>
      <c r="DM56" s="2">
        <v>3.6</v>
      </c>
      <c r="DN56" s="2">
        <v>1.8</v>
      </c>
      <c r="DO56" s="2" t="s">
        <v>104</v>
      </c>
      <c r="DP56" s="2" t="s">
        <v>102</v>
      </c>
      <c r="DQ56" s="2" t="str">
        <f>HYPERLINK(".\links\Sigp\AGAP004370-PA-SigP.txt","CYT")</f>
        <v>CYT</v>
      </c>
      <c r="DR56" s="2" t="s">
        <v>102</v>
      </c>
      <c r="DS56" s="2">
        <v>12.885</v>
      </c>
      <c r="DT56" s="2">
        <v>8.6199999999999992</v>
      </c>
      <c r="DU56" s="2" t="s">
        <v>102</v>
      </c>
      <c r="DV56" s="2" t="s">
        <v>102</v>
      </c>
      <c r="DW56" s="2" t="s">
        <v>291</v>
      </c>
      <c r="DX56" s="2">
        <v>112</v>
      </c>
      <c r="DY56" s="12">
        <v>0</v>
      </c>
      <c r="DZ56" s="2" t="s">
        <v>102</v>
      </c>
      <c r="EA56" s="2" t="s">
        <v>102</v>
      </c>
      <c r="EB56" s="2" t="s">
        <v>102</v>
      </c>
      <c r="EC56" s="2" t="str">
        <f>HYPERLINK(".\links\gpi\AGAP004370-PA-gpi.txt","N")</f>
        <v>N</v>
      </c>
      <c r="ED56" s="2">
        <v>0.31</v>
      </c>
      <c r="EF56" s="2">
        <v>2</v>
      </c>
      <c r="EG56" s="2" t="s">
        <v>102</v>
      </c>
      <c r="EH56" s="2" t="s">
        <v>102</v>
      </c>
      <c r="EI56" s="2">
        <v>13.3928571428571</v>
      </c>
      <c r="EJ56" s="2">
        <v>1.78571428571429</v>
      </c>
      <c r="EK56" s="2">
        <v>3.5714285714285698</v>
      </c>
      <c r="EL56" s="2">
        <v>5.3571428571428603</v>
      </c>
      <c r="EM56" s="2" t="s">
        <v>102</v>
      </c>
      <c r="EN56" s="2" t="s">
        <v>102</v>
      </c>
      <c r="EO56" s="2" t="s">
        <v>102</v>
      </c>
      <c r="EP56" s="2" t="s">
        <v>102</v>
      </c>
      <c r="EQ56" s="2" t="s">
        <v>102</v>
      </c>
      <c r="ER56" s="2" t="s">
        <v>102</v>
      </c>
      <c r="ES56" s="2" t="s">
        <v>102</v>
      </c>
      <c r="ET56" s="2" t="str">
        <f>HYPERLINK(".\links\REFSEQ-INVERTEBRATE\AGAP004370-PA-REFSEQ-INVERTEBRATE.txt","AGAP004370-PA")</f>
        <v>AGAP004370-PA</v>
      </c>
      <c r="EU56" s="2" t="str">
        <f>HYPERLINK("http://www.ncbi.nlm.nih.gov/sutils/blink.cgi?pid=XP_313653.4","3E-79")</f>
        <v>3E-79</v>
      </c>
      <c r="EV56" s="2" t="str">
        <f>HYPERLINK("http://www.ncbi.nlm.nih.gov/protein/XP_313653.4","XP_313653.4")</f>
        <v>XP_313653.4</v>
      </c>
      <c r="EW56" s="2">
        <v>100</v>
      </c>
      <c r="EX56" s="2">
        <v>100</v>
      </c>
      <c r="EY56" s="2">
        <v>100</v>
      </c>
      <c r="EZ56" s="2" t="s">
        <v>105</v>
      </c>
    </row>
    <row r="57" spans="1:156" x14ac:dyDescent="0.25">
      <c r="A57" s="2" t="s">
        <v>768</v>
      </c>
      <c r="B57" s="2">
        <v>0.40932017943986598</v>
      </c>
      <c r="C57" s="2">
        <f t="shared" si="0"/>
        <v>1.3280598639648535</v>
      </c>
      <c r="D57" s="2">
        <v>5.73404913285394</v>
      </c>
      <c r="E57" s="2">
        <v>12.6800390530478</v>
      </c>
      <c r="F57" s="2">
        <v>3.6957985091737799E-4</v>
      </c>
      <c r="G57" s="2">
        <v>2.1768426261281001E-2</v>
      </c>
      <c r="H57" s="2" t="s">
        <v>93</v>
      </c>
      <c r="I57" s="2" t="s">
        <v>94</v>
      </c>
      <c r="J57" s="2" t="str">
        <f>HYPERLINK("https://vectorbase.org/vectorbase/app/record/gene/AGAP012537","AGAP012537-RA")</f>
        <v>AGAP012537-RA</v>
      </c>
      <c r="K57" s="2" t="str">
        <f>HYPERLINK(".\links\pep\AGAP012537-PA-pep.txt","AGAP012537-PA")</f>
        <v>AGAP012537-PA</v>
      </c>
      <c r="L57" s="12" t="s">
        <v>95</v>
      </c>
      <c r="M57" s="2">
        <v>175</v>
      </c>
      <c r="N57" s="2">
        <v>0</v>
      </c>
      <c r="O57" s="2">
        <v>1</v>
      </c>
      <c r="P57" s="2" t="s">
        <v>102</v>
      </c>
      <c r="Q57" s="9" t="s">
        <v>769</v>
      </c>
      <c r="R57" s="2" t="s">
        <v>196</v>
      </c>
      <c r="S57" s="2" t="str">
        <f>HYPERLINK(".\links\REFSEQ-INVERTEBRATE\AGAP012537-PA-REFSEQ-INVERTEBRATE.txt","REFSEQ-INVERTEBRATE")</f>
        <v>REFSEQ-INVERTEBRATE</v>
      </c>
      <c r="T57" s="2">
        <v>1.9999999999999998E-93</v>
      </c>
      <c r="U57" s="2">
        <v>100</v>
      </c>
      <c r="V57" s="2" t="s">
        <v>769</v>
      </c>
      <c r="W57" s="10" t="s">
        <v>770</v>
      </c>
      <c r="X57" s="2" t="s">
        <v>771</v>
      </c>
      <c r="Y57" s="2" t="str">
        <f>HYPERLINK(".\links\ARTHORPODA\AGAP012537-PA-ARTHORPODA.txt","ARTHORPODA")</f>
        <v>ARTHORPODA</v>
      </c>
      <c r="Z57" s="15">
        <v>0</v>
      </c>
      <c r="AA57" s="2">
        <v>68</v>
      </c>
      <c r="AB57" s="13" t="s">
        <v>102</v>
      </c>
      <c r="AC57" s="13" t="str">
        <f>HYPERLINK(".\links\Sigp\AGAP012537-PA-SigP.txt","CYT")</f>
        <v>CYT</v>
      </c>
      <c r="AD57" s="2" t="s">
        <v>102</v>
      </c>
      <c r="AE57" s="2">
        <v>19.838999999999999</v>
      </c>
      <c r="AF57" s="2">
        <v>8.74</v>
      </c>
      <c r="AG57" s="2" t="s">
        <v>102</v>
      </c>
      <c r="AH57" s="2" t="s">
        <v>102</v>
      </c>
      <c r="AI57" s="2" t="s">
        <v>650</v>
      </c>
      <c r="AJ57" s="13">
        <v>0</v>
      </c>
      <c r="AK57" s="2" t="s">
        <v>102</v>
      </c>
      <c r="AL57" s="2" t="s">
        <v>102</v>
      </c>
      <c r="AM57" s="2" t="s">
        <v>102</v>
      </c>
      <c r="AN57" s="13" t="str">
        <f>HYPERLINK(".\links\gpi\AGAP012537-PA-gpi.txt","N")</f>
        <v>N</v>
      </c>
      <c r="AO57" s="14" t="str">
        <f>HYPERLINK(".\links\netoglyc\AGAP012537-PA-netoglyc.txt","1")</f>
        <v>1</v>
      </c>
      <c r="AP57" s="13">
        <v>9.6999999999999993</v>
      </c>
      <c r="AQ57" s="2">
        <v>5.0999999999999996</v>
      </c>
      <c r="AR57" s="2">
        <v>4</v>
      </c>
      <c r="AS57" s="2" t="s">
        <v>104</v>
      </c>
      <c r="AT57" s="9" t="str">
        <f>HYPERLINK(".\links\NR-LIGHT\AGAP012537-PA-NR-LIGHT.txt","AGAP012537-PA")</f>
        <v>AGAP012537-PA</v>
      </c>
      <c r="AU57" s="2" t="str">
        <f>HYPERLINK("http://www.ncbi.nlm.nih.gov/sutils/blink.cgi?pid=XP_307605.4","2E-093")</f>
        <v>2E-093</v>
      </c>
      <c r="AV57" s="2" t="str">
        <f>HYPERLINK("http://www.ncbi.nlm.nih.gov/protein/XP_307605.4","XP_307605.4")</f>
        <v>XP_307605.4</v>
      </c>
      <c r="AW57" s="2">
        <v>100</v>
      </c>
      <c r="AX57" s="2">
        <v>100</v>
      </c>
      <c r="AY57" s="2">
        <v>100</v>
      </c>
      <c r="AZ57" s="2" t="s">
        <v>105</v>
      </c>
      <c r="BA57" s="9" t="str">
        <f>HYPERLINK(".\links\REFSEQ-INVERTEBRATE\AGAP012537-PA-REFSEQ-INVERTEBRATE.txt","AGAP012537-PA")</f>
        <v>AGAP012537-PA</v>
      </c>
      <c r="BB57" s="2" t="str">
        <f>HYPERLINK("http://www.ncbi.nlm.nih.gov/sutils/blink.cgi?pid=XP_307605.4","2E-093")</f>
        <v>2E-093</v>
      </c>
      <c r="BC57" s="2" t="str">
        <f>HYPERLINK("http://www.ncbi.nlm.nih.gov/protein/XP_307605.4","XP_307605.4")</f>
        <v>XP_307605.4</v>
      </c>
      <c r="BD57" s="2">
        <v>100</v>
      </c>
      <c r="BE57" s="2">
        <v>100</v>
      </c>
      <c r="BF57" s="2">
        <v>100</v>
      </c>
      <c r="BG57" s="2" t="s">
        <v>105</v>
      </c>
      <c r="BH57" s="9" t="str">
        <f>HYPERLINK(".\links\REFSEQ-PROTOZOA\AGAP012537-PA-REFSEQ-PROTOZOA.txt","N-ethylmaleimide-sensitive factor b")</f>
        <v>N-ethylmaleimide-sensitive factor b</v>
      </c>
      <c r="BI57" s="2" t="str">
        <f>HYPERLINK("http://www.ncbi.nlm.nih.gov/sutils/blink.cgi?pid=XP_004363563.1","7E-031")</f>
        <v>7E-031</v>
      </c>
      <c r="BJ57" s="2" t="str">
        <f>HYPERLINK("http://www.ncbi.nlm.nih.gov/protein/XP_004363563.1","XP_004363563.1")</f>
        <v>XP_004363563.1</v>
      </c>
      <c r="BK57" s="2">
        <v>45</v>
      </c>
      <c r="BL57" s="2">
        <v>61</v>
      </c>
      <c r="BM57" s="2">
        <v>22</v>
      </c>
      <c r="BN57" s="2" t="s">
        <v>106</v>
      </c>
      <c r="BO57" s="9" t="str">
        <f>HYPERLINK(".\links\SWISSP\AGAP012537-PA-SWISSP.txt","Vesicle-fusing ATPase 1")</f>
        <v>Vesicle-fusing ATPase 1</v>
      </c>
      <c r="BP57" s="2" t="str">
        <f>HYPERLINK("http://www.uniprot.org/uniprot/P46461","4E-064")</f>
        <v>4E-064</v>
      </c>
      <c r="BQ57" s="2" t="str">
        <f>HYPERLINK("http://www.uniprot.org/uniprot/P46461#expression","P46461")</f>
        <v>P46461</v>
      </c>
      <c r="BR57" s="2">
        <v>69</v>
      </c>
      <c r="BS57" s="2">
        <v>85</v>
      </c>
      <c r="BT57" s="2">
        <v>23</v>
      </c>
      <c r="BU57" s="2" t="s">
        <v>107</v>
      </c>
      <c r="BV57" s="9" t="str">
        <f>HYPERLINK(".\links\FLYBASE\AGAP012537-PA-FLYBASE.txt","FBpp0305521")</f>
        <v>FBpp0305521</v>
      </c>
      <c r="BW57" s="2" t="str">
        <f>HYPERLINK("http://flybase.org/reports/FBgn0000346#alliance_summary_container","5E-81")</f>
        <v>5E-81</v>
      </c>
      <c r="BX57" s="2">
        <v>745</v>
      </c>
      <c r="BY57" s="2">
        <v>69</v>
      </c>
      <c r="BZ57" s="2">
        <v>85</v>
      </c>
      <c r="CA57" s="2">
        <v>23</v>
      </c>
      <c r="CB57" s="9" t="str">
        <f>HYPERLINK(".\links\CDD\AGAP012537-PA-CDD.txt","AAA, ATPases associated with a variety of cellular activities")</f>
        <v>AAA, ATPases associated with a variety of cellular activities</v>
      </c>
      <c r="CC57" s="15">
        <v>5.0000000000000001E-4</v>
      </c>
      <c r="CD57" s="2">
        <v>64.900000000000006</v>
      </c>
      <c r="CE57" s="2" t="s">
        <v>772</v>
      </c>
      <c r="CF57" s="2" t="s">
        <v>773</v>
      </c>
      <c r="CG57" s="9" t="str">
        <f>HYPERLINK(".\links\KOG\AGAP012537-PA-KOG.txt","AAA+-type ATPase")</f>
        <v>AAA+-type ATPase</v>
      </c>
      <c r="CH57" s="15">
        <v>5.0000000000000002E-63</v>
      </c>
      <c r="CI57" s="2">
        <v>22.7</v>
      </c>
      <c r="CJ57" s="2" t="s">
        <v>774</v>
      </c>
      <c r="CK57" s="2" t="s">
        <v>111</v>
      </c>
      <c r="CL57" s="9" t="str">
        <f>HYPERLINK(".\links\PFAM\AGAP012537-PA-PFAM.txt","AAA, ATPase family associated with various cellular activities (AAA)")</f>
        <v>AAA, ATPase family associated with various cellular activities (AAA)</v>
      </c>
      <c r="CM57" s="15">
        <v>7.0000000000000001E-3</v>
      </c>
      <c r="CN57" s="2">
        <v>72.3</v>
      </c>
      <c r="CO57" s="2" t="s">
        <v>775</v>
      </c>
      <c r="CP57" s="9" t="str">
        <f>HYPERLINK(".\links\SMART\AGAP012537-PA-SMART.txt","AAA, ATPases associated with a variety of cellular activities")</f>
        <v>AAA, ATPases associated with a variety of cellular activities</v>
      </c>
      <c r="CQ57" s="15">
        <v>6.0000000000000002E-6</v>
      </c>
      <c r="CR57" s="2">
        <v>64.900000000000006</v>
      </c>
      <c r="CS57" s="2" t="s">
        <v>772</v>
      </c>
      <c r="CT57" s="2" t="s">
        <v>769</v>
      </c>
      <c r="CU57" s="2" t="s">
        <v>769</v>
      </c>
      <c r="CV57" s="2" t="s">
        <v>769</v>
      </c>
      <c r="CW57" s="2" t="str">
        <f>HYPERLINK(".\links\pep\AGAP012537-PA-pep.txt","AGAP012537-PA")</f>
        <v>AGAP012537-PA</v>
      </c>
      <c r="CX57" s="2" t="s">
        <v>95</v>
      </c>
      <c r="CY57" s="2">
        <v>175</v>
      </c>
      <c r="CZ57" s="2" t="s">
        <v>113</v>
      </c>
      <c r="DA57" s="2" t="s">
        <v>776</v>
      </c>
      <c r="DB57" s="2">
        <v>0</v>
      </c>
      <c r="DC57" s="2">
        <v>1</v>
      </c>
      <c r="DD57" s="2" t="str">
        <f>HYPERLINK("https://www.kegg.jp/kegg-bin/search_pathway_text?map=aga&amp;keyword=AGAP012537&amp;mode=1&amp;viewImage=true","AGAP012537")</f>
        <v>AGAP012537</v>
      </c>
      <c r="DE57" s="2" t="s">
        <v>768</v>
      </c>
      <c r="DF57" s="2" t="s">
        <v>93</v>
      </c>
      <c r="DG57" s="2" t="s">
        <v>94</v>
      </c>
      <c r="DH57" s="2" t="str">
        <f>HYPERLINK("https://vectorbase.org/vectorbase/app/record/gene/AGAP012537","AGAP012537-RA")</f>
        <v>AGAP012537-RA</v>
      </c>
      <c r="DI57" s="2" t="s">
        <v>115</v>
      </c>
      <c r="DJ57" s="2">
        <v>781</v>
      </c>
      <c r="DK57" s="2" t="str">
        <f>HYPERLINK(".\links\netoglyc\AGAP012537-PA-netoglyc.txt","1")</f>
        <v>1</v>
      </c>
      <c r="DL57" s="2">
        <v>9.6999999999999993</v>
      </c>
      <c r="DM57" s="2">
        <v>5.0999999999999996</v>
      </c>
      <c r="DN57" s="2">
        <v>4</v>
      </c>
      <c r="DO57" s="2" t="s">
        <v>104</v>
      </c>
      <c r="DP57" s="2" t="s">
        <v>102</v>
      </c>
      <c r="DQ57" s="2" t="str">
        <f>HYPERLINK(".\links\Sigp\AGAP012537-PA-SigP.txt","CYT")</f>
        <v>CYT</v>
      </c>
      <c r="DR57" s="2" t="s">
        <v>102</v>
      </c>
      <c r="DS57" s="2">
        <v>19.838999999999999</v>
      </c>
      <c r="DT57" s="2">
        <v>8.74</v>
      </c>
      <c r="DU57" s="2" t="s">
        <v>102</v>
      </c>
      <c r="DV57" s="2" t="s">
        <v>102</v>
      </c>
      <c r="DW57" s="2" t="s">
        <v>650</v>
      </c>
      <c r="DX57" s="2">
        <v>175</v>
      </c>
      <c r="DY57" s="12">
        <v>0</v>
      </c>
      <c r="DZ57" s="2" t="s">
        <v>102</v>
      </c>
      <c r="EA57" s="2" t="s">
        <v>102</v>
      </c>
      <c r="EB57" s="2" t="s">
        <v>102</v>
      </c>
      <c r="EC57" s="2" t="str">
        <f>HYPERLINK(".\links\gpi\AGAP012537-PA-gpi.txt","N")</f>
        <v>N</v>
      </c>
      <c r="ED57" s="2">
        <v>0.28000000000000003</v>
      </c>
      <c r="EF57" s="2">
        <v>3</v>
      </c>
      <c r="EG57" s="2" t="s">
        <v>102</v>
      </c>
      <c r="EH57" s="2" t="s">
        <v>102</v>
      </c>
      <c r="EI57" s="2">
        <v>9.71428571428571</v>
      </c>
      <c r="EJ57" s="2">
        <v>4</v>
      </c>
      <c r="EK57" s="2">
        <v>5.1428571428571397</v>
      </c>
      <c r="EL57" s="2">
        <v>9.1428571428571406</v>
      </c>
      <c r="EM57" s="2" t="s">
        <v>102</v>
      </c>
      <c r="EN57" s="2">
        <v>2</v>
      </c>
      <c r="EO57" s="2">
        <v>2</v>
      </c>
      <c r="EP57" s="2" t="s">
        <v>102</v>
      </c>
      <c r="EQ57" s="2" t="s">
        <v>102</v>
      </c>
      <c r="ER57" s="2" t="s">
        <v>102</v>
      </c>
      <c r="ES57" s="2" t="s">
        <v>102</v>
      </c>
      <c r="ET57" s="2" t="str">
        <f>HYPERLINK(".\links\REFSEQ-INVERTEBRATE\AGAP012537-PA-REFSEQ-INVERTEBRATE.txt","AGAP012537-PA")</f>
        <v>AGAP012537-PA</v>
      </c>
      <c r="EU57" s="2" t="str">
        <f>HYPERLINK("http://www.ncbi.nlm.nih.gov/sutils/blink.cgi?pid=XP_307605.4","1E-126")</f>
        <v>1E-126</v>
      </c>
      <c r="EV57" s="2" t="str">
        <f>HYPERLINK("http://www.ncbi.nlm.nih.gov/protein/XP_307605.4","XP_307605.4")</f>
        <v>XP_307605.4</v>
      </c>
      <c r="EW57" s="2">
        <v>100</v>
      </c>
      <c r="EX57" s="2">
        <v>100</v>
      </c>
      <c r="EY57" s="2">
        <v>100</v>
      </c>
      <c r="EZ57" s="2" t="s">
        <v>105</v>
      </c>
    </row>
    <row r="58" spans="1:156" x14ac:dyDescent="0.25">
      <c r="A58" s="2" t="s">
        <v>777</v>
      </c>
      <c r="B58" s="2">
        <v>0.40908299102984802</v>
      </c>
      <c r="C58" s="2">
        <f t="shared" si="0"/>
        <v>1.3278415402678969</v>
      </c>
      <c r="D58" s="2">
        <v>4.9945506633792203</v>
      </c>
      <c r="E58" s="2">
        <v>11.1682363203523</v>
      </c>
      <c r="F58" s="2">
        <v>8.3209690957210898E-4</v>
      </c>
      <c r="G58" s="2">
        <v>3.0183174475144601E-2</v>
      </c>
      <c r="H58" s="2" t="s">
        <v>778</v>
      </c>
      <c r="I58" s="2" t="s">
        <v>94</v>
      </c>
      <c r="J58" s="2" t="str">
        <f>HYPERLINK("https://vectorbase.org/vectorbase/app/record/gene/AGAP010488","AGAP010488-RA")</f>
        <v>AGAP010488-RA</v>
      </c>
      <c r="K58" s="2" t="str">
        <f>HYPERLINK(".\links\pep\AGAP010488-PA-pep.txt","AGAP010488-PA")</f>
        <v>AGAP010488-PA</v>
      </c>
      <c r="L58" s="12" t="s">
        <v>95</v>
      </c>
      <c r="M58" s="2">
        <v>291</v>
      </c>
      <c r="N58" s="2">
        <v>0</v>
      </c>
      <c r="O58" s="2">
        <v>0</v>
      </c>
      <c r="P58" s="2" t="s">
        <v>779</v>
      </c>
      <c r="Q58" s="9" t="s">
        <v>780</v>
      </c>
      <c r="R58" s="2" t="s">
        <v>781</v>
      </c>
      <c r="S58" s="2" t="str">
        <f>HYPERLINK(".\links\KOG\AGAP010488-PA-KOG.txt","KOG")</f>
        <v>KOG</v>
      </c>
      <c r="T58" s="2">
        <v>0</v>
      </c>
      <c r="U58" s="2">
        <v>101.3</v>
      </c>
      <c r="V58" s="2" t="s">
        <v>782</v>
      </c>
      <c r="W58" s="10" t="s">
        <v>183</v>
      </c>
      <c r="X58" s="2" t="s">
        <v>781</v>
      </c>
      <c r="Y58" s="2" t="str">
        <f>HYPERLINK(".\links\COG\AGAP010488-PA-COG.txt","COG")</f>
        <v>COG</v>
      </c>
      <c r="Z58" s="15">
        <v>9.0000000000000006E-75</v>
      </c>
      <c r="AA58" s="2">
        <v>105</v>
      </c>
      <c r="AB58" s="13" t="str">
        <f>HYPERLINK(".\links\pep\AGAP010488-PA-sulf.txt","1")</f>
        <v>1</v>
      </c>
      <c r="AC58" s="13" t="str">
        <f>HYPERLINK(".\links\Sigp\AGAP010488-PA-SigP.txt","CYT")</f>
        <v>CYT</v>
      </c>
      <c r="AD58" s="2" t="s">
        <v>102</v>
      </c>
      <c r="AE58" s="2">
        <v>33.590000000000003</v>
      </c>
      <c r="AF58" s="2">
        <v>7.69</v>
      </c>
      <c r="AG58" s="2" t="s">
        <v>102</v>
      </c>
      <c r="AH58" s="2" t="s">
        <v>102</v>
      </c>
      <c r="AI58" s="2" t="s">
        <v>124</v>
      </c>
      <c r="AJ58" s="13">
        <v>0</v>
      </c>
      <c r="AK58" s="2" t="s">
        <v>102</v>
      </c>
      <c r="AL58" s="2" t="s">
        <v>102</v>
      </c>
      <c r="AM58" s="2" t="s">
        <v>102</v>
      </c>
      <c r="AN58" s="13" t="str">
        <f>HYPERLINK(".\links\gpi\AGAP010488-PA-gpi.txt","N")</f>
        <v>N</v>
      </c>
      <c r="AO58" s="14" t="str">
        <f>HYPERLINK(".\links\netoglyc\AGAP010488-PA-netoglyc.txt","0")</f>
        <v>0</v>
      </c>
      <c r="AP58" s="13">
        <v>11</v>
      </c>
      <c r="AQ58" s="2">
        <v>5.5</v>
      </c>
      <c r="AR58" s="2">
        <v>4.0999999999999996</v>
      </c>
      <c r="AS58" s="2" t="s">
        <v>104</v>
      </c>
      <c r="AT58" s="9" t="str">
        <f>HYPERLINK(".\links\NR-LIGHT\AGAP010488-PA-NR-LIGHT.txt","AGAP010488-PA, partial")</f>
        <v>AGAP010488-PA, partial</v>
      </c>
      <c r="AU58" s="2" t="str">
        <f>HYPERLINK("http://www.ncbi.nlm.nih.gov/sutils/blink.cgi?pid=XP_307798.4","1E-168")</f>
        <v>1E-168</v>
      </c>
      <c r="AV58" s="2" t="str">
        <f>HYPERLINK("http://www.ncbi.nlm.nih.gov/protein/XP_307798.4","XP_307798.4")</f>
        <v>XP_307798.4</v>
      </c>
      <c r="AW58" s="2">
        <v>98</v>
      </c>
      <c r="AX58" s="2">
        <v>98</v>
      </c>
      <c r="AY58" s="2">
        <v>98</v>
      </c>
      <c r="AZ58" s="2" t="s">
        <v>105</v>
      </c>
      <c r="BA58" s="9" t="str">
        <f>HYPERLINK(".\links\REFSEQ-INVERTEBRATE\AGAP010488-PA-REFSEQ-INVERTEBRATE.txt","AGAP010488-PA, partial")</f>
        <v>AGAP010488-PA, partial</v>
      </c>
      <c r="BB58" s="2" t="str">
        <f>HYPERLINK("http://www.ncbi.nlm.nih.gov/sutils/blink.cgi?pid=XP_307798.4","1E-168")</f>
        <v>1E-168</v>
      </c>
      <c r="BC58" s="2" t="str">
        <f>HYPERLINK("http://www.ncbi.nlm.nih.gov/protein/XP_307798.4","XP_307798.4")</f>
        <v>XP_307798.4</v>
      </c>
      <c r="BD58" s="2">
        <v>98</v>
      </c>
      <c r="BE58" s="2">
        <v>98</v>
      </c>
      <c r="BF58" s="2">
        <v>98</v>
      </c>
      <c r="BG58" s="2" t="s">
        <v>105</v>
      </c>
      <c r="BH58" s="9" t="str">
        <f>HYPERLINK(".\links\REFSEQ-PROTOZOA\AGAP010488-PA-REFSEQ-PROTOZOA.txt","hypothetical protein PPTG_09440")</f>
        <v>hypothetical protein PPTG_09440</v>
      </c>
      <c r="BI58" s="2" t="str">
        <f>HYPERLINK("http://www.ncbi.nlm.nih.gov/sutils/blink.cgi?pid=XP_008902680.1","8E-078")</f>
        <v>8E-078</v>
      </c>
      <c r="BJ58" s="2" t="str">
        <f>HYPERLINK("http://www.ncbi.nlm.nih.gov/protein/XP_008902680.1","XP_008902680.1")</f>
        <v>XP_008902680.1</v>
      </c>
      <c r="BK58" s="2">
        <v>52</v>
      </c>
      <c r="BL58" s="2">
        <v>69</v>
      </c>
      <c r="BM58" s="2">
        <v>100</v>
      </c>
      <c r="BN58" s="2" t="s">
        <v>556</v>
      </c>
      <c r="BO58" s="9" t="str">
        <f>HYPERLINK(".\links\SWISSP\AGAP010488-PA-SWISSP.txt","2-methoxy-6-polyprenyl-1,4-benzoquinol methylase, mitochondrial")</f>
        <v>2-methoxy-6-polyprenyl-1,4-benzoquinol methylase, mitochondrial</v>
      </c>
      <c r="BP58" s="2" t="str">
        <f>HYPERLINK("http://www.uniprot.org/uniprot/Q9VYF8","1E-109")</f>
        <v>1E-109</v>
      </c>
      <c r="BQ58" s="2" t="str">
        <f>HYPERLINK("http://www.uniprot.org/uniprot/Q9VYF8#expression","Q9VYF8")</f>
        <v>Q9VYF8</v>
      </c>
      <c r="BR58" s="2">
        <v>68</v>
      </c>
      <c r="BS58" s="2">
        <v>83</v>
      </c>
      <c r="BT58" s="2">
        <v>91</v>
      </c>
      <c r="BU58" s="2" t="s">
        <v>107</v>
      </c>
      <c r="BV58" s="9" t="str">
        <f>HYPERLINK(".\links\FLYBASE\AGAP010488-PA-FLYBASE.txt","FBpp0311954")</f>
        <v>FBpp0311954</v>
      </c>
      <c r="BW58" s="2" t="str">
        <f>HYPERLINK("http://flybase.org/reports/FBgn0030460#alliance_summary_container","1E-145")</f>
        <v>1E-145</v>
      </c>
      <c r="BX58" s="2">
        <v>301</v>
      </c>
      <c r="BY58" s="2">
        <v>64</v>
      </c>
      <c r="BZ58" s="2">
        <v>79</v>
      </c>
      <c r="CA58" s="2">
        <v>100</v>
      </c>
      <c r="CB58" s="9" t="str">
        <f>HYPERLINK(".\links\CDD\AGAP010488-PA-CDD.txt","ubiE, ubiquinone/menaquinone biosynthesis methyltransferase")</f>
        <v>ubiE, ubiquinone/menaquinone biosynthesis methyltransferase</v>
      </c>
      <c r="CC58" s="15">
        <v>2E-91</v>
      </c>
      <c r="CD58" s="2">
        <v>104.6</v>
      </c>
      <c r="CE58" s="2" t="s">
        <v>783</v>
      </c>
      <c r="CF58" s="2" t="s">
        <v>784</v>
      </c>
      <c r="CG58" s="9" t="str">
        <f>HYPERLINK(".\links\KOG\AGAP010488-PA-KOG.txt","Ubiquinone biosynthesis methyltransferase COQ5")</f>
        <v>Ubiquinone biosynthesis methyltransferase COQ5</v>
      </c>
      <c r="CH58" s="15">
        <v>9.9999999999999998E-114</v>
      </c>
      <c r="CI58" s="2">
        <v>101.4</v>
      </c>
      <c r="CJ58" s="2" t="s">
        <v>785</v>
      </c>
      <c r="CK58" s="2" t="s">
        <v>786</v>
      </c>
      <c r="CL58" s="9" t="str">
        <f>HYPERLINK(".\links\PFAM\AGAP010488-PA-PFAM.txt","Ubie_methyltran, ubiE/COQ5 methyltransferase family")</f>
        <v>Ubie_methyltran, ubiE/COQ5 methyltransferase family</v>
      </c>
      <c r="CM58" s="15">
        <v>8E-78</v>
      </c>
      <c r="CN58" s="2">
        <v>104.4</v>
      </c>
      <c r="CO58" s="2" t="s">
        <v>787</v>
      </c>
      <c r="CP58" s="9" t="str">
        <f>HYPERLINK(".\links\SMART\AGAP010488-PA-SMART.txt","BRIGHT, BRIGHT, ARID (A/T-rich interaction domain) domain")</f>
        <v>BRIGHT, BRIGHT, ARID (A/T-rich interaction domain) domain</v>
      </c>
      <c r="CQ58" s="15">
        <v>1.1000000000000001</v>
      </c>
      <c r="CR58" s="2">
        <v>15.1</v>
      </c>
      <c r="CS58" s="2" t="s">
        <v>788</v>
      </c>
      <c r="CT58" s="2" t="s">
        <v>782</v>
      </c>
      <c r="CU58" s="2" t="s">
        <v>782</v>
      </c>
      <c r="CV58" s="2" t="s">
        <v>782</v>
      </c>
      <c r="CW58" s="2" t="str">
        <f>HYPERLINK(".\links\pep\AGAP010488-PA-pep.txt","AGAP010488-PA")</f>
        <v>AGAP010488-PA</v>
      </c>
      <c r="CX58" s="2" t="s">
        <v>95</v>
      </c>
      <c r="CY58" s="2">
        <v>291</v>
      </c>
      <c r="CZ58" s="2" t="s">
        <v>113</v>
      </c>
      <c r="DA58" s="2" t="s">
        <v>789</v>
      </c>
      <c r="DB58" s="2">
        <v>0</v>
      </c>
      <c r="DC58" s="2">
        <v>0</v>
      </c>
      <c r="DD58" s="2" t="str">
        <f>HYPERLINK("https://www.kegg.jp/kegg-bin/search_pathway_text?map=aga&amp;keyword=AGAP010488&amp;mode=1&amp;viewImage=true","AGAP010488")</f>
        <v>AGAP010488</v>
      </c>
      <c r="DE58" s="2" t="s">
        <v>777</v>
      </c>
      <c r="DF58" s="2" t="s">
        <v>778</v>
      </c>
      <c r="DG58" s="2" t="s">
        <v>94</v>
      </c>
      <c r="DH58" s="2" t="str">
        <f>HYPERLINK("https://vectorbase.org/vectorbase/app/record/gene/AGAP010488","AGAP010488-RA")</f>
        <v>AGAP010488-RA</v>
      </c>
      <c r="DI58" s="2" t="s">
        <v>90</v>
      </c>
      <c r="DJ58" s="2">
        <v>1116</v>
      </c>
      <c r="DK58" s="2" t="str">
        <f>HYPERLINK(".\links\netoglyc\AGAP010488-PA-netoglyc.txt","0")</f>
        <v>0</v>
      </c>
      <c r="DL58" s="2">
        <v>11</v>
      </c>
      <c r="DM58" s="2">
        <v>5.5</v>
      </c>
      <c r="DN58" s="2">
        <v>4.0999999999999996</v>
      </c>
      <c r="DO58" s="2" t="s">
        <v>104</v>
      </c>
      <c r="DP58" s="2" t="s">
        <v>102</v>
      </c>
      <c r="DQ58" s="2" t="str">
        <f>HYPERLINK(".\links\Sigp\AGAP010488-PA-SigP.txt","CYT")</f>
        <v>CYT</v>
      </c>
      <c r="DR58" s="2" t="s">
        <v>102</v>
      </c>
      <c r="DS58" s="2">
        <v>33.590000000000003</v>
      </c>
      <c r="DT58" s="2">
        <v>7.69</v>
      </c>
      <c r="DU58" s="2" t="s">
        <v>102</v>
      </c>
      <c r="DV58" s="2" t="s">
        <v>102</v>
      </c>
      <c r="DW58" s="2" t="s">
        <v>124</v>
      </c>
      <c r="DX58" s="2">
        <v>291</v>
      </c>
      <c r="DY58" s="12">
        <v>0</v>
      </c>
      <c r="DZ58" s="2" t="s">
        <v>102</v>
      </c>
      <c r="EA58" s="2" t="s">
        <v>102</v>
      </c>
      <c r="EB58" s="2" t="s">
        <v>102</v>
      </c>
      <c r="EC58" s="2" t="str">
        <f>HYPERLINK(".\links\gpi\AGAP010488-PA-gpi.txt","Y-NoSP")</f>
        <v>Y-NoSP</v>
      </c>
      <c r="ED58" s="2">
        <v>0.2</v>
      </c>
      <c r="EF58" s="2">
        <v>5</v>
      </c>
      <c r="EG58" s="2" t="str">
        <f>HYPERLINK(".\links\pep\AGAP010488-PA-sulf.txt","1")</f>
        <v>1</v>
      </c>
      <c r="EH58" s="2" t="s">
        <v>102</v>
      </c>
      <c r="EI58" s="2">
        <v>10.996563573883201</v>
      </c>
      <c r="EJ58" s="2">
        <v>4.1237113402061896</v>
      </c>
      <c r="EK58" s="2">
        <v>5.4982817869415799</v>
      </c>
      <c r="EL58" s="2">
        <v>9.6219931271477694</v>
      </c>
      <c r="EM58" s="2" t="s">
        <v>102</v>
      </c>
      <c r="EN58" s="2" t="s">
        <v>102</v>
      </c>
      <c r="EO58" s="2">
        <v>1</v>
      </c>
      <c r="EP58" s="2" t="s">
        <v>102</v>
      </c>
      <c r="EQ58" s="2" t="s">
        <v>102</v>
      </c>
      <c r="ER58" s="2" t="s">
        <v>102</v>
      </c>
      <c r="ES58" s="2" t="s">
        <v>102</v>
      </c>
      <c r="ET58" s="2" t="str">
        <f>HYPERLINK(".\links\REFSEQ-INVERTEBRATE\AGAP010488-PA-REFSEQ-INVERTEBRATE.txt","AGAP010488-PA, partial")</f>
        <v>AGAP010488-PA, partial</v>
      </c>
      <c r="EU58" s="2" t="str">
        <f>HYPERLINK("http://www.ncbi.nlm.nih.gov/sutils/blink.cgi?pid=XP_307798.4","0.0")</f>
        <v>0.0</v>
      </c>
      <c r="EV58" s="2" t="str">
        <f>HYPERLINK("http://www.ncbi.nlm.nih.gov/protein/XP_307798.4","XP_307798.4")</f>
        <v>XP_307798.4</v>
      </c>
      <c r="EW58" s="2">
        <v>98</v>
      </c>
      <c r="EX58" s="2">
        <v>98</v>
      </c>
      <c r="EY58" s="2">
        <v>98</v>
      </c>
      <c r="EZ58" s="2" t="s">
        <v>105</v>
      </c>
    </row>
    <row r="59" spans="1:156" x14ac:dyDescent="0.25">
      <c r="A59" s="2" t="s">
        <v>790</v>
      </c>
      <c r="B59" s="2">
        <v>0.40745890346741998</v>
      </c>
      <c r="C59" s="2">
        <f t="shared" si="0"/>
        <v>1.3263475879861855</v>
      </c>
      <c r="D59" s="2">
        <v>6.1220753071479903</v>
      </c>
      <c r="E59" s="2">
        <v>11.2061817901798</v>
      </c>
      <c r="F59" s="2">
        <v>8.15252903958455E-4</v>
      </c>
      <c r="G59" s="2">
        <v>3.0183174475144601E-2</v>
      </c>
      <c r="H59" s="2" t="s">
        <v>791</v>
      </c>
      <c r="I59" s="2" t="s">
        <v>94</v>
      </c>
      <c r="J59" s="2" t="str">
        <f>HYPERLINK("https://vectorbase.org/vectorbase/app/record/gene/AGAP002808","AGAP002808-RA")</f>
        <v>AGAP002808-RA</v>
      </c>
      <c r="K59" s="2" t="str">
        <f>HYPERLINK(".\links\pep\AGAP002808-PA-pep.txt","AGAP002808-PA")</f>
        <v>AGAP002808-PA</v>
      </c>
      <c r="L59" s="12" t="s">
        <v>95</v>
      </c>
      <c r="M59" s="2">
        <v>238</v>
      </c>
      <c r="N59" s="2">
        <v>0</v>
      </c>
      <c r="O59" s="2">
        <v>2</v>
      </c>
      <c r="P59" s="2" t="s">
        <v>792</v>
      </c>
      <c r="Q59" s="9" t="s">
        <v>793</v>
      </c>
      <c r="R59" s="2" t="s">
        <v>672</v>
      </c>
      <c r="S59" s="2" t="str">
        <f>HYPERLINK(".\links\KOG\AGAP002808-PA-KOG.txt","KOG")</f>
        <v>KOG</v>
      </c>
      <c r="T59" s="2">
        <v>2.0000000000000001E-89</v>
      </c>
      <c r="U59" s="2">
        <v>100.8</v>
      </c>
      <c r="V59" s="2" t="s">
        <v>794</v>
      </c>
      <c r="W59" s="10" t="s">
        <v>795</v>
      </c>
      <c r="X59" s="2" t="s">
        <v>672</v>
      </c>
      <c r="Y59" s="2" t="str">
        <f>HYPERLINK(".\links\REFSEQVERTEBRATE95\AGAP002808-PA-REFSEQVERTEBRATE95.txt","REFSEQVERTEBRATE95")</f>
        <v>REFSEQVERTEBRATE95</v>
      </c>
      <c r="Z59" s="15">
        <v>0</v>
      </c>
      <c r="AA59" s="2">
        <v>80.8</v>
      </c>
      <c r="AB59" s="13" t="str">
        <f>HYPERLINK(".\links\pep\AGAP002808-PA-sulf.txt","1")</f>
        <v>1</v>
      </c>
      <c r="AC59" s="13" t="str">
        <f>HYPERLINK(".\links\Sigp\AGAP002808-PA-SigP.txt","CYT")</f>
        <v>CYT</v>
      </c>
      <c r="AD59" s="2" t="s">
        <v>102</v>
      </c>
      <c r="AE59" s="2">
        <v>26.673999999999999</v>
      </c>
      <c r="AF59" s="2">
        <v>8.9700000000000006</v>
      </c>
      <c r="AG59" s="2" t="s">
        <v>102</v>
      </c>
      <c r="AH59" s="2" t="s">
        <v>102</v>
      </c>
      <c r="AI59" s="2" t="s">
        <v>124</v>
      </c>
      <c r="AJ59" s="13">
        <v>0</v>
      </c>
      <c r="AK59" s="2" t="s">
        <v>102</v>
      </c>
      <c r="AL59" s="2" t="s">
        <v>102</v>
      </c>
      <c r="AM59" s="2" t="s">
        <v>102</v>
      </c>
      <c r="AN59" s="13" t="str">
        <f>HYPERLINK(".\links\gpi\AGAP002808-PA-gpi.txt","N")</f>
        <v>N</v>
      </c>
      <c r="AO59" s="14" t="str">
        <f>HYPERLINK(".\links\netoglyc\AGAP002808-PA-netoglyc.txt","0")</f>
        <v>0</v>
      </c>
      <c r="AP59" s="13">
        <v>11.3</v>
      </c>
      <c r="AQ59" s="2">
        <v>5.5</v>
      </c>
      <c r="AR59" s="2">
        <v>4.5999999999999996</v>
      </c>
      <c r="AS59" s="2" t="s">
        <v>104</v>
      </c>
      <c r="AT59" s="9" t="str">
        <f>HYPERLINK(".\links\NR-LIGHT\AGAP002808-PA-NR-LIGHT.txt","AGAP002808-PA")</f>
        <v>AGAP002808-PA</v>
      </c>
      <c r="AU59" s="2" t="str">
        <f>HYPERLINK("http://www.ncbi.nlm.nih.gov/sutils/blink.cgi?pid=XP_312105.2","1E-132")</f>
        <v>1E-132</v>
      </c>
      <c r="AV59" s="2" t="str">
        <f>HYPERLINK("http://www.ncbi.nlm.nih.gov/protein/XP_312105.2","XP_312105.2")</f>
        <v>XP_312105.2</v>
      </c>
      <c r="AW59" s="2">
        <v>100</v>
      </c>
      <c r="AX59" s="2">
        <v>100</v>
      </c>
      <c r="AY59" s="2">
        <v>100</v>
      </c>
      <c r="AZ59" s="2" t="s">
        <v>105</v>
      </c>
      <c r="BA59" s="9" t="str">
        <f>HYPERLINK(".\links\REFSEQ-INVERTEBRATE\AGAP002808-PA-REFSEQ-INVERTEBRATE.txt","AGAP002808-PA")</f>
        <v>AGAP002808-PA</v>
      </c>
      <c r="BB59" s="2" t="str">
        <f>HYPERLINK("http://www.ncbi.nlm.nih.gov/sutils/blink.cgi?pid=XP_312105.2","1E-132")</f>
        <v>1E-132</v>
      </c>
      <c r="BC59" s="2" t="str">
        <f>HYPERLINK("http://www.ncbi.nlm.nih.gov/protein/XP_312105.2","XP_312105.2")</f>
        <v>XP_312105.2</v>
      </c>
      <c r="BD59" s="2">
        <v>100</v>
      </c>
      <c r="BE59" s="2">
        <v>100</v>
      </c>
      <c r="BF59" s="2">
        <v>100</v>
      </c>
      <c r="BG59" s="2" t="s">
        <v>105</v>
      </c>
      <c r="BH59" s="9" t="str">
        <f>HYPERLINK(".\links\REFSEQ-PROTOZOA\AGAP002808-PA-REFSEQ-PROTOZOA.txt","C2f protein")</f>
        <v>C2f protein</v>
      </c>
      <c r="BI59" s="2" t="str">
        <f>HYPERLINK("http://www.ncbi.nlm.nih.gov/sutils/blink.cgi?pid=XP_004349274.1","2E-066")</f>
        <v>2E-066</v>
      </c>
      <c r="BJ59" s="2" t="str">
        <f>HYPERLINK("http://www.ncbi.nlm.nih.gov/protein/XP_004349274.1","XP_004349274.1")</f>
        <v>XP_004349274.1</v>
      </c>
      <c r="BK59" s="2">
        <v>56</v>
      </c>
      <c r="BL59" s="2">
        <v>76</v>
      </c>
      <c r="BM59" s="2">
        <v>92</v>
      </c>
      <c r="BN59" s="2" t="s">
        <v>106</v>
      </c>
      <c r="BO59" s="9" t="str">
        <f>HYPERLINK(".\links\SWISSP\AGAP002808-PA-SWISSP.txt","Ribosomal RNA small subunit methyltransferase NEP1")</f>
        <v>Ribosomal RNA small subunit methyltransferase NEP1</v>
      </c>
      <c r="BP59" s="2" t="str">
        <f>HYPERLINK("http://www.uniprot.org/uniprot/Q9W4J5","2E-089")</f>
        <v>2E-089</v>
      </c>
      <c r="BQ59" s="2" t="str">
        <f>HYPERLINK("http://www.uniprot.org/uniprot/Q9W4J5#expression","Q9W4J5")</f>
        <v>Q9W4J5</v>
      </c>
      <c r="BR59" s="2">
        <v>65</v>
      </c>
      <c r="BS59" s="2">
        <v>78</v>
      </c>
      <c r="BT59" s="2">
        <v>97</v>
      </c>
      <c r="BU59" s="2" t="s">
        <v>107</v>
      </c>
      <c r="BV59" s="9" t="str">
        <f>HYPERLINK(".\links\FLYBASE\AGAP002808-PA-FLYBASE.txt","FBpp0070646")</f>
        <v>FBpp0070646</v>
      </c>
      <c r="BW59" s="2" t="str">
        <f>HYPERLINK("http://flybase.org/reports/FBgn0029714#alliance_summary_container","1E-120")</f>
        <v>1E-120</v>
      </c>
      <c r="BX59" s="2">
        <v>252</v>
      </c>
      <c r="BY59" s="2">
        <v>65</v>
      </c>
      <c r="BZ59" s="2">
        <v>78</v>
      </c>
      <c r="CA59" s="2">
        <v>97</v>
      </c>
      <c r="CB59" s="9" t="str">
        <f>HYPERLINK(".\links\CDD\AGAP002808-PA-CDD.txt","EMG1, EMG1/NEP1 methyltransferase")</f>
        <v>EMG1, EMG1/NEP1 methyltransferase</v>
      </c>
      <c r="CC59" s="15">
        <v>1E-79</v>
      </c>
      <c r="CD59" s="2">
        <v>100.5</v>
      </c>
      <c r="CE59" s="2" t="s">
        <v>796</v>
      </c>
      <c r="CF59" s="2" t="s">
        <v>797</v>
      </c>
      <c r="CG59" s="9" t="str">
        <f>HYPERLINK(".\links\KOG\AGAP002808-PA-KOG.txt","Protein required for 18S rRNA maturation and 40S ribosome biogenesis")</f>
        <v>Protein required for 18S rRNA maturation and 40S ribosome biogenesis</v>
      </c>
      <c r="CH59" s="15">
        <v>2.0000000000000001E-89</v>
      </c>
      <c r="CI59" s="2">
        <v>100.8</v>
      </c>
      <c r="CJ59" s="2" t="s">
        <v>798</v>
      </c>
      <c r="CK59" s="2" t="s">
        <v>678</v>
      </c>
      <c r="CL59" s="9" t="str">
        <f>HYPERLINK(".\links\PFAM\AGAP002808-PA-PFAM.txt","EMG1, EMG1/NEP1 methyltransferase")</f>
        <v>EMG1, EMG1/NEP1 methyltransferase</v>
      </c>
      <c r="CM59" s="15">
        <v>3.0000000000000001E-80</v>
      </c>
      <c r="CN59" s="2">
        <v>100.5</v>
      </c>
      <c r="CO59" s="2" t="s">
        <v>796</v>
      </c>
      <c r="CP59" s="9" t="str">
        <f>HYPERLINK(".\links\SMART\AGAP002808-PA-SMART.txt","alkPPc, Alkaline phosphatase homologues")</f>
        <v>alkPPc, Alkaline phosphatase homologues</v>
      </c>
      <c r="CQ59" s="15">
        <v>2.1</v>
      </c>
      <c r="CR59" s="2">
        <v>9.1</v>
      </c>
      <c r="CS59" s="2" t="s">
        <v>799</v>
      </c>
      <c r="CT59" s="2" t="s">
        <v>794</v>
      </c>
      <c r="CU59" s="2" t="s">
        <v>794</v>
      </c>
      <c r="CV59" s="2" t="s">
        <v>794</v>
      </c>
      <c r="CW59" s="2" t="str">
        <f>HYPERLINK(".\links\pep\AGAP002808-PA-pep.txt","AGAP002808-PA")</f>
        <v>AGAP002808-PA</v>
      </c>
      <c r="CX59" s="2" t="s">
        <v>95</v>
      </c>
      <c r="CY59" s="2">
        <v>238</v>
      </c>
      <c r="CZ59" s="2" t="s">
        <v>113</v>
      </c>
      <c r="DA59" s="2" t="s">
        <v>800</v>
      </c>
      <c r="DB59" s="2">
        <v>0</v>
      </c>
      <c r="DC59" s="2">
        <v>2</v>
      </c>
      <c r="DD59" s="2" t="str">
        <f>HYPERLINK("https://www.kegg.jp/kegg-bin/search_pathway_text?map=aga&amp;keyword=AGAP002808&amp;mode=1&amp;viewImage=true","AGAP002808")</f>
        <v>AGAP002808</v>
      </c>
      <c r="DE59" s="2" t="s">
        <v>790</v>
      </c>
      <c r="DF59" s="2" t="s">
        <v>791</v>
      </c>
      <c r="DG59" s="2" t="s">
        <v>94</v>
      </c>
      <c r="DH59" s="2" t="str">
        <f>HYPERLINK("https://vectorbase.org/vectorbase/app/record/gene/AGAP002808","AGAP002808-RA")</f>
        <v>AGAP002808-RA</v>
      </c>
      <c r="DI59" s="2" t="s">
        <v>90</v>
      </c>
      <c r="DJ59" s="2">
        <v>1101</v>
      </c>
      <c r="DK59" s="2" t="str">
        <f>HYPERLINK(".\links\netoglyc\AGAP002808-PA-netoglyc.txt","0")</f>
        <v>0</v>
      </c>
      <c r="DL59" s="2">
        <v>11.3</v>
      </c>
      <c r="DM59" s="2">
        <v>5.5</v>
      </c>
      <c r="DN59" s="2">
        <v>4.5999999999999996</v>
      </c>
      <c r="DO59" s="2" t="s">
        <v>104</v>
      </c>
      <c r="DP59" s="2" t="s">
        <v>801</v>
      </c>
      <c r="DQ59" s="2" t="str">
        <f>HYPERLINK(".\links\Sigp\AGAP002808-PA-SigP.txt","CYT")</f>
        <v>CYT</v>
      </c>
      <c r="DR59" s="2" t="s">
        <v>102</v>
      </c>
      <c r="DS59" s="2">
        <v>26.673999999999999</v>
      </c>
      <c r="DT59" s="2">
        <v>8.9700000000000006</v>
      </c>
      <c r="DU59" s="2" t="s">
        <v>102</v>
      </c>
      <c r="DV59" s="2" t="s">
        <v>102</v>
      </c>
      <c r="DW59" s="2" t="s">
        <v>124</v>
      </c>
      <c r="DX59" s="2">
        <v>238</v>
      </c>
      <c r="DY59" s="12">
        <v>0</v>
      </c>
      <c r="DZ59" s="2" t="s">
        <v>102</v>
      </c>
      <c r="EA59" s="2" t="s">
        <v>102</v>
      </c>
      <c r="EB59" s="2" t="s">
        <v>102</v>
      </c>
      <c r="EC59" s="2" t="str">
        <f>HYPERLINK(".\links\gpi\AGAP002808-PA-gpi.txt","Y-NoSP")</f>
        <v>Y-NoSP</v>
      </c>
      <c r="ED59" s="2">
        <v>0.21</v>
      </c>
      <c r="EF59" s="2">
        <v>5</v>
      </c>
      <c r="EG59" s="2" t="str">
        <f>HYPERLINK(".\links\pep\AGAP002808-PA-sulf.txt","1")</f>
        <v>1</v>
      </c>
      <c r="EH59" s="2" t="s">
        <v>102</v>
      </c>
      <c r="EI59" s="2">
        <v>11.344537815126101</v>
      </c>
      <c r="EJ59" s="2">
        <v>4.6218487394957997</v>
      </c>
      <c r="EK59" s="2">
        <v>5.46218487394958</v>
      </c>
      <c r="EL59" s="2">
        <v>10.084033613445399</v>
      </c>
      <c r="EM59" s="2" t="s">
        <v>102</v>
      </c>
      <c r="EN59" s="2" t="s">
        <v>102</v>
      </c>
      <c r="EO59" s="2">
        <v>1</v>
      </c>
      <c r="EP59" s="2" t="s">
        <v>102</v>
      </c>
      <c r="EQ59" s="2" t="s">
        <v>102</v>
      </c>
      <c r="ER59" s="2" t="s">
        <v>102</v>
      </c>
      <c r="ES59" s="2" t="s">
        <v>102</v>
      </c>
      <c r="ET59" s="2" t="str">
        <f>HYPERLINK(".\links\REFSEQ-INVERTEBRATE\AGAP002808-PA-REFSEQ-INVERTEBRATE.txt","AGAP002808-PA")</f>
        <v>AGAP002808-PA</v>
      </c>
      <c r="EU59" s="2" t="str">
        <f>HYPERLINK("http://www.ncbi.nlm.nih.gov/sutils/blink.cgi?pid=XP_312105.2","1E-178")</f>
        <v>1E-178</v>
      </c>
      <c r="EV59" s="2" t="str">
        <f>HYPERLINK("http://www.ncbi.nlm.nih.gov/protein/XP_312105.2","XP_312105.2")</f>
        <v>XP_312105.2</v>
      </c>
      <c r="EW59" s="2">
        <v>100</v>
      </c>
      <c r="EX59" s="2">
        <v>100</v>
      </c>
      <c r="EY59" s="2">
        <v>100</v>
      </c>
      <c r="EZ59" s="2" t="s">
        <v>105</v>
      </c>
    </row>
    <row r="60" spans="1:156" x14ac:dyDescent="0.25">
      <c r="A60" s="2" t="s">
        <v>802</v>
      </c>
      <c r="B60" s="2">
        <v>0.40678926580963098</v>
      </c>
      <c r="C60" s="2">
        <f t="shared" si="0"/>
        <v>1.3257320967194526</v>
      </c>
      <c r="D60" s="2">
        <v>6.1367899969780701</v>
      </c>
      <c r="E60" s="2">
        <v>15.016169302527</v>
      </c>
      <c r="F60" s="2">
        <v>1.0659395169573899E-4</v>
      </c>
      <c r="G60" s="2">
        <v>1.1057719936436901E-2</v>
      </c>
      <c r="H60" s="2" t="s">
        <v>93</v>
      </c>
      <c r="I60" s="2" t="s">
        <v>94</v>
      </c>
      <c r="J60" s="2" t="str">
        <f>HYPERLINK("https://vectorbase.org/vectorbase/app/record/gene/AGAP010380","AGAP010380-RA")</f>
        <v>AGAP010380-RA</v>
      </c>
      <c r="K60" s="2" t="str">
        <f>HYPERLINK(".\links\pep\AGAP010380-PA-pep.txt","AGAP010380-PA")</f>
        <v>AGAP010380-PA</v>
      </c>
      <c r="L60" s="12" t="s">
        <v>95</v>
      </c>
      <c r="M60" s="2">
        <v>753</v>
      </c>
      <c r="N60" s="2">
        <v>0</v>
      </c>
      <c r="O60" s="2">
        <v>0</v>
      </c>
      <c r="P60" s="2" t="s">
        <v>102</v>
      </c>
      <c r="Q60" s="9" t="s">
        <v>803</v>
      </c>
      <c r="R60" s="2" t="s">
        <v>318</v>
      </c>
      <c r="S60" s="2" t="str">
        <f>HYPERLINK(".\links\KOG\AGAP010380-PA-KOG.txt","KOG")</f>
        <v>KOG</v>
      </c>
      <c r="T60" s="2">
        <v>2E-45</v>
      </c>
      <c r="U60" s="2">
        <v>62.8</v>
      </c>
      <c r="V60" s="2" t="s">
        <v>804</v>
      </c>
      <c r="W60" s="10" t="s">
        <v>805</v>
      </c>
      <c r="X60" s="2" t="s">
        <v>771</v>
      </c>
      <c r="Y60" s="2" t="str">
        <f>HYPERLINK(".\links\UNIPROTKB\AGAP010380-PA-UNIPROTKB.txt","UNIPROTKB")</f>
        <v>UNIPROTKB</v>
      </c>
      <c r="Z60" s="15">
        <v>6.0000000000000002E-61</v>
      </c>
      <c r="AA60" s="2">
        <v>56.3</v>
      </c>
      <c r="AB60" s="13" t="str">
        <f>HYPERLINK(".\links\pep\AGAP010380-PA-sulf.txt","4")</f>
        <v>4</v>
      </c>
      <c r="AC60" s="13" t="str">
        <f>HYPERLINK(".\links\Sigp\AGAP010380-PA-SigP.txt","CYT")</f>
        <v>CYT</v>
      </c>
      <c r="AD60" s="2" t="s">
        <v>102</v>
      </c>
      <c r="AE60" s="2">
        <v>81.102000000000004</v>
      </c>
      <c r="AF60" s="2">
        <v>7.13</v>
      </c>
      <c r="AG60" s="2" t="s">
        <v>102</v>
      </c>
      <c r="AH60" s="2" t="s">
        <v>102</v>
      </c>
      <c r="AI60" s="2" t="s">
        <v>211</v>
      </c>
      <c r="AJ60" s="13">
        <v>0</v>
      </c>
      <c r="AK60" s="2" t="s">
        <v>102</v>
      </c>
      <c r="AL60" s="2" t="s">
        <v>102</v>
      </c>
      <c r="AM60" s="2" t="s">
        <v>102</v>
      </c>
      <c r="AN60" s="13" t="str">
        <f>HYPERLINK(".\links\gpi\AGAP010380-PA-gpi.txt","N")</f>
        <v>N</v>
      </c>
      <c r="AO60" s="14" t="str">
        <f>HYPERLINK(".\links\netoglyc\AGAP010380-PA-netoglyc.txt","4")</f>
        <v>4</v>
      </c>
      <c r="AP60" s="13">
        <v>19.8</v>
      </c>
      <c r="AQ60" s="2">
        <v>6.8</v>
      </c>
      <c r="AR60" s="2">
        <v>4.4000000000000004</v>
      </c>
      <c r="AS60" s="2" t="s">
        <v>104</v>
      </c>
      <c r="AT60" s="9" t="str">
        <f>HYPERLINK(".\links\NR-LIGHT\AGAP010380-PA-NR-LIGHT.txt","AGAP010380-PA, partial")</f>
        <v>AGAP010380-PA, partial</v>
      </c>
      <c r="AU60" s="2" t="str">
        <f>HYPERLINK("http://www.ncbi.nlm.nih.gov/sutils/blink.cgi?pid=XP_559078.3","0.0")</f>
        <v>0.0</v>
      </c>
      <c r="AV60" s="2" t="str">
        <f>HYPERLINK("http://www.ncbi.nlm.nih.gov/protein/XP_559078.3","XP_559078.3")</f>
        <v>XP_559078.3</v>
      </c>
      <c r="AW60" s="2">
        <v>95</v>
      </c>
      <c r="AX60" s="2">
        <v>95</v>
      </c>
      <c r="AY60" s="2">
        <v>100</v>
      </c>
      <c r="AZ60" s="2" t="s">
        <v>105</v>
      </c>
      <c r="BA60" s="9" t="str">
        <f>HYPERLINK(".\links\REFSEQ-INVERTEBRATE\AGAP010380-PA-REFSEQ-INVERTEBRATE.txt","AGAP010380-PA, partial")</f>
        <v>AGAP010380-PA, partial</v>
      </c>
      <c r="BB60" s="2" t="str">
        <f>HYPERLINK("http://www.ncbi.nlm.nih.gov/sutils/blink.cgi?pid=XP_559078.3","0.0")</f>
        <v>0.0</v>
      </c>
      <c r="BC60" s="2" t="str">
        <f>HYPERLINK("http://www.ncbi.nlm.nih.gov/protein/XP_559078.3","XP_559078.3")</f>
        <v>XP_559078.3</v>
      </c>
      <c r="BD60" s="2">
        <v>95</v>
      </c>
      <c r="BE60" s="2">
        <v>95</v>
      </c>
      <c r="BF60" s="2">
        <v>100</v>
      </c>
      <c r="BG60" s="2" t="s">
        <v>105</v>
      </c>
      <c r="BH60" s="9" t="str">
        <f>HYPERLINK(".\links\REFSEQ-PROTOZOA\AGAP010380-PA-REFSEQ-PROTOZOA.txt","tesmin TSO1-like CXC domain protein")</f>
        <v>tesmin TSO1-like CXC domain protein</v>
      </c>
      <c r="BI60" s="2" t="str">
        <f>HYPERLINK("http://www.ncbi.nlm.nih.gov/sutils/blink.cgi?pid=XP_001025010.2","6E-034")</f>
        <v>6E-034</v>
      </c>
      <c r="BJ60" s="2" t="str">
        <f>HYPERLINK("http://www.ncbi.nlm.nih.gov/protein/XP_001025010.2","XP_001025010.2")</f>
        <v>XP_001025010.2</v>
      </c>
      <c r="BK60" s="2">
        <v>56</v>
      </c>
      <c r="BL60" s="2">
        <v>68</v>
      </c>
      <c r="BM60" s="2">
        <v>13</v>
      </c>
      <c r="BN60" s="2" t="s">
        <v>539</v>
      </c>
      <c r="BO60" s="9" t="str">
        <f>HYPERLINK(".\links\SWISSP\AGAP010380-PA-SWISSP.txt","Protein lin-54 homolog")</f>
        <v>Protein lin-54 homolog</v>
      </c>
      <c r="BP60" s="2" t="str">
        <f>HYPERLINK("http://www.uniprot.org/uniprot/Q571G4","2E-064")</f>
        <v>2E-064</v>
      </c>
      <c r="BQ60" s="2" t="str">
        <f>HYPERLINK("http://www.uniprot.org/uniprot/Q571G4#expression","Q571G4")</f>
        <v>Q571G4</v>
      </c>
      <c r="BR60" s="2">
        <v>28</v>
      </c>
      <c r="BS60" s="2">
        <v>44</v>
      </c>
      <c r="BT60" s="2">
        <v>101</v>
      </c>
      <c r="BU60" s="2" t="s">
        <v>662</v>
      </c>
      <c r="BV60" s="9" t="str">
        <f>HYPERLINK(".\links\FLYBASE\AGAP010380-PA-FLYBASE.txt","FBpp0290602")</f>
        <v>FBpp0290602</v>
      </c>
      <c r="BW60" s="2" t="str">
        <f>HYPERLINK("http://flybase.org/reports/FBgn0033846#alliance_summary_container","4E-58")</f>
        <v>4E-58</v>
      </c>
      <c r="BX60" s="2">
        <v>952</v>
      </c>
      <c r="BY60" s="2">
        <v>45</v>
      </c>
      <c r="BZ60" s="2">
        <v>59</v>
      </c>
      <c r="CA60" s="2">
        <v>25</v>
      </c>
      <c r="CB60" s="9" t="str">
        <f>HYPERLINK(".\links\CDD\AGAP010380-PA-CDD.txt","TCR, Tesmin/TSO1-like CXC domain, cysteine-rich domain")</f>
        <v>TCR, Tesmin/TSO1-like CXC domain, cysteine-rich domain</v>
      </c>
      <c r="CC60" s="15">
        <v>1E-14</v>
      </c>
      <c r="CD60" s="2">
        <v>100</v>
      </c>
      <c r="CE60" s="2" t="s">
        <v>806</v>
      </c>
      <c r="CF60" s="2" t="s">
        <v>807</v>
      </c>
      <c r="CG60" s="9" t="str">
        <f>HYPERLINK(".\links\KOG\AGAP010380-PA-KOG.txt","Metallothionein-like protein")</f>
        <v>Metallothionein-like protein</v>
      </c>
      <c r="CH60" s="15">
        <v>2E-45</v>
      </c>
      <c r="CI60" s="2">
        <v>62.8</v>
      </c>
      <c r="CJ60" s="2" t="s">
        <v>808</v>
      </c>
      <c r="CK60" s="2" t="s">
        <v>640</v>
      </c>
      <c r="CL60" s="9" t="str">
        <f>HYPERLINK(".\links\PFAM\AGAP010380-PA-PFAM.txt","TCR, Tesmin/TSO1-like CXC domain, cysteine-rich domain")</f>
        <v>TCR, Tesmin/TSO1-like CXC domain, cysteine-rich domain</v>
      </c>
      <c r="CM60" s="15">
        <v>2.0000000000000002E-15</v>
      </c>
      <c r="CN60" s="2">
        <v>100</v>
      </c>
      <c r="CO60" s="2" t="s">
        <v>806</v>
      </c>
      <c r="CP60" s="9" t="str">
        <f>HYPERLINK(".\links\SMART\AGAP010380-PA-SMART.txt","AWS, associated with SET domains")</f>
        <v>AWS, associated with SET domains</v>
      </c>
      <c r="CQ60" s="15">
        <v>5.3999999999999999E-2</v>
      </c>
      <c r="CR60" s="2">
        <v>78</v>
      </c>
      <c r="CS60" s="2" t="s">
        <v>809</v>
      </c>
      <c r="CT60" s="2" t="s">
        <v>804</v>
      </c>
      <c r="CU60" s="2" t="s">
        <v>804</v>
      </c>
      <c r="CV60" s="2" t="s">
        <v>804</v>
      </c>
      <c r="CW60" s="2" t="str">
        <f>HYPERLINK(".\links\pep\AGAP010380-PA-pep.txt","AGAP010380-PA")</f>
        <v>AGAP010380-PA</v>
      </c>
      <c r="CX60" s="2" t="s">
        <v>95</v>
      </c>
      <c r="CY60" s="2">
        <v>753</v>
      </c>
      <c r="CZ60" s="2" t="s">
        <v>113</v>
      </c>
      <c r="DA60" s="2" t="s">
        <v>810</v>
      </c>
      <c r="DB60" s="2">
        <v>0</v>
      </c>
      <c r="DC60" s="2">
        <v>0</v>
      </c>
      <c r="DD60" s="2" t="str">
        <f>HYPERLINK("https://www.kegg.jp/kegg-bin/search_pathway_text?map=aga&amp;keyword=AGAP010380&amp;mode=1&amp;viewImage=true","AGAP010380")</f>
        <v>AGAP010380</v>
      </c>
      <c r="DE60" s="2" t="s">
        <v>802</v>
      </c>
      <c r="DF60" s="2" t="s">
        <v>93</v>
      </c>
      <c r="DG60" s="2" t="s">
        <v>94</v>
      </c>
      <c r="DH60" s="2" t="str">
        <f>HYPERLINK("https://vectorbase.org/vectorbase/app/record/gene/AGAP010380","AGAP010380-RA")</f>
        <v>AGAP010380-RA</v>
      </c>
      <c r="DI60" s="2" t="s">
        <v>115</v>
      </c>
      <c r="DJ60" s="2">
        <v>3269</v>
      </c>
      <c r="DK60" s="2" t="str">
        <f>HYPERLINK(".\links\netoglyc\AGAP010380-PA-netoglyc.txt","4")</f>
        <v>4</v>
      </c>
      <c r="DL60" s="2">
        <v>19.8</v>
      </c>
      <c r="DM60" s="2">
        <v>6.8</v>
      </c>
      <c r="DN60" s="2">
        <v>4.4000000000000004</v>
      </c>
      <c r="DO60" s="2" t="s">
        <v>104</v>
      </c>
      <c r="DP60" s="2" t="s">
        <v>102</v>
      </c>
      <c r="DQ60" s="2" t="str">
        <f>HYPERLINK(".\links\Sigp\AGAP010380-PA-SigP.txt","CYT")</f>
        <v>CYT</v>
      </c>
      <c r="DR60" s="2" t="s">
        <v>102</v>
      </c>
      <c r="DS60" s="2">
        <v>81.102000000000004</v>
      </c>
      <c r="DT60" s="2">
        <v>7.13</v>
      </c>
      <c r="DU60" s="2" t="s">
        <v>102</v>
      </c>
      <c r="DV60" s="2" t="s">
        <v>102</v>
      </c>
      <c r="DW60" s="2" t="s">
        <v>211</v>
      </c>
      <c r="DX60" s="2">
        <v>753</v>
      </c>
      <c r="DY60" s="12">
        <v>0</v>
      </c>
      <c r="DZ60" s="2" t="s">
        <v>102</v>
      </c>
      <c r="EA60" s="2" t="s">
        <v>102</v>
      </c>
      <c r="EB60" s="2" t="s">
        <v>102</v>
      </c>
      <c r="EC60" s="2" t="str">
        <f>HYPERLINK(".\links\gpi\AGAP010380-PA-gpi.txt","Y-NoSP")</f>
        <v>Y-NoSP</v>
      </c>
      <c r="ED60" s="2">
        <v>0.26</v>
      </c>
      <c r="EF60" s="2">
        <v>22</v>
      </c>
      <c r="EG60" s="2" t="str">
        <f>HYPERLINK(".\links\pep\AGAP010380-PA-sulf.txt","4")</f>
        <v>4</v>
      </c>
      <c r="EH60" s="2" t="s">
        <v>102</v>
      </c>
      <c r="EI60" s="2">
        <v>19.787516600265601</v>
      </c>
      <c r="EJ60" s="2">
        <v>4.3824701195219102</v>
      </c>
      <c r="EK60" s="2">
        <v>6.7729083665338603</v>
      </c>
      <c r="EL60" s="2">
        <v>11.155378486055801</v>
      </c>
      <c r="EM60" s="2">
        <v>1</v>
      </c>
      <c r="EN60" s="2">
        <v>3</v>
      </c>
      <c r="EO60" s="2">
        <v>3</v>
      </c>
      <c r="EP60" s="2" t="s">
        <v>102</v>
      </c>
      <c r="EQ60" s="2" t="s">
        <v>102</v>
      </c>
      <c r="ER60" s="2" t="s">
        <v>102</v>
      </c>
      <c r="ES60" s="2" t="s">
        <v>102</v>
      </c>
      <c r="ET60" s="2" t="str">
        <f>HYPERLINK(".\links\REFSEQ-INVERTEBRATE\AGAP010380-PA-REFSEQ-INVERTEBRATE.txt","AGAP010380-PA, partial")</f>
        <v>AGAP010380-PA, partial</v>
      </c>
      <c r="EU60" s="2" t="str">
        <f>HYPERLINK("http://www.ncbi.nlm.nih.gov/sutils/blink.cgi?pid=XP_559078.3","0.0")</f>
        <v>0.0</v>
      </c>
      <c r="EV60" s="2" t="str">
        <f>HYPERLINK("http://www.ncbi.nlm.nih.gov/protein/XP_559078.3","XP_559078.3")</f>
        <v>XP_559078.3</v>
      </c>
      <c r="EW60" s="2">
        <v>95</v>
      </c>
      <c r="EX60" s="2">
        <v>95</v>
      </c>
      <c r="EY60" s="2">
        <v>100</v>
      </c>
      <c r="EZ60" s="2" t="s">
        <v>105</v>
      </c>
    </row>
    <row r="61" spans="1:156" x14ac:dyDescent="0.25">
      <c r="A61" s="2" t="s">
        <v>811</v>
      </c>
      <c r="B61" s="2">
        <v>0.40651794285867998</v>
      </c>
      <c r="C61" s="2">
        <f t="shared" si="0"/>
        <v>1.3254827940514384</v>
      </c>
      <c r="D61" s="2">
        <v>11.1852896957383</v>
      </c>
      <c r="E61" s="2">
        <v>14.1165554383197</v>
      </c>
      <c r="F61" s="2">
        <v>1.71824838724712E-4</v>
      </c>
      <c r="G61" s="2">
        <v>1.44729383387353E-2</v>
      </c>
      <c r="H61" s="2" t="s">
        <v>691</v>
      </c>
      <c r="I61" s="2" t="s">
        <v>94</v>
      </c>
      <c r="J61" s="2" t="str">
        <f>HYPERLINK("https://vectorbase.org/vectorbase/app/record/gene/AGAP004963","AGAP004963-RA")</f>
        <v>AGAP004963-RA</v>
      </c>
      <c r="K61" s="2" t="str">
        <f>HYPERLINK(".\links\pep\AGAP004963-PA-pep.txt","AGAP004963-PA")</f>
        <v>AGAP004963-PA</v>
      </c>
      <c r="L61" s="12" t="s">
        <v>95</v>
      </c>
      <c r="M61" s="2">
        <v>484</v>
      </c>
      <c r="N61" s="2">
        <v>0</v>
      </c>
      <c r="O61" s="2">
        <v>0</v>
      </c>
      <c r="P61" s="2" t="s">
        <v>692</v>
      </c>
      <c r="Q61" s="9" t="s">
        <v>693</v>
      </c>
      <c r="R61" s="2" t="s">
        <v>388</v>
      </c>
      <c r="S61" s="2" t="str">
        <f>HYPERLINK(".\links\KOG\AGAP004963-PA-KOG.txt","KOG")</f>
        <v>KOG</v>
      </c>
      <c r="T61" s="2">
        <v>7.0000000000000004E-42</v>
      </c>
      <c r="U61" s="2">
        <v>77.400000000000006</v>
      </c>
      <c r="V61" s="2" t="s">
        <v>812</v>
      </c>
      <c r="W61" s="10" t="s">
        <v>695</v>
      </c>
      <c r="X61" s="2" t="s">
        <v>355</v>
      </c>
      <c r="Y61" s="2" t="str">
        <f>HYPERLINK(".\links\KOG\AGAP004963-PA-KOG.txt","KOG")</f>
        <v>KOG</v>
      </c>
      <c r="Z61" s="15">
        <v>5.0000000000000002E-57</v>
      </c>
      <c r="AA61" s="2">
        <v>71.599999999999994</v>
      </c>
      <c r="AB61" s="13" t="s">
        <v>102</v>
      </c>
      <c r="AC61" s="13" t="str">
        <f>HYPERLINK(".\links\Sigp\AGAP004963-PA-SigP.txt","CYT")</f>
        <v>CYT</v>
      </c>
      <c r="AD61" s="2" t="s">
        <v>102</v>
      </c>
      <c r="AE61" s="2">
        <v>54.695999999999998</v>
      </c>
      <c r="AF61" s="2">
        <v>9.4</v>
      </c>
      <c r="AG61" s="2" t="s">
        <v>102</v>
      </c>
      <c r="AH61" s="2" t="s">
        <v>102</v>
      </c>
      <c r="AI61" s="2" t="s">
        <v>813</v>
      </c>
      <c r="AJ61" s="13">
        <v>0</v>
      </c>
      <c r="AK61" s="2" t="s">
        <v>102</v>
      </c>
      <c r="AL61" s="2" t="s">
        <v>102</v>
      </c>
      <c r="AM61" s="2" t="s">
        <v>102</v>
      </c>
      <c r="AN61" s="13" t="str">
        <f>HYPERLINK(".\links\gpi\AGAP004963-PA-gpi.txt","N")</f>
        <v>N</v>
      </c>
      <c r="AO61" s="14" t="str">
        <f>HYPERLINK(".\links\netoglyc\AGAP004963-PA-netoglyc.txt","0")</f>
        <v>0</v>
      </c>
      <c r="AP61" s="13">
        <v>12.2</v>
      </c>
      <c r="AQ61" s="2">
        <v>4.0999999999999996</v>
      </c>
      <c r="AR61" s="2">
        <v>4.0999999999999996</v>
      </c>
      <c r="AS61" s="2" t="s">
        <v>104</v>
      </c>
      <c r="AT61" s="9" t="str">
        <f>HYPERLINK(".\links\NR-LIGHT\AGAP004963-PA-NR-LIGHT.txt","AGAP004963-PA")</f>
        <v>AGAP004963-PA</v>
      </c>
      <c r="AU61" s="2" t="str">
        <f>HYPERLINK("http://www.ncbi.nlm.nih.gov/sutils/blink.cgi?pid=XP_315060.4","0.0")</f>
        <v>0.0</v>
      </c>
      <c r="AV61" s="2" t="str">
        <f>HYPERLINK("http://www.ncbi.nlm.nih.gov/protein/XP_315060.4","XP_315060.4")</f>
        <v>XP_315060.4</v>
      </c>
      <c r="AW61" s="2">
        <v>100</v>
      </c>
      <c r="AX61" s="2">
        <v>100</v>
      </c>
      <c r="AY61" s="2">
        <v>100</v>
      </c>
      <c r="AZ61" s="2" t="s">
        <v>105</v>
      </c>
      <c r="BA61" s="9" t="str">
        <f>HYPERLINK(".\links\REFSEQ-INVERTEBRATE\AGAP004963-PA-REFSEQ-INVERTEBRATE.txt","AGAP004963-PA")</f>
        <v>AGAP004963-PA</v>
      </c>
      <c r="BB61" s="2" t="str">
        <f>HYPERLINK("http://www.ncbi.nlm.nih.gov/sutils/blink.cgi?pid=XP_315060.4","0.0")</f>
        <v>0.0</v>
      </c>
      <c r="BC61" s="2" t="str">
        <f>HYPERLINK("http://www.ncbi.nlm.nih.gov/protein/XP_315060.4","XP_315060.4")</f>
        <v>XP_315060.4</v>
      </c>
      <c r="BD61" s="2">
        <v>100</v>
      </c>
      <c r="BE61" s="2">
        <v>100</v>
      </c>
      <c r="BF61" s="2">
        <v>100</v>
      </c>
      <c r="BG61" s="2" t="s">
        <v>105</v>
      </c>
      <c r="BH61" s="9" t="str">
        <f>HYPERLINK(".\links\REFSEQ-PROTOZOA\AGAP004963-PA-REFSEQ-PROTOZOA.txt","cyclin B")</f>
        <v>cyclin B</v>
      </c>
      <c r="BI61" s="2" t="str">
        <f>HYPERLINK("http://www.ncbi.nlm.nih.gov/sutils/blink.cgi?pid=XP_001746195.1","1E-061")</f>
        <v>1E-061</v>
      </c>
      <c r="BJ61" s="2" t="str">
        <f>HYPERLINK("http://www.ncbi.nlm.nih.gov/protein/XP_001746195.1","XP_001746195.1")</f>
        <v>XP_001746195.1</v>
      </c>
      <c r="BK61" s="2">
        <v>39</v>
      </c>
      <c r="BL61" s="2">
        <v>57</v>
      </c>
      <c r="BM61" s="2">
        <v>96</v>
      </c>
      <c r="BN61" s="2" t="s">
        <v>248</v>
      </c>
      <c r="BO61" s="9" t="str">
        <f>HYPERLINK(".\links\SWISSP\AGAP004963-PA-SWISSP.txt","G2/mitotic-specific cyclin-B")</f>
        <v>G2/mitotic-specific cyclin-B</v>
      </c>
      <c r="BP61" s="2" t="str">
        <f>HYPERLINK("http://www.uniprot.org/uniprot/P20439","4E-086")</f>
        <v>4E-086</v>
      </c>
      <c r="BQ61" s="2" t="str">
        <f>HYPERLINK("http://www.uniprot.org/uniprot/P20439#expression","P20439")</f>
        <v>P20439</v>
      </c>
      <c r="BR61" s="2">
        <v>39</v>
      </c>
      <c r="BS61" s="2">
        <v>54</v>
      </c>
      <c r="BT61" s="2">
        <v>100</v>
      </c>
      <c r="BU61" s="2" t="s">
        <v>107</v>
      </c>
      <c r="BV61" s="9" t="str">
        <f>HYPERLINK(".\links\FLYBASE\AGAP004963-PA-FLYBASE.txt","FBpp0071822")</f>
        <v>FBpp0071822</v>
      </c>
      <c r="BW61" s="2" t="str">
        <f>HYPERLINK("http://flybase.org/reports/FBgn0000405#alliance_summary_container","1E-107")</f>
        <v>1E-107</v>
      </c>
      <c r="BX61" s="2">
        <v>530</v>
      </c>
      <c r="BY61" s="2">
        <v>40</v>
      </c>
      <c r="BZ61" s="2">
        <v>55</v>
      </c>
      <c r="CA61" s="2">
        <v>100</v>
      </c>
      <c r="CB61" s="9" t="str">
        <f>HYPERLINK(".\links\CDD\AGAP004963-PA-CDD.txt","COG5024, Cyclin")</f>
        <v>COG5024, Cyclin</v>
      </c>
      <c r="CC61" s="15">
        <v>9.9999999999999997E-49</v>
      </c>
      <c r="CD61" s="2">
        <v>79.3</v>
      </c>
      <c r="CE61" s="2" t="s">
        <v>697</v>
      </c>
      <c r="CF61" s="2" t="s">
        <v>814</v>
      </c>
      <c r="CG61" s="9" t="str">
        <f>HYPERLINK(".\links\KOG\AGAP004963-PA-KOG.txt","Cyclin B and related kinase-activating proteins")</f>
        <v>Cyclin B and related kinase-activating proteins</v>
      </c>
      <c r="CH61" s="15">
        <v>3.0000000000000002E-66</v>
      </c>
      <c r="CI61" s="2">
        <v>93.6</v>
      </c>
      <c r="CJ61" s="2" t="s">
        <v>699</v>
      </c>
      <c r="CK61" s="2" t="s">
        <v>700</v>
      </c>
      <c r="CL61" s="9" t="str">
        <f>HYPERLINK(".\links\PFAM\AGAP004963-PA-PFAM.txt","Cyclin_N, Cyclin, N-terminal domain")</f>
        <v>Cyclin_N, Cyclin, N-terminal domain</v>
      </c>
      <c r="CM61" s="15">
        <v>5.0000000000000004E-44</v>
      </c>
      <c r="CN61" s="2">
        <v>102.4</v>
      </c>
      <c r="CO61" s="2" t="s">
        <v>701</v>
      </c>
      <c r="CP61" s="9" t="str">
        <f>HYPERLINK(".\links\SMART\AGAP004963-PA-SMART.txt","CYCLIN, domain present in cyclins, TFIIB and Retinoblastoma")</f>
        <v>CYCLIN, domain present in cyclins, TFIIB and Retinoblastoma</v>
      </c>
      <c r="CQ61" s="15">
        <v>2.0000000000000001E-18</v>
      </c>
      <c r="CR61" s="2">
        <v>103.6</v>
      </c>
      <c r="CS61" s="2" t="s">
        <v>478</v>
      </c>
      <c r="CT61" s="2" t="s">
        <v>812</v>
      </c>
      <c r="CU61" s="2" t="s">
        <v>812</v>
      </c>
      <c r="CV61" s="2" t="s">
        <v>812</v>
      </c>
      <c r="CW61" s="2" t="str">
        <f>HYPERLINK(".\links\pep\AGAP004963-PA-pep.txt","AGAP004963-PA")</f>
        <v>AGAP004963-PA</v>
      </c>
      <c r="CX61" s="2" t="s">
        <v>95</v>
      </c>
      <c r="CY61" s="2">
        <v>484</v>
      </c>
      <c r="CZ61" s="2" t="s">
        <v>113</v>
      </c>
      <c r="DA61" s="2" t="s">
        <v>815</v>
      </c>
      <c r="DB61" s="2">
        <v>0</v>
      </c>
      <c r="DC61" s="2">
        <v>0</v>
      </c>
      <c r="DD61" s="2" t="str">
        <f>HYPERLINK("https://www.kegg.jp/kegg-bin/search_pathway_text?map=aga&amp;keyword=AGAP004963&amp;mode=1&amp;viewImage=true","AGAP004963")</f>
        <v>AGAP004963</v>
      </c>
      <c r="DE61" s="2" t="s">
        <v>811</v>
      </c>
      <c r="DF61" s="2" t="s">
        <v>691</v>
      </c>
      <c r="DG61" s="2" t="s">
        <v>94</v>
      </c>
      <c r="DH61" s="2" t="str">
        <f>HYPERLINK("https://vectorbase.org/vectorbase/app/record/gene/AGAP004963","AGAP004963-RA")</f>
        <v>AGAP004963-RA</v>
      </c>
      <c r="DI61" s="2" t="s">
        <v>115</v>
      </c>
      <c r="DJ61" s="2">
        <v>2002</v>
      </c>
      <c r="DK61" s="2" t="str">
        <f>HYPERLINK(".\links\netoglyc\AGAP004963-PA-netoglyc.txt","0")</f>
        <v>0</v>
      </c>
      <c r="DL61" s="2">
        <v>12.2</v>
      </c>
      <c r="DM61" s="2">
        <v>4.0999999999999996</v>
      </c>
      <c r="DN61" s="2">
        <v>4.0999999999999996</v>
      </c>
      <c r="DO61" s="2" t="s">
        <v>104</v>
      </c>
      <c r="DP61" s="2" t="s">
        <v>102</v>
      </c>
      <c r="DQ61" s="2" t="str">
        <f>HYPERLINK(".\links\Sigp\AGAP004963-PA-SigP.txt","CYT")</f>
        <v>CYT</v>
      </c>
      <c r="DR61" s="2" t="s">
        <v>102</v>
      </c>
      <c r="DS61" s="2">
        <v>54.695999999999998</v>
      </c>
      <c r="DT61" s="2">
        <v>9.4</v>
      </c>
      <c r="DU61" s="2" t="s">
        <v>102</v>
      </c>
      <c r="DV61" s="2" t="s">
        <v>102</v>
      </c>
      <c r="DW61" s="2" t="s">
        <v>813</v>
      </c>
      <c r="DX61" s="2">
        <v>484</v>
      </c>
      <c r="DY61" s="12">
        <v>0</v>
      </c>
      <c r="DZ61" s="2" t="s">
        <v>102</v>
      </c>
      <c r="EA61" s="2" t="s">
        <v>102</v>
      </c>
      <c r="EB61" s="2" t="s">
        <v>102</v>
      </c>
      <c r="EC61" s="2" t="str">
        <f>HYPERLINK(".\links\gpi\AGAP004963-PA-gpi.txt","Y-NoSP")</f>
        <v>Y-NoSP</v>
      </c>
      <c r="ED61" s="2">
        <v>0.24</v>
      </c>
      <c r="EF61" s="2">
        <v>2</v>
      </c>
      <c r="EG61" s="2" t="s">
        <v>102</v>
      </c>
      <c r="EH61" s="2" t="s">
        <v>102</v>
      </c>
      <c r="EI61" s="2">
        <v>12.190082644628101</v>
      </c>
      <c r="EJ61" s="2">
        <v>4.1322314049586799</v>
      </c>
      <c r="EK61" s="2">
        <v>4.1322314049586799</v>
      </c>
      <c r="EL61" s="2">
        <v>8.2644628099173492</v>
      </c>
      <c r="EM61" s="2" t="s">
        <v>102</v>
      </c>
      <c r="EN61" s="2">
        <v>4</v>
      </c>
      <c r="EO61" s="2">
        <v>4</v>
      </c>
      <c r="EP61" s="2" t="s">
        <v>102</v>
      </c>
      <c r="EQ61" s="2" t="s">
        <v>102</v>
      </c>
      <c r="ER61" s="2" t="s">
        <v>102</v>
      </c>
      <c r="ES61" s="2" t="s">
        <v>102</v>
      </c>
      <c r="ET61" s="2" t="str">
        <f>HYPERLINK(".\links\REFSEQ-INVERTEBRATE\AGAP004963-PA-REFSEQ-INVERTEBRATE.txt","AGAP004963-PA")</f>
        <v>AGAP004963-PA</v>
      </c>
      <c r="EU61" s="2" t="str">
        <f>HYPERLINK("http://www.ncbi.nlm.nih.gov/sutils/blink.cgi?pid=XP_315060.4","0.0")</f>
        <v>0.0</v>
      </c>
      <c r="EV61" s="2" t="str">
        <f>HYPERLINK("http://www.ncbi.nlm.nih.gov/protein/XP_315060.4","XP_315060.4")</f>
        <v>XP_315060.4</v>
      </c>
      <c r="EW61" s="2">
        <v>100</v>
      </c>
      <c r="EX61" s="2">
        <v>100</v>
      </c>
      <c r="EY61" s="2">
        <v>100</v>
      </c>
      <c r="EZ61" s="2" t="s">
        <v>105</v>
      </c>
    </row>
    <row r="62" spans="1:156" x14ac:dyDescent="0.25">
      <c r="A62" s="2" t="s">
        <v>816</v>
      </c>
      <c r="B62" s="2">
        <v>0.40607845440799301</v>
      </c>
      <c r="C62" s="2">
        <f t="shared" si="0"/>
        <v>1.3250790734845168</v>
      </c>
      <c r="D62" s="2">
        <v>4.8942444364742999</v>
      </c>
      <c r="E62" s="2">
        <v>9.67551691107621</v>
      </c>
      <c r="F62" s="2">
        <v>1.8673972430701901E-3</v>
      </c>
      <c r="G62" s="2">
        <v>4.2306206506796999E-2</v>
      </c>
      <c r="H62" s="2" t="s">
        <v>817</v>
      </c>
      <c r="I62" s="2" t="s">
        <v>94</v>
      </c>
      <c r="J62" s="2" t="str">
        <f>HYPERLINK("https://vectorbase.org/vectorbase/app/record/gene/AGAP005031","AGAP005031-RB")</f>
        <v>AGAP005031-RB</v>
      </c>
      <c r="K62" s="2" t="str">
        <f>HYPERLINK(".\links\pep\AGAP005031-PB-pep.txt","AGAP005031-PB")</f>
        <v>AGAP005031-PB</v>
      </c>
      <c r="L62" s="12" t="s">
        <v>95</v>
      </c>
      <c r="M62" s="2">
        <v>512</v>
      </c>
      <c r="N62" s="2">
        <v>0</v>
      </c>
      <c r="O62" s="2">
        <v>2</v>
      </c>
      <c r="P62" s="2" t="s">
        <v>818</v>
      </c>
      <c r="Q62" s="9" t="s">
        <v>819</v>
      </c>
      <c r="R62" s="2" t="s">
        <v>564</v>
      </c>
      <c r="S62" s="2" t="str">
        <f>HYPERLINK(".\links\KOG\AGAP005031-PB-KOG.txt","KOG")</f>
        <v>KOG</v>
      </c>
      <c r="T62" s="2">
        <v>1E-84</v>
      </c>
      <c r="U62" s="2">
        <v>72</v>
      </c>
      <c r="V62" s="2" t="s">
        <v>820</v>
      </c>
      <c r="W62" s="10" t="s">
        <v>821</v>
      </c>
      <c r="X62" s="2" t="s">
        <v>822</v>
      </c>
      <c r="Y62" s="2" t="str">
        <f>HYPERLINK(".\links\EC\AGAP005031-PB-EC.txt","EC")</f>
        <v>EC</v>
      </c>
      <c r="Z62" s="2">
        <v>0</v>
      </c>
      <c r="AA62" s="2">
        <v>60</v>
      </c>
      <c r="AB62" s="13" t="s">
        <v>102</v>
      </c>
      <c r="AC62" s="13" t="str">
        <f>HYPERLINK(".\links\Sigp\AGAP005031-PB-SigP.txt","CYT")</f>
        <v>CYT</v>
      </c>
      <c r="AD62" s="2" t="s">
        <v>102</v>
      </c>
      <c r="AE62" s="2">
        <v>55.695</v>
      </c>
      <c r="AF62" s="2">
        <v>6.46</v>
      </c>
      <c r="AG62" s="2" t="s">
        <v>102</v>
      </c>
      <c r="AH62" s="2" t="s">
        <v>102</v>
      </c>
      <c r="AI62" s="2" t="s">
        <v>823</v>
      </c>
      <c r="AJ62" s="13">
        <v>0</v>
      </c>
      <c r="AK62" s="2" t="s">
        <v>102</v>
      </c>
      <c r="AL62" s="2" t="s">
        <v>102</v>
      </c>
      <c r="AM62" s="2" t="s">
        <v>102</v>
      </c>
      <c r="AN62" s="13" t="str">
        <f>HYPERLINK(".\links\gpi\AGAP005031-PB-gpi.txt","N")</f>
        <v>N</v>
      </c>
      <c r="AO62" s="14" t="str">
        <f>HYPERLINK(".\links\netoglyc\AGAP005031-PB-netoglyc.txt","43")</f>
        <v>43</v>
      </c>
      <c r="AP62" s="13">
        <v>20.3</v>
      </c>
      <c r="AQ62" s="2">
        <v>4.0999999999999996</v>
      </c>
      <c r="AR62" s="2">
        <v>7.8</v>
      </c>
      <c r="AS62" s="2" t="s">
        <v>104</v>
      </c>
      <c r="AT62" s="9" t="str">
        <f>HYPERLINK(".\links\NR-LIGHT\AGAP005031-PB-NR-LIGHT.txt","AGAP005031-PA, partial")</f>
        <v>AGAP005031-PA, partial</v>
      </c>
      <c r="AU62" s="2" t="str">
        <f>HYPERLINK("http://www.ncbi.nlm.nih.gov/sutils/blink.cgi?pid=XP_001688469.1","0.0")</f>
        <v>0.0</v>
      </c>
      <c r="AV62" s="2" t="str">
        <f>HYPERLINK("http://www.ncbi.nlm.nih.gov/protein/XP_001688469.1","XP_001688469.1")</f>
        <v>XP_001688469.1</v>
      </c>
      <c r="AW62" s="2">
        <v>100</v>
      </c>
      <c r="AX62" s="2">
        <v>100</v>
      </c>
      <c r="AY62" s="2">
        <v>80</v>
      </c>
      <c r="AZ62" s="2" t="s">
        <v>105</v>
      </c>
      <c r="BA62" s="9" t="str">
        <f>HYPERLINK(".\links\REFSEQ-INVERTEBRATE\AGAP005031-PB-REFSEQ-INVERTEBRATE.txt","AGAP005031-PA, partial")</f>
        <v>AGAP005031-PA, partial</v>
      </c>
      <c r="BB62" s="2" t="str">
        <f>HYPERLINK("http://www.ncbi.nlm.nih.gov/sutils/blink.cgi?pid=XP_001688469.1","0.0")</f>
        <v>0.0</v>
      </c>
      <c r="BC62" s="2" t="str">
        <f>HYPERLINK("http://www.ncbi.nlm.nih.gov/protein/XP_001688469.1","XP_001688469.1")</f>
        <v>XP_001688469.1</v>
      </c>
      <c r="BD62" s="2">
        <v>100</v>
      </c>
      <c r="BE62" s="2">
        <v>100</v>
      </c>
      <c r="BF62" s="2">
        <v>80</v>
      </c>
      <c r="BG62" s="2" t="s">
        <v>105</v>
      </c>
      <c r="BH62" s="9" t="str">
        <f>HYPERLINK(".\links\REFSEQ-PROTOZOA\AGAP005031-PB-REFSEQ-PROTOZOA.txt","hypothetical protein SARC_11693, partial")</f>
        <v>hypothetical protein SARC_11693, partial</v>
      </c>
      <c r="BI62" s="2" t="str">
        <f>HYPERLINK("http://www.ncbi.nlm.nih.gov/sutils/blink.cgi?pid=XP_014149691.1","4E-026")</f>
        <v>4E-026</v>
      </c>
      <c r="BJ62" s="2" t="str">
        <f>HYPERLINK("http://www.ncbi.nlm.nih.gov/protein/XP_014149691.1","XP_014149691.1")</f>
        <v>XP_014149691.1</v>
      </c>
      <c r="BK62" s="2">
        <v>24</v>
      </c>
      <c r="BL62" s="2">
        <v>44</v>
      </c>
      <c r="BM62" s="2">
        <v>46</v>
      </c>
      <c r="BN62" s="2" t="s">
        <v>393</v>
      </c>
      <c r="BO62" s="9" t="str">
        <f>HYPERLINK(".\links\SWISSP\AGAP005031-PB-SWISSP.txt","E3 SUMO-protein ligase PIAS1")</f>
        <v>E3 SUMO-protein ligase PIAS1</v>
      </c>
      <c r="BP62" s="2" t="str">
        <f>HYPERLINK("http://www.uniprot.org/uniprot/O88907","4E-098")</f>
        <v>4E-098</v>
      </c>
      <c r="BQ62" s="2" t="str">
        <f>HYPERLINK("http://www.uniprot.org/uniprot/O88907#expression","O88907")</f>
        <v>O88907</v>
      </c>
      <c r="BR62" s="2">
        <v>47</v>
      </c>
      <c r="BS62" s="2">
        <v>63</v>
      </c>
      <c r="BT62" s="2">
        <v>64</v>
      </c>
      <c r="BU62" s="2" t="s">
        <v>662</v>
      </c>
      <c r="BV62" s="9" t="str">
        <f>HYPERLINK(".\links\FLYBASE\AGAP005031-PB-FLYBASE.txt","FBpp0291668")</f>
        <v>FBpp0291668</v>
      </c>
      <c r="BW62" s="2" t="str">
        <f>HYPERLINK("http://flybase.org/reports/FBgn0003612#alliance_summary_container","0.0")</f>
        <v>0.0</v>
      </c>
      <c r="BX62" s="2">
        <v>537</v>
      </c>
      <c r="BY62" s="2">
        <v>66</v>
      </c>
      <c r="BZ62" s="2">
        <v>77</v>
      </c>
      <c r="CA62" s="2">
        <v>76</v>
      </c>
      <c r="CB62" s="9" t="str">
        <f>HYPERLINK(".\links\CDD\AGAP005031-PB-CDD.txt","PINIT, PINIT domain")</f>
        <v>PINIT, PINIT domain</v>
      </c>
      <c r="CC62" s="15">
        <v>3E-34</v>
      </c>
      <c r="CD62" s="2">
        <v>103.8</v>
      </c>
      <c r="CE62" s="2" t="s">
        <v>824</v>
      </c>
      <c r="CF62" s="2" t="s">
        <v>825</v>
      </c>
      <c r="CG62" s="9" t="str">
        <f>HYPERLINK(".\links\KOG\AGAP005031-PB-KOG.txt","Zn-finger transcription factor")</f>
        <v>Zn-finger transcription factor</v>
      </c>
      <c r="CH62" s="15">
        <v>1E-84</v>
      </c>
      <c r="CI62" s="2">
        <v>72</v>
      </c>
      <c r="CJ62" s="2" t="s">
        <v>826</v>
      </c>
      <c r="CK62" s="2" t="s">
        <v>309</v>
      </c>
      <c r="CL62" s="9" t="str">
        <f>HYPERLINK(".\links\PFAM\AGAP005031-PB-PFAM.txt","PINIT, PINIT domain")</f>
        <v>PINIT, PINIT domain</v>
      </c>
      <c r="CM62" s="15">
        <v>5.9999999999999998E-35</v>
      </c>
      <c r="CN62" s="2">
        <v>103.8</v>
      </c>
      <c r="CO62" s="2" t="s">
        <v>824</v>
      </c>
      <c r="CP62" s="9" t="str">
        <f>HYPERLINK(".\links\SMART\AGAP005031-PB-SMART.txt","RING, Ring finger")</f>
        <v>RING, Ring finger</v>
      </c>
      <c r="CQ62" s="15">
        <v>0.16</v>
      </c>
      <c r="CR62" s="2">
        <v>115</v>
      </c>
      <c r="CS62" s="2" t="s">
        <v>827</v>
      </c>
      <c r="CT62" s="2" t="s">
        <v>820</v>
      </c>
      <c r="CU62" s="2" t="s">
        <v>820</v>
      </c>
      <c r="CV62" s="2" t="s">
        <v>820</v>
      </c>
      <c r="CW62" s="2" t="str">
        <f>HYPERLINK(".\links\pep\AGAP005031-PB-pep.txt","AGAP005031-PB")</f>
        <v>AGAP005031-PB</v>
      </c>
      <c r="CX62" s="2" t="s">
        <v>95</v>
      </c>
      <c r="CY62" s="2">
        <v>512</v>
      </c>
      <c r="CZ62" s="2" t="s">
        <v>113</v>
      </c>
      <c r="DA62" s="2" t="s">
        <v>828</v>
      </c>
      <c r="DB62" s="2">
        <v>0</v>
      </c>
      <c r="DC62" s="2">
        <v>2</v>
      </c>
      <c r="DD62" s="2" t="str">
        <f>HYPERLINK("https://www.kegg.jp/kegg-bin/search_pathway_text?map=aga&amp;keyword=AGAP005031&amp;mode=1&amp;viewImage=true","AGAP005031")</f>
        <v>AGAP005031</v>
      </c>
      <c r="DE62" s="2" t="s">
        <v>816</v>
      </c>
      <c r="DF62" s="2" t="s">
        <v>817</v>
      </c>
      <c r="DG62" s="2" t="s">
        <v>94</v>
      </c>
      <c r="DH62" s="2" t="str">
        <f>HYPERLINK("https://vectorbase.org/vectorbase/app/record/gene/AGAP005031","AGAP005031-RB")</f>
        <v>AGAP005031-RB</v>
      </c>
      <c r="DI62" s="2" t="s">
        <v>135</v>
      </c>
      <c r="DJ62" s="2">
        <v>3503</v>
      </c>
      <c r="DK62" s="2" t="str">
        <f>HYPERLINK(".\links\netoglyc\AGAP005031-PB-netoglyc.txt","43")</f>
        <v>43</v>
      </c>
      <c r="DL62" s="2">
        <v>20.3</v>
      </c>
      <c r="DM62" s="2">
        <v>4.0999999999999996</v>
      </c>
      <c r="DN62" s="2">
        <v>7.8</v>
      </c>
      <c r="DO62" s="2" t="s">
        <v>104</v>
      </c>
      <c r="DP62" s="2" t="s">
        <v>102</v>
      </c>
      <c r="DQ62" s="2" t="str">
        <f>HYPERLINK(".\links\Sigp\AGAP005031-PB-SigP.txt","CYT")</f>
        <v>CYT</v>
      </c>
      <c r="DR62" s="2" t="s">
        <v>102</v>
      </c>
      <c r="DS62" s="2">
        <v>55.695</v>
      </c>
      <c r="DT62" s="2">
        <v>6.46</v>
      </c>
      <c r="DU62" s="2" t="s">
        <v>102</v>
      </c>
      <c r="DV62" s="2" t="s">
        <v>102</v>
      </c>
      <c r="DW62" s="2" t="s">
        <v>823</v>
      </c>
      <c r="DX62" s="2">
        <v>512</v>
      </c>
      <c r="DY62" s="12">
        <v>0</v>
      </c>
      <c r="DZ62" s="2" t="s">
        <v>102</v>
      </c>
      <c r="EA62" s="2" t="s">
        <v>102</v>
      </c>
      <c r="EB62" s="2" t="s">
        <v>102</v>
      </c>
      <c r="EC62" s="2" t="str">
        <f>HYPERLINK(".\links\gpi\AGAP005031-PB-gpi.txt","Y-NoSP")</f>
        <v>Y-NoSP</v>
      </c>
      <c r="ED62" s="2">
        <v>0.27</v>
      </c>
      <c r="EF62" s="2">
        <v>12</v>
      </c>
      <c r="EG62" s="2" t="s">
        <v>102</v>
      </c>
      <c r="EH62" s="2" t="s">
        <v>102</v>
      </c>
      <c r="EI62" s="2">
        <v>20.3125</v>
      </c>
      <c r="EJ62" s="2">
        <v>7.8125</v>
      </c>
      <c r="EK62" s="2">
        <v>4.1015625</v>
      </c>
      <c r="EL62" s="2">
        <v>11.9140625</v>
      </c>
      <c r="EM62" s="2" t="s">
        <v>102</v>
      </c>
      <c r="EN62" s="2">
        <v>1</v>
      </c>
      <c r="EO62" s="2">
        <v>2</v>
      </c>
      <c r="EP62" s="2" t="s">
        <v>102</v>
      </c>
      <c r="EQ62" s="2" t="s">
        <v>102</v>
      </c>
      <c r="ER62" s="2" t="s">
        <v>102</v>
      </c>
      <c r="ES62" s="2" t="s">
        <v>102</v>
      </c>
      <c r="ET62" s="2" t="str">
        <f>HYPERLINK(".\links\REFSEQ-INVERTEBRATE\AGAP005031-PB-REFSEQ-INVERTEBRATE.txt","AGAP005031-PA, partial")</f>
        <v>AGAP005031-PA, partial</v>
      </c>
      <c r="EU62" s="2" t="str">
        <f>HYPERLINK("http://www.ncbi.nlm.nih.gov/sutils/blink.cgi?pid=XP_001688469.1","0.0")</f>
        <v>0.0</v>
      </c>
      <c r="EV62" s="2" t="str">
        <f>HYPERLINK("http://www.ncbi.nlm.nih.gov/protein/XP_001688469.1","XP_001688469.1")</f>
        <v>XP_001688469.1</v>
      </c>
      <c r="EW62" s="2">
        <v>100</v>
      </c>
      <c r="EX62" s="2">
        <v>100</v>
      </c>
      <c r="EY62" s="2">
        <v>80</v>
      </c>
      <c r="EZ62" s="2" t="s">
        <v>105</v>
      </c>
    </row>
    <row r="63" spans="1:156" x14ac:dyDescent="0.25">
      <c r="A63" s="2" t="s">
        <v>829</v>
      </c>
      <c r="B63" s="2">
        <v>0.40555731042944898</v>
      </c>
      <c r="C63" s="2">
        <f t="shared" si="0"/>
        <v>1.3246005023028602</v>
      </c>
      <c r="D63" s="2">
        <v>5.1075773200121004</v>
      </c>
      <c r="E63" s="2">
        <v>9.2171162192173099</v>
      </c>
      <c r="F63" s="2">
        <v>2.3976290741310399E-3</v>
      </c>
      <c r="G63" s="2">
        <v>4.63542925914135E-2</v>
      </c>
      <c r="H63" s="2" t="s">
        <v>93</v>
      </c>
      <c r="I63" s="2" t="s">
        <v>94</v>
      </c>
      <c r="J63" s="2" t="str">
        <f>HYPERLINK("https://vectorbase.org/vectorbase/app/record/gene/AGAP003558","AGAP003558-RA")</f>
        <v>AGAP003558-RA</v>
      </c>
      <c r="K63" s="2" t="str">
        <f>HYPERLINK(".\links\pep\AGAP003558-PA-pep.txt","AGAP003558-PA")</f>
        <v>AGAP003558-PA</v>
      </c>
      <c r="L63" s="12" t="s">
        <v>95</v>
      </c>
      <c r="M63" s="2">
        <v>108</v>
      </c>
      <c r="N63" s="2">
        <v>0</v>
      </c>
      <c r="O63" s="2">
        <v>0</v>
      </c>
      <c r="P63" s="2" t="s">
        <v>102</v>
      </c>
      <c r="Q63" s="9" t="s">
        <v>830</v>
      </c>
      <c r="R63" s="2" t="s">
        <v>822</v>
      </c>
      <c r="S63" s="2" t="str">
        <f>HYPERLINK(".\links\REFSEQ-INVERTEBRATE\AGAP003558-PA-REFSEQ-INVERTEBRATE.txt","REFSEQ-INVERTEBRATE")</f>
        <v>REFSEQ-INVERTEBRATE</v>
      </c>
      <c r="T63" s="2">
        <v>4.0000000000000002E-9</v>
      </c>
      <c r="U63" s="2">
        <v>95.6</v>
      </c>
      <c r="V63" s="2" t="s">
        <v>831</v>
      </c>
      <c r="W63" s="10" t="s">
        <v>832</v>
      </c>
      <c r="X63" s="2" t="s">
        <v>822</v>
      </c>
      <c r="Y63" s="2" t="str">
        <f>HYPERLINK(".\links\REFSEQ-INVERTEBRATE\AGAP003558-PA-REFSEQ-INVERTEBRATE.txt","REFSEQ-INVERTEBRATE")</f>
        <v>REFSEQ-INVERTEBRATE</v>
      </c>
      <c r="Z63" s="15">
        <v>2.0000000000000001E-42</v>
      </c>
      <c r="AA63" s="2">
        <v>100</v>
      </c>
      <c r="AB63" s="13" t="s">
        <v>102</v>
      </c>
      <c r="AC63" s="13" t="str">
        <f>HYPERLINK(".\links\Sigp\AGAP003558-PA-SigP.txt","BL")</f>
        <v>BL</v>
      </c>
      <c r="AD63" s="2" t="s">
        <v>833</v>
      </c>
      <c r="AE63" s="2">
        <v>12.512</v>
      </c>
      <c r="AF63" s="2">
        <v>7.64</v>
      </c>
      <c r="AG63" s="2">
        <v>10.544</v>
      </c>
      <c r="AH63" s="2">
        <v>7.83</v>
      </c>
      <c r="AI63" s="2" t="s">
        <v>834</v>
      </c>
      <c r="AJ63" s="13" t="str">
        <f>HYPERLINK(".\links\tmhmm\AGAP003558-PA-tmhmm.txt","1")</f>
        <v>1</v>
      </c>
      <c r="AK63" s="2">
        <v>20.399999999999999</v>
      </c>
      <c r="AL63" s="2">
        <v>4.5999999999999996</v>
      </c>
      <c r="AM63" s="2">
        <v>75</v>
      </c>
      <c r="AN63" s="13" t="str">
        <f>HYPERLINK(".\links\gpi\AGAP003558-PA-gpi.txt","N")</f>
        <v>N</v>
      </c>
      <c r="AO63" s="14" t="str">
        <f>HYPERLINK(".\links\netoglyc\AGAP003558-PA-netoglyc.txt","0")</f>
        <v>0</v>
      </c>
      <c r="AP63" s="13">
        <v>13</v>
      </c>
      <c r="AQ63" s="2">
        <v>4.5999999999999996</v>
      </c>
      <c r="AR63" s="2">
        <v>5.6</v>
      </c>
      <c r="AS63" s="2" t="s">
        <v>104</v>
      </c>
      <c r="AT63" s="9" t="str">
        <f>HYPERLINK(".\links\NR-LIGHT\AGAP003558-PA-NR-LIGHT.txt","AGAP003558-PA")</f>
        <v>AGAP003558-PA</v>
      </c>
      <c r="AU63" s="2" t="str">
        <f>HYPERLINK("http://www.ncbi.nlm.nih.gov/sutils/blink.cgi?pid=XP_001230920.1","2E-060")</f>
        <v>2E-060</v>
      </c>
      <c r="AV63" s="2" t="str">
        <f>HYPERLINK("http://www.ncbi.nlm.nih.gov/protein/XP_001230920.1","XP_001230920.1")</f>
        <v>XP_001230920.1</v>
      </c>
      <c r="AW63" s="2">
        <v>100</v>
      </c>
      <c r="AX63" s="2">
        <v>100</v>
      </c>
      <c r="AY63" s="2">
        <v>100</v>
      </c>
      <c r="AZ63" s="2" t="s">
        <v>105</v>
      </c>
      <c r="BA63" s="9" t="str">
        <f>HYPERLINK(".\links\REFSEQ-INVERTEBRATE\AGAP003558-PA-REFSEQ-INVERTEBRATE.txt","AGAP003558-PA")</f>
        <v>AGAP003558-PA</v>
      </c>
      <c r="BB63" s="2" t="str">
        <f>HYPERLINK("http://www.ncbi.nlm.nih.gov/sutils/blink.cgi?pid=XP_001230920.1","2E-060")</f>
        <v>2E-060</v>
      </c>
      <c r="BC63" s="2" t="str">
        <f>HYPERLINK("http://www.ncbi.nlm.nih.gov/protein/XP_001230920.1","XP_001230920.1")</f>
        <v>XP_001230920.1</v>
      </c>
      <c r="BD63" s="2">
        <v>100</v>
      </c>
      <c r="BE63" s="2">
        <v>100</v>
      </c>
      <c r="BF63" s="2">
        <v>100</v>
      </c>
      <c r="BG63" s="2" t="s">
        <v>105</v>
      </c>
      <c r="BH63" s="9" t="str">
        <f>HYPERLINK(".\links\REFSEQ-PROTOZOA\AGAP003558-PA-REFSEQ-PROTOZOA.txt","hypothetical protein (macronuclear)")</f>
        <v>hypothetical protein (macronuclear)</v>
      </c>
      <c r="BI63" s="2" t="str">
        <f>HYPERLINK("http://www.ncbi.nlm.nih.gov/sutils/blink.cgi?pid=XP_001446845.1","4E-009")</f>
        <v>4E-009</v>
      </c>
      <c r="BJ63" s="2" t="str">
        <f>HYPERLINK("http://www.ncbi.nlm.nih.gov/protein/XP_001446845.1","XP_001446845.1")</f>
        <v>XP_001446845.1</v>
      </c>
      <c r="BK63" s="2">
        <v>54</v>
      </c>
      <c r="BL63" s="2">
        <v>68</v>
      </c>
      <c r="BM63" s="2">
        <v>19</v>
      </c>
      <c r="BN63" s="2" t="s">
        <v>347</v>
      </c>
      <c r="BO63" s="9" t="str">
        <f>HYPERLINK(".\links\SWISSP\AGAP003558-PA-SWISSP.txt","Putative RING-H2 finger protein ATL35")</f>
        <v>Putative RING-H2 finger protein ATL35</v>
      </c>
      <c r="BP63" s="2" t="str">
        <f>HYPERLINK("http://www.uniprot.org/uniprot/Q9M0R6","2E-007")</f>
        <v>2E-007</v>
      </c>
      <c r="BQ63" s="2" t="str">
        <f>HYPERLINK("http://www.uniprot.org/uniprot/Q9M0R6#expression","Q9M0R6")</f>
        <v>Q9M0R6</v>
      </c>
      <c r="BR63" s="2">
        <v>41</v>
      </c>
      <c r="BS63" s="2">
        <v>60</v>
      </c>
      <c r="BT63" s="2">
        <v>16</v>
      </c>
      <c r="BU63" s="2" t="s">
        <v>280</v>
      </c>
      <c r="BV63" s="9" t="str">
        <f>HYPERLINK(".\links\FLYBASE\AGAP003558-PA-FLYBASE.txt","FBpp0297426")</f>
        <v>FBpp0297426</v>
      </c>
      <c r="BW63" s="2" t="str">
        <f>HYPERLINK("http://flybase.org/reports/FBgn0004919#alliance_summary_container","1E-08")</f>
        <v>1E-08</v>
      </c>
      <c r="BX63" s="2">
        <v>461</v>
      </c>
      <c r="BY63" s="2">
        <v>36</v>
      </c>
      <c r="BZ63" s="2">
        <v>60</v>
      </c>
      <c r="CA63" s="2">
        <v>13</v>
      </c>
      <c r="CB63" s="9" t="str">
        <f>HYPERLINK(".\links\CDD\AGAP003558-PA-CDD.txt","zf-RING_2, Ring finger domain")</f>
        <v>zf-RING_2, Ring finger domain</v>
      </c>
      <c r="CC63" s="15">
        <v>1E-8</v>
      </c>
      <c r="CD63" s="2">
        <v>95.5</v>
      </c>
      <c r="CE63" s="2" t="s">
        <v>835</v>
      </c>
      <c r="CF63" s="2" t="s">
        <v>836</v>
      </c>
      <c r="CG63" s="9" t="str">
        <f>HYPERLINK(".\links\KOG\AGAP003558-PA-KOG.txt","Predicted E3 ubiquitin ligase")</f>
        <v>Predicted E3 ubiquitin ligase</v>
      </c>
      <c r="CH63" s="15">
        <v>4.9999999999999998E-8</v>
      </c>
      <c r="CI63" s="2">
        <v>31</v>
      </c>
      <c r="CJ63" s="2" t="s">
        <v>837</v>
      </c>
      <c r="CK63" s="2" t="s">
        <v>111</v>
      </c>
      <c r="CL63" s="9" t="str">
        <f>HYPERLINK(".\links\PFAM\AGAP003558-PA-PFAM.txt","zf-RING_2, Ring finger domain")</f>
        <v>zf-RING_2, Ring finger domain</v>
      </c>
      <c r="CM63" s="15">
        <v>3E-9</v>
      </c>
      <c r="CN63" s="2">
        <v>95.5</v>
      </c>
      <c r="CO63" s="2" t="s">
        <v>835</v>
      </c>
      <c r="CP63" s="9" t="str">
        <f>HYPERLINK(".\links\SMART\AGAP003558-PA-SMART.txt","RING, Ring finger")</f>
        <v>RING, Ring finger</v>
      </c>
      <c r="CQ63" s="15">
        <v>5.0000000000000004E-6</v>
      </c>
      <c r="CR63" s="2">
        <v>102.5</v>
      </c>
      <c r="CS63" s="2" t="s">
        <v>827</v>
      </c>
      <c r="CT63" s="2" t="s">
        <v>831</v>
      </c>
      <c r="CU63" s="2" t="s">
        <v>831</v>
      </c>
      <c r="CV63" s="2" t="s">
        <v>831</v>
      </c>
      <c r="CW63" s="2" t="str">
        <f>HYPERLINK(".\links\pep\AGAP003558-PA-pep.txt","AGAP003558-PA")</f>
        <v>AGAP003558-PA</v>
      </c>
      <c r="CX63" s="2" t="s">
        <v>95</v>
      </c>
      <c r="CY63" s="2">
        <v>108</v>
      </c>
      <c r="CZ63" s="2" t="s">
        <v>113</v>
      </c>
      <c r="DA63" s="2" t="s">
        <v>838</v>
      </c>
      <c r="DB63" s="2">
        <v>0</v>
      </c>
      <c r="DC63" s="2">
        <v>0</v>
      </c>
      <c r="DD63" s="2" t="str">
        <f>HYPERLINK("https://www.kegg.jp/kegg-bin/search_pathway_text?map=aga&amp;keyword=AGAP003558&amp;mode=1&amp;viewImage=true","AGAP003558")</f>
        <v>AGAP003558</v>
      </c>
      <c r="DE63" s="2" t="s">
        <v>829</v>
      </c>
      <c r="DF63" s="2" t="s">
        <v>93</v>
      </c>
      <c r="DG63" s="2" t="s">
        <v>94</v>
      </c>
      <c r="DH63" s="2" t="str">
        <f>HYPERLINK("https://vectorbase.org/vectorbase/app/record/gene/AGAP003558","AGAP003558-RA")</f>
        <v>AGAP003558-RA</v>
      </c>
      <c r="DI63" s="2" t="s">
        <v>135</v>
      </c>
      <c r="DJ63" s="2">
        <v>998</v>
      </c>
      <c r="DK63" s="2" t="str">
        <f>HYPERLINK(".\links\netoglyc\AGAP003558-PA-netoglyc.txt","0")</f>
        <v>0</v>
      </c>
      <c r="DL63" s="2">
        <v>13</v>
      </c>
      <c r="DM63" s="2">
        <v>4.5999999999999996</v>
      </c>
      <c r="DN63" s="2">
        <v>5.6</v>
      </c>
      <c r="DO63" s="2" t="s">
        <v>104</v>
      </c>
      <c r="DP63" s="2" t="s">
        <v>102</v>
      </c>
      <c r="DQ63" s="2" t="str">
        <f>HYPERLINK(".\links\Sigp\AGAP003558-PA-SigP.txt","BL")</f>
        <v>BL</v>
      </c>
      <c r="DR63" s="2" t="s">
        <v>833</v>
      </c>
      <c r="DS63" s="2">
        <v>12.512</v>
      </c>
      <c r="DT63" s="2">
        <v>7.64</v>
      </c>
      <c r="DU63" s="2">
        <v>10.544</v>
      </c>
      <c r="DV63" s="2">
        <v>7.83</v>
      </c>
      <c r="DW63" s="2" t="s">
        <v>834</v>
      </c>
      <c r="DX63" s="2">
        <v>108</v>
      </c>
      <c r="DY63" s="12" t="str">
        <f>HYPERLINK(".\links\tmhmm\AGAP003558-PA-tmhmm.txt","1")</f>
        <v>1</v>
      </c>
      <c r="DZ63" s="2">
        <v>20.399999999999999</v>
      </c>
      <c r="EA63" s="2">
        <v>4.5999999999999996</v>
      </c>
      <c r="EB63" s="2">
        <v>75</v>
      </c>
      <c r="EC63" s="2" t="str">
        <f>HYPERLINK(".\links\gpi\AGAP003558-PA-gpi.txt","N")</f>
        <v>N</v>
      </c>
      <c r="ED63" s="2">
        <v>0.3</v>
      </c>
      <c r="EE63" s="2" t="s">
        <v>839</v>
      </c>
      <c r="EF63" s="2">
        <v>6</v>
      </c>
      <c r="EG63" s="2" t="s">
        <v>102</v>
      </c>
      <c r="EH63" s="2" t="s">
        <v>102</v>
      </c>
      <c r="EI63" s="2">
        <v>12.962962962962999</v>
      </c>
      <c r="EJ63" s="2">
        <v>5.5555555555555598</v>
      </c>
      <c r="EK63" s="2">
        <v>4.6296296296296298</v>
      </c>
      <c r="EL63" s="2">
        <v>10.185185185185199</v>
      </c>
      <c r="EM63" s="2" t="s">
        <v>102</v>
      </c>
      <c r="EN63" s="2" t="s">
        <v>102</v>
      </c>
      <c r="EO63" s="2">
        <v>1</v>
      </c>
      <c r="EP63" s="2" t="s">
        <v>102</v>
      </c>
      <c r="EQ63" s="2" t="s">
        <v>102</v>
      </c>
      <c r="ER63" s="2" t="s">
        <v>102</v>
      </c>
      <c r="ES63" s="2" t="s">
        <v>102</v>
      </c>
      <c r="ET63" s="2" t="str">
        <f>HYPERLINK(".\links\REFSEQ-INVERTEBRATE\AGAP003558-PA-REFSEQ-INVERTEBRATE.txt","AGAP003558-PA")</f>
        <v>AGAP003558-PA</v>
      </c>
      <c r="EU63" s="2" t="str">
        <f>HYPERLINK("http://www.ncbi.nlm.nih.gov/sutils/blink.cgi?pid=XP_001230920.1","3E-78")</f>
        <v>3E-78</v>
      </c>
      <c r="EV63" s="2" t="str">
        <f>HYPERLINK("http://www.ncbi.nlm.nih.gov/protein/XP_001230920.1","XP_001230920.1")</f>
        <v>XP_001230920.1</v>
      </c>
      <c r="EW63" s="2">
        <v>100</v>
      </c>
      <c r="EX63" s="2">
        <v>100</v>
      </c>
      <c r="EY63" s="2">
        <v>100</v>
      </c>
      <c r="EZ63" s="2" t="s">
        <v>105</v>
      </c>
    </row>
    <row r="64" spans="1:156" x14ac:dyDescent="0.25">
      <c r="A64" s="2" t="s">
        <v>840</v>
      </c>
      <c r="B64" s="2">
        <v>0.40543603519094701</v>
      </c>
      <c r="C64" s="2">
        <f t="shared" si="0"/>
        <v>1.3244891589589141</v>
      </c>
      <c r="D64" s="2">
        <v>4.9515462368121002</v>
      </c>
      <c r="E64" s="2">
        <v>11.563467168685399</v>
      </c>
      <c r="F64" s="2">
        <v>6.72603151730654E-4</v>
      </c>
      <c r="G64" s="2">
        <v>2.8678620114207E-2</v>
      </c>
      <c r="H64" s="2" t="s">
        <v>93</v>
      </c>
      <c r="I64" s="2" t="s">
        <v>94</v>
      </c>
      <c r="J64" s="2" t="str">
        <f>HYPERLINK("https://vectorbase.org/vectorbase/app/record/gene/AGAP029743","AGAP029743-RA")</f>
        <v>AGAP029743-RA</v>
      </c>
      <c r="K64" s="2" t="str">
        <f>HYPERLINK(".\links\pep\AGAP029743-PA-pep.txt","AGAP029743-PA")</f>
        <v>AGAP029743-PA</v>
      </c>
      <c r="L64" s="12" t="s">
        <v>95</v>
      </c>
      <c r="M64" s="2">
        <v>542</v>
      </c>
      <c r="N64" s="2">
        <v>0</v>
      </c>
      <c r="O64" s="2">
        <v>1</v>
      </c>
      <c r="P64" s="2" t="s">
        <v>102</v>
      </c>
      <c r="Q64" s="9" t="s">
        <v>738</v>
      </c>
      <c r="R64" s="2" t="s">
        <v>420</v>
      </c>
      <c r="S64" s="2" t="str">
        <f>HYPERLINK(".\links\KOG\AGAP029743-PA-KOG.txt","KOG")</f>
        <v>KOG</v>
      </c>
      <c r="T64" s="2">
        <v>9.9999999999999998E-13</v>
      </c>
      <c r="U64" s="2">
        <v>51.9</v>
      </c>
      <c r="V64" s="2" t="s">
        <v>841</v>
      </c>
      <c r="W64" s="10" t="s">
        <v>740</v>
      </c>
      <c r="X64" s="2" t="s">
        <v>420</v>
      </c>
      <c r="Y64" s="2" t="str">
        <f>HYPERLINK(".\links\UNIPROTKB\AGAP029743-PA-UNIPROTKB.txt","UNIPROTKB")</f>
        <v>UNIPROTKB</v>
      </c>
      <c r="Z64" s="15">
        <v>9.0000000000000002E-41</v>
      </c>
      <c r="AA64" s="2">
        <v>82.3</v>
      </c>
      <c r="AB64" s="13" t="s">
        <v>102</v>
      </c>
      <c r="AC64" s="13" t="str">
        <f>HYPERLINK(".\links\Sigp\AGAP029743-PA-SigP.txt","CYT")</f>
        <v>CYT</v>
      </c>
      <c r="AD64" s="2" t="s">
        <v>102</v>
      </c>
      <c r="AE64" s="2">
        <v>61.728000000000002</v>
      </c>
      <c r="AF64" s="2">
        <v>6.75</v>
      </c>
      <c r="AG64" s="2" t="s">
        <v>102</v>
      </c>
      <c r="AH64" s="2" t="s">
        <v>102</v>
      </c>
      <c r="AI64" s="2" t="s">
        <v>211</v>
      </c>
      <c r="AJ64" s="13">
        <v>0</v>
      </c>
      <c r="AK64" s="2" t="s">
        <v>102</v>
      </c>
      <c r="AL64" s="2" t="s">
        <v>102</v>
      </c>
      <c r="AM64" s="2" t="s">
        <v>102</v>
      </c>
      <c r="AN64" s="9" t="str">
        <f>HYPERLINK(".\links\gpi\AGAP029743-PA-gpi.txt","N")</f>
        <v>N</v>
      </c>
      <c r="AO64" s="14" t="str">
        <f>HYPERLINK(".\links\netoglyc\AGAP029743-PA-netoglyc.txt","0")</f>
        <v>0</v>
      </c>
      <c r="AP64" s="13">
        <v>14.8</v>
      </c>
      <c r="AQ64" s="2">
        <v>4.8</v>
      </c>
      <c r="AR64" s="2">
        <v>2.4</v>
      </c>
      <c r="AS64" s="2" t="s">
        <v>104</v>
      </c>
      <c r="AT64" s="9" t="str">
        <f>HYPERLINK(".\links\NR-LIGHT\AGAP029743-PA-NR-LIGHT.txt","AGAP012768-PA, partial")</f>
        <v>AGAP012768-PA, partial</v>
      </c>
      <c r="AU64" s="2" t="str">
        <f>HYPERLINK("http://www.ncbi.nlm.nih.gov/sutils/blink.cgi?pid=XP_307326.4","0.0")</f>
        <v>0.0</v>
      </c>
      <c r="AV64" s="2" t="str">
        <f>HYPERLINK("http://www.ncbi.nlm.nih.gov/protein/XP_307326.4","XP_307326.4")</f>
        <v>XP_307326.4</v>
      </c>
      <c r="AW64" s="2">
        <v>91</v>
      </c>
      <c r="AX64" s="2">
        <v>92</v>
      </c>
      <c r="AY64" s="2">
        <v>106</v>
      </c>
      <c r="AZ64" s="2" t="s">
        <v>105</v>
      </c>
      <c r="BA64" s="9" t="str">
        <f>HYPERLINK(".\links\REFSEQ-INVERTEBRATE\AGAP029743-PA-REFSEQ-INVERTEBRATE.txt","AGAP012768-PA, partial")</f>
        <v>AGAP012768-PA, partial</v>
      </c>
      <c r="BB64" s="2" t="str">
        <f>HYPERLINK("http://www.ncbi.nlm.nih.gov/sutils/blink.cgi?pid=XP_307326.4","0.0")</f>
        <v>0.0</v>
      </c>
      <c r="BC64" s="2" t="str">
        <f>HYPERLINK("http://www.ncbi.nlm.nih.gov/protein/XP_307326.4","XP_307326.4")</f>
        <v>XP_307326.4</v>
      </c>
      <c r="BD64" s="2">
        <v>91</v>
      </c>
      <c r="BE64" s="2">
        <v>92</v>
      </c>
      <c r="BF64" s="2">
        <v>106</v>
      </c>
      <c r="BG64" s="2" t="s">
        <v>105</v>
      </c>
      <c r="BH64" s="9" t="str">
        <f>HYPERLINK(".\links\REFSEQ-PROTOZOA\AGAP029743-PA-REFSEQ-PROTOZOA.txt","zinc finger, c2h2 type family protein")</f>
        <v>zinc finger, c2h2 type family protein</v>
      </c>
      <c r="BI64" s="2" t="str">
        <f>HYPERLINK("http://www.ncbi.nlm.nih.gov/sutils/blink.cgi?pid=XP_002372116.1","3E-035")</f>
        <v>3E-035</v>
      </c>
      <c r="BJ64" s="2" t="str">
        <f>HYPERLINK("http://www.ncbi.nlm.nih.gov/protein/XP_002372116.1","XP_002372116.1")</f>
        <v>XP_002372116.1</v>
      </c>
      <c r="BK64" s="2">
        <v>31</v>
      </c>
      <c r="BL64" s="2">
        <v>47</v>
      </c>
      <c r="BM64" s="2">
        <v>97</v>
      </c>
      <c r="BN64" s="2" t="s">
        <v>741</v>
      </c>
      <c r="BO64" s="9" t="str">
        <f>HYPERLINK(".\links\SWISSP\AGAP029743-PA-SWISSP.txt","Zinc finger protein 723")</f>
        <v>Zinc finger protein 723</v>
      </c>
      <c r="BP64" s="2" t="str">
        <f>HYPERLINK("http://www.uniprot.org/uniprot/P0DPD5","1E-045")</f>
        <v>1E-045</v>
      </c>
      <c r="BQ64" s="2" t="str">
        <f>HYPERLINK("http://www.uniprot.org/uniprot/P0DPD5#expression","P0DPD5")</f>
        <v>P0DPD5</v>
      </c>
      <c r="BR64" s="2">
        <v>33</v>
      </c>
      <c r="BS64" s="2">
        <v>48</v>
      </c>
      <c r="BT64" s="2">
        <v>59</v>
      </c>
      <c r="BU64" s="2" t="s">
        <v>127</v>
      </c>
      <c r="BV64" s="9" t="str">
        <f>HYPERLINK(".\links\FLYBASE\AGAP029743-PA-FLYBASE.txt","FBpp0075533")</f>
        <v>FBpp0075533</v>
      </c>
      <c r="BW64" s="2" t="str">
        <f>HYPERLINK("http://flybase.org/reports/FBgn0025874#alliance_summary_container","4E-36")</f>
        <v>4E-36</v>
      </c>
      <c r="BX64" s="2">
        <v>583</v>
      </c>
      <c r="BY64" s="2">
        <v>26</v>
      </c>
      <c r="BZ64" s="2">
        <v>40</v>
      </c>
      <c r="CA64" s="2">
        <v>76</v>
      </c>
      <c r="CB64" s="9" t="str">
        <f>HYPERLINK(".\links\CDD\AGAP029743-PA-CDD.txt","ZF_C2H2, Zinc finger, C2H2 type")</f>
        <v>ZF_C2H2, Zinc finger, C2H2 type</v>
      </c>
      <c r="CC64" s="15">
        <v>1.0000000000000001E-15</v>
      </c>
      <c r="CD64" s="2">
        <v>100</v>
      </c>
      <c r="CE64" s="2" t="s">
        <v>569</v>
      </c>
      <c r="CF64" s="2" t="s">
        <v>842</v>
      </c>
      <c r="CG64" s="9" t="str">
        <f>HYPERLINK(".\links\KOG\AGAP029743-PA-KOG.txt","Zn finger proteins")</f>
        <v>Zn finger proteins</v>
      </c>
      <c r="CH64" s="15">
        <v>2.9999999999999998E-14</v>
      </c>
      <c r="CI64" s="2">
        <v>39.200000000000003</v>
      </c>
      <c r="CJ64" s="2" t="s">
        <v>686</v>
      </c>
      <c r="CK64" s="2" t="s">
        <v>191</v>
      </c>
      <c r="CL64" s="9" t="str">
        <f>HYPERLINK(".\links\PFAM\AGAP029743-PA-PFAM.txt","zf-AD, Zinc-finger associated domain (zf-AD)")</f>
        <v>zf-AD, Zinc-finger associated domain (zf-AD)</v>
      </c>
      <c r="CM64" s="15">
        <v>9.9999999999999995E-7</v>
      </c>
      <c r="CN64" s="2">
        <v>101.4</v>
      </c>
      <c r="CO64" s="2" t="s">
        <v>687</v>
      </c>
      <c r="CP64" s="9" t="str">
        <f>HYPERLINK(".\links\SMART\AGAP029743-PA-SMART.txt","zf-AD, Zinc-finger associated domain (zf-AD)")</f>
        <v>zf-AD, Zinc-finger associated domain (zf-AD)</v>
      </c>
      <c r="CQ64" s="15">
        <v>3E-9</v>
      </c>
      <c r="CR64" s="2">
        <v>101.4</v>
      </c>
      <c r="CS64" s="2" t="s">
        <v>684</v>
      </c>
      <c r="CT64" s="2" t="s">
        <v>841</v>
      </c>
      <c r="CU64" s="2" t="s">
        <v>841</v>
      </c>
      <c r="CV64" s="2" t="s">
        <v>841</v>
      </c>
      <c r="CW64" s="2" t="str">
        <f>HYPERLINK(".\links\pep\AGAP029743-PA-pep.txt","AGAP029743-PA")</f>
        <v>AGAP029743-PA</v>
      </c>
      <c r="CX64" s="2" t="s">
        <v>95</v>
      </c>
      <c r="CY64" s="2">
        <v>542</v>
      </c>
      <c r="CZ64" s="2" t="s">
        <v>113</v>
      </c>
      <c r="DA64" s="2" t="s">
        <v>843</v>
      </c>
      <c r="DB64" s="2">
        <v>0</v>
      </c>
      <c r="DC64" s="2">
        <v>1</v>
      </c>
      <c r="DD64" s="2" t="str">
        <f>HYPERLINK("https://www.kegg.jp/kegg-bin/search_pathway_text?map=aga&amp;keyword=AGAP029743&amp;mode=1&amp;viewImage=true","AGAP029743")</f>
        <v>AGAP029743</v>
      </c>
      <c r="DE64" s="2" t="s">
        <v>840</v>
      </c>
      <c r="DF64" s="2" t="s">
        <v>93</v>
      </c>
      <c r="DG64" s="2" t="s">
        <v>94</v>
      </c>
      <c r="DH64" s="2" t="str">
        <f>HYPERLINK("https://vectorbase.org/vectorbase/app/record/gene/AGAP029743","AGAP029743-RA")</f>
        <v>AGAP029743-RA</v>
      </c>
      <c r="DI64" s="2" t="s">
        <v>135</v>
      </c>
      <c r="DJ64" s="2">
        <v>2373</v>
      </c>
      <c r="DK64" s="2" t="str">
        <f>HYPERLINK(".\links\netoglyc\AGAP029743-PA-netoglyc.txt","0")</f>
        <v>0</v>
      </c>
      <c r="DL64" s="2">
        <v>14.8</v>
      </c>
      <c r="DM64" s="2">
        <v>4.8</v>
      </c>
      <c r="DN64" s="2">
        <v>2.4</v>
      </c>
      <c r="DO64" s="2" t="s">
        <v>104</v>
      </c>
      <c r="DP64" s="2" t="s">
        <v>844</v>
      </c>
      <c r="DQ64" s="2" t="str">
        <f>HYPERLINK(".\links\Sigp\AGAP029743-PA-SigP.txt","CYT")</f>
        <v>CYT</v>
      </c>
      <c r="DR64" s="2" t="s">
        <v>102</v>
      </c>
      <c r="DS64" s="2">
        <v>61.728000000000002</v>
      </c>
      <c r="DT64" s="2">
        <v>6.75</v>
      </c>
      <c r="DU64" s="2" t="s">
        <v>102</v>
      </c>
      <c r="DV64" s="2" t="s">
        <v>102</v>
      </c>
      <c r="DW64" s="2" t="s">
        <v>211</v>
      </c>
      <c r="DX64" s="2">
        <v>542</v>
      </c>
      <c r="DY64" s="12">
        <v>0</v>
      </c>
      <c r="DZ64" s="2" t="s">
        <v>102</v>
      </c>
      <c r="EA64" s="2" t="s">
        <v>102</v>
      </c>
      <c r="EB64" s="2" t="s">
        <v>102</v>
      </c>
      <c r="EC64" s="2" t="str">
        <f>HYPERLINK(".\links\gpi\AGAP029743-PA-gpi.txt","Y-NoSP")</f>
        <v>Y-NoSP</v>
      </c>
      <c r="ED64" s="2">
        <v>0.28999999999999998</v>
      </c>
      <c r="EE64" s="2" t="s">
        <v>845</v>
      </c>
      <c r="EF64" s="2">
        <v>31</v>
      </c>
      <c r="EG64" s="2" t="s">
        <v>102</v>
      </c>
      <c r="EH64" s="2" t="s">
        <v>102</v>
      </c>
      <c r="EI64" s="2">
        <v>14.760147601476</v>
      </c>
      <c r="EJ64" s="2">
        <v>2.3985239852398501</v>
      </c>
      <c r="EK64" s="2">
        <v>4.7970479704797002</v>
      </c>
      <c r="EL64" s="2">
        <v>7.1955719557195597</v>
      </c>
      <c r="EM64" s="2" t="s">
        <v>102</v>
      </c>
      <c r="EN64" s="2" t="s">
        <v>102</v>
      </c>
      <c r="EO64" s="2" t="s">
        <v>102</v>
      </c>
      <c r="EP64" s="2" t="s">
        <v>102</v>
      </c>
      <c r="EQ64" s="2" t="s">
        <v>102</v>
      </c>
      <c r="ER64" s="2" t="s">
        <v>102</v>
      </c>
      <c r="ES64" s="2" t="s">
        <v>102</v>
      </c>
      <c r="ET64" s="2" t="str">
        <f>HYPERLINK(".\links\REFSEQ-INVERTEBRATE\AGAP029743-PA-REFSEQ-INVERTEBRATE.txt","AGAP012768-PA, partial")</f>
        <v>AGAP012768-PA, partial</v>
      </c>
      <c r="EU64" s="2" t="str">
        <f>HYPERLINK("http://www.ncbi.nlm.nih.gov/sutils/blink.cgi?pid=XP_307326.4","0.0")</f>
        <v>0.0</v>
      </c>
      <c r="EV64" s="2" t="str">
        <f>HYPERLINK("http://www.ncbi.nlm.nih.gov/protein/XP_307326.4","XP_307326.4")</f>
        <v>XP_307326.4</v>
      </c>
      <c r="EW64" s="2">
        <v>91</v>
      </c>
      <c r="EX64" s="2">
        <v>92</v>
      </c>
      <c r="EY64" s="2">
        <v>106</v>
      </c>
      <c r="EZ64" s="2" t="s">
        <v>105</v>
      </c>
    </row>
    <row r="65" spans="1:156" x14ac:dyDescent="0.25">
      <c r="A65" s="2" t="s">
        <v>846</v>
      </c>
      <c r="B65" s="2">
        <v>0.40526097336463002</v>
      </c>
      <c r="C65" s="2">
        <f t="shared" si="0"/>
        <v>1.3243284504118666</v>
      </c>
      <c r="D65" s="2">
        <v>4.9010097568411704</v>
      </c>
      <c r="E65" s="2">
        <v>10.035319149357001</v>
      </c>
      <c r="F65" s="2">
        <v>1.5356693787104999E-3</v>
      </c>
      <c r="G65" s="2">
        <v>3.8508961137893101E-2</v>
      </c>
      <c r="H65" s="2" t="s">
        <v>93</v>
      </c>
      <c r="I65" s="2" t="s">
        <v>94</v>
      </c>
      <c r="J65" s="2" t="str">
        <f>HYPERLINK("https://vectorbase.org/vectorbase/app/record/gene/AGAP005348","AGAP005348-RA")</f>
        <v>AGAP005348-RA</v>
      </c>
      <c r="K65" s="2" t="str">
        <f>HYPERLINK(".\links\pep\AGAP005348-PA-pep.txt","AGAP005348-PA")</f>
        <v>AGAP005348-PA</v>
      </c>
      <c r="L65" s="12" t="s">
        <v>95</v>
      </c>
      <c r="M65" s="2">
        <v>415</v>
      </c>
      <c r="N65" s="2">
        <v>0</v>
      </c>
      <c r="O65" s="2">
        <v>0</v>
      </c>
      <c r="P65" s="2" t="s">
        <v>102</v>
      </c>
      <c r="Q65" s="9" t="s">
        <v>847</v>
      </c>
      <c r="R65" s="2" t="s">
        <v>564</v>
      </c>
      <c r="S65" s="2" t="str">
        <f>HYPERLINK(".\links\REFSEQ-INVERTEBRATE\AGAP005348-PA-REFSEQ-INVERTEBRATE.txt","REFSEQ-INVERTEBRATE")</f>
        <v>REFSEQ-INVERTEBRATE</v>
      </c>
      <c r="T65" s="2">
        <v>3.0000000000000001E-58</v>
      </c>
      <c r="U65" s="2">
        <v>41.2</v>
      </c>
      <c r="V65" s="2" t="s">
        <v>848</v>
      </c>
      <c r="W65" s="10" t="s">
        <v>849</v>
      </c>
      <c r="X65" s="2" t="s">
        <v>420</v>
      </c>
      <c r="Y65" s="2" t="str">
        <f>HYPERLINK(".\links\UNIPROTKB\AGAP005348-PA-UNIPROTKB.txt","UNIPROTKB")</f>
        <v>UNIPROTKB</v>
      </c>
      <c r="Z65" s="15">
        <v>1.9999999999999999E-36</v>
      </c>
      <c r="AA65" s="2">
        <v>37</v>
      </c>
      <c r="AB65" s="13" t="str">
        <f>HYPERLINK(".\links\pep\AGAP005348-PA-sulf.txt","4")</f>
        <v>4</v>
      </c>
      <c r="AC65" s="13" t="str">
        <f>HYPERLINK(".\links\Sigp\AGAP005348-PA-SigP.txt","CYT")</f>
        <v>CYT</v>
      </c>
      <c r="AD65" s="2" t="s">
        <v>102</v>
      </c>
      <c r="AE65" s="2">
        <v>48.225000000000001</v>
      </c>
      <c r="AF65" s="2">
        <v>5.79</v>
      </c>
      <c r="AG65" s="2" t="s">
        <v>102</v>
      </c>
      <c r="AH65" s="2" t="s">
        <v>102</v>
      </c>
      <c r="AI65" s="2" t="s">
        <v>211</v>
      </c>
      <c r="AJ65" s="13">
        <v>0</v>
      </c>
      <c r="AK65" s="2" t="s">
        <v>102</v>
      </c>
      <c r="AL65" s="2" t="s">
        <v>102</v>
      </c>
      <c r="AM65" s="2" t="s">
        <v>102</v>
      </c>
      <c r="AN65" s="13" t="str">
        <f>HYPERLINK(".\links\gpi\AGAP005348-PA-gpi.txt","N")</f>
        <v>N</v>
      </c>
      <c r="AO65" s="14" t="str">
        <f>HYPERLINK(".\links\netoglyc\AGAP005348-PA-netoglyc.txt","3")</f>
        <v>3</v>
      </c>
      <c r="AP65" s="13">
        <v>12.8</v>
      </c>
      <c r="AQ65" s="2">
        <v>3.6</v>
      </c>
      <c r="AR65" s="2">
        <v>4.0999999999999996</v>
      </c>
      <c r="AS65" s="2" t="s">
        <v>104</v>
      </c>
      <c r="AT65" s="9" t="str">
        <f>HYPERLINK(".\links\NR-LIGHT\AGAP005348-PA-NR-LIGHT.txt","AGAP005348-PA")</f>
        <v>AGAP005348-PA</v>
      </c>
      <c r="AU65" s="2" t="str">
        <f>HYPERLINK("http://www.ncbi.nlm.nih.gov/sutils/blink.cgi?pid=XP_315360.4","0.0")</f>
        <v>0.0</v>
      </c>
      <c r="AV65" s="2" t="str">
        <f>HYPERLINK("http://www.ncbi.nlm.nih.gov/protein/XP_315360.4","XP_315360.4")</f>
        <v>XP_315360.4</v>
      </c>
      <c r="AW65" s="2">
        <v>95</v>
      </c>
      <c r="AX65" s="2">
        <v>95</v>
      </c>
      <c r="AY65" s="2">
        <v>105</v>
      </c>
      <c r="AZ65" s="2" t="s">
        <v>105</v>
      </c>
      <c r="BA65" s="9" t="str">
        <f>HYPERLINK(".\links\REFSEQ-INVERTEBRATE\AGAP005348-PA-REFSEQ-INVERTEBRATE.txt","AGAP005348-PA")</f>
        <v>AGAP005348-PA</v>
      </c>
      <c r="BB65" s="2" t="str">
        <f>HYPERLINK("http://www.ncbi.nlm.nih.gov/sutils/blink.cgi?pid=XP_315360.4","0.0")</f>
        <v>0.0</v>
      </c>
      <c r="BC65" s="2" t="str">
        <f>HYPERLINK("http://www.ncbi.nlm.nih.gov/protein/XP_315360.4","XP_315360.4")</f>
        <v>XP_315360.4</v>
      </c>
      <c r="BD65" s="2">
        <v>95</v>
      </c>
      <c r="BE65" s="2">
        <v>95</v>
      </c>
      <c r="BF65" s="2">
        <v>105</v>
      </c>
      <c r="BG65" s="2" t="s">
        <v>105</v>
      </c>
      <c r="BH65" s="9" t="str">
        <f>HYPERLINK(".\links\REFSEQ-PROTOZOA\AGAP005348-PA-REFSEQ-PROTOZOA.txt","hypothetical protein GUITHDRAFT_53031, partial")</f>
        <v>hypothetical protein GUITHDRAFT_53031, partial</v>
      </c>
      <c r="BI65" s="2" t="str">
        <f>HYPERLINK("http://www.ncbi.nlm.nih.gov/sutils/blink.cgi?pid=XP_005836375.1","4E-020")</f>
        <v>4E-020</v>
      </c>
      <c r="BJ65" s="2" t="str">
        <f>HYPERLINK("http://www.ncbi.nlm.nih.gov/protein/XP_005836375.1","XP_005836375.1")</f>
        <v>XP_005836375.1</v>
      </c>
      <c r="BK65" s="2">
        <v>27</v>
      </c>
      <c r="BL65" s="2">
        <v>45</v>
      </c>
      <c r="BM65" s="2">
        <v>88</v>
      </c>
      <c r="BN65" s="2" t="s">
        <v>279</v>
      </c>
      <c r="BO65" s="9" t="str">
        <f>HYPERLINK(".\links\SWISSP\AGAP005348-PA-SWISSP.txt","Transcription factor grauzone")</f>
        <v>Transcription factor grauzone</v>
      </c>
      <c r="BP65" s="2" t="str">
        <f>HYPERLINK("http://www.uniprot.org/uniprot/Q9U405","2E-038")</f>
        <v>2E-038</v>
      </c>
      <c r="BQ65" s="2" t="str">
        <f>HYPERLINK("http://www.uniprot.org/uniprot/Q9U405#expression","Q9U405")</f>
        <v>Q9U405</v>
      </c>
      <c r="BR65" s="2">
        <v>37</v>
      </c>
      <c r="BS65" s="2">
        <v>53</v>
      </c>
      <c r="BT65" s="2">
        <v>38</v>
      </c>
      <c r="BU65" s="2" t="s">
        <v>107</v>
      </c>
      <c r="BV65" s="9" t="str">
        <f>HYPERLINK(".\links\FLYBASE\AGAP005348-PA-FLYBASE.txt","FBpp0309335")</f>
        <v>FBpp0309335</v>
      </c>
      <c r="BW65" s="2" t="str">
        <f>HYPERLINK("http://flybase.org/reports/FBgn0034379#alliance_summary_container","7E-56")</f>
        <v>7E-56</v>
      </c>
      <c r="BX65" s="2">
        <v>551</v>
      </c>
      <c r="BY65" s="2">
        <v>45</v>
      </c>
      <c r="BZ65" s="2">
        <v>64</v>
      </c>
      <c r="CA65" s="2">
        <v>39</v>
      </c>
      <c r="CB65" s="9" t="str">
        <f>HYPERLINK(".\links\CDD\AGAP005348-PA-CDD.txt","ZF_C2H2, Zinc finger, C2H2 type")</f>
        <v>ZF_C2H2, Zinc finger, C2H2 type</v>
      </c>
      <c r="CC65" s="15">
        <v>1E-13</v>
      </c>
      <c r="CD65" s="2">
        <v>98.7</v>
      </c>
      <c r="CE65" s="2" t="s">
        <v>569</v>
      </c>
      <c r="CF65" s="2" t="s">
        <v>850</v>
      </c>
      <c r="CG65" s="9" t="str">
        <f>HYPERLINK(".\links\KOG\AGAP005348-PA-KOG.txt","C2H2-type Zn-finger protein")</f>
        <v>C2H2-type Zn-finger protein</v>
      </c>
      <c r="CH65" s="15">
        <v>8.0000000000000002E-13</v>
      </c>
      <c r="CI65" s="2">
        <v>39.1</v>
      </c>
      <c r="CJ65" s="2" t="s">
        <v>743</v>
      </c>
      <c r="CK65" s="2" t="s">
        <v>309</v>
      </c>
      <c r="CL65" s="9" t="str">
        <f>HYPERLINK(".\links\PFAM\AGAP005348-PA-PFAM.txt","zf-AD, Zinc-finger associated domain (zf-AD)")</f>
        <v>zf-AD, Zinc-finger associated domain (zf-AD)</v>
      </c>
      <c r="CM65" s="15">
        <v>5.9999999999999995E-4</v>
      </c>
      <c r="CN65" s="2">
        <v>91.9</v>
      </c>
      <c r="CO65" s="2" t="s">
        <v>687</v>
      </c>
      <c r="CP65" s="9" t="str">
        <f>HYPERLINK(".\links\SMART\AGAP005348-PA-SMART.txt","zf-AD, Zinc-finger associated domain (zf-AD)")</f>
        <v>zf-AD, Zinc-finger associated domain (zf-AD)</v>
      </c>
      <c r="CQ65" s="15">
        <v>9.9999999999999995E-7</v>
      </c>
      <c r="CR65" s="2">
        <v>91.8</v>
      </c>
      <c r="CS65" s="2" t="s">
        <v>684</v>
      </c>
      <c r="CT65" s="2" t="s">
        <v>848</v>
      </c>
      <c r="CU65" s="2" t="s">
        <v>848</v>
      </c>
      <c r="CV65" s="2" t="s">
        <v>848</v>
      </c>
      <c r="CW65" s="2" t="str">
        <f>HYPERLINK(".\links\pep\AGAP005348-PA-pep.txt","AGAP005348-PA")</f>
        <v>AGAP005348-PA</v>
      </c>
      <c r="CX65" s="2" t="s">
        <v>95</v>
      </c>
      <c r="CY65" s="2">
        <v>415</v>
      </c>
      <c r="CZ65" s="2" t="s">
        <v>113</v>
      </c>
      <c r="DA65" s="2" t="s">
        <v>851</v>
      </c>
      <c r="DB65" s="2">
        <v>0</v>
      </c>
      <c r="DC65" s="2">
        <v>0</v>
      </c>
      <c r="DD65" s="2" t="str">
        <f>HYPERLINK("https://www.kegg.jp/kegg-bin/search_pathway_text?map=aga&amp;keyword=AGAP005348&amp;mode=1&amp;viewImage=true","AGAP005348")</f>
        <v>AGAP005348</v>
      </c>
      <c r="DE65" s="2" t="s">
        <v>846</v>
      </c>
      <c r="DF65" s="2" t="s">
        <v>93</v>
      </c>
      <c r="DG65" s="2" t="s">
        <v>94</v>
      </c>
      <c r="DH65" s="2" t="str">
        <f>HYPERLINK("https://vectorbase.org/vectorbase/app/record/gene/AGAP005348","AGAP005348-RA")</f>
        <v>AGAP005348-RA</v>
      </c>
      <c r="DI65" s="2" t="s">
        <v>115</v>
      </c>
      <c r="DJ65" s="2">
        <v>1298</v>
      </c>
      <c r="DK65" s="2" t="str">
        <f>HYPERLINK(".\links\netoglyc\AGAP005348-PA-netoglyc.txt","3")</f>
        <v>3</v>
      </c>
      <c r="DL65" s="2">
        <v>12.8</v>
      </c>
      <c r="DM65" s="2">
        <v>3.6</v>
      </c>
      <c r="DN65" s="2">
        <v>4.0999999999999996</v>
      </c>
      <c r="DO65" s="2" t="s">
        <v>104</v>
      </c>
      <c r="DP65" s="2" t="s">
        <v>852</v>
      </c>
      <c r="DQ65" s="2" t="str">
        <f>HYPERLINK(".\links\Sigp\AGAP005348-PA-SigP.txt","CYT")</f>
        <v>CYT</v>
      </c>
      <c r="DR65" s="2" t="s">
        <v>102</v>
      </c>
      <c r="DS65" s="2">
        <v>48.225000000000001</v>
      </c>
      <c r="DT65" s="2">
        <v>5.79</v>
      </c>
      <c r="DU65" s="2" t="s">
        <v>102</v>
      </c>
      <c r="DV65" s="2" t="s">
        <v>102</v>
      </c>
      <c r="DW65" s="2" t="s">
        <v>211</v>
      </c>
      <c r="DX65" s="2">
        <v>415</v>
      </c>
      <c r="DY65" s="12">
        <v>0</v>
      </c>
      <c r="DZ65" s="2" t="s">
        <v>102</v>
      </c>
      <c r="EA65" s="2" t="s">
        <v>102</v>
      </c>
      <c r="EB65" s="2" t="s">
        <v>102</v>
      </c>
      <c r="EC65" s="2" t="str">
        <f>HYPERLINK(".\links\gpi\AGAP005348-PA-gpi.txt","N")</f>
        <v>N</v>
      </c>
      <c r="ED65" s="2">
        <v>0.33</v>
      </c>
      <c r="EF65" s="2">
        <v>21</v>
      </c>
      <c r="EG65" s="2" t="str">
        <f>HYPERLINK(".\links\pep\AGAP005348-PA-sulf.txt","4")</f>
        <v>4</v>
      </c>
      <c r="EH65" s="2" t="s">
        <v>102</v>
      </c>
      <c r="EI65" s="2">
        <v>12.7710843373494</v>
      </c>
      <c r="EJ65" s="2">
        <v>4.0963855421686803</v>
      </c>
      <c r="EK65" s="2">
        <v>3.6144578313253</v>
      </c>
      <c r="EL65" s="2">
        <v>7.7108433734939803</v>
      </c>
      <c r="EM65" s="2">
        <v>1</v>
      </c>
      <c r="EN65" s="2">
        <v>1</v>
      </c>
      <c r="EO65" s="2">
        <v>1</v>
      </c>
      <c r="EP65" s="2" t="s">
        <v>102</v>
      </c>
      <c r="EQ65" s="2" t="s">
        <v>102</v>
      </c>
      <c r="ER65" s="2" t="s">
        <v>102</v>
      </c>
      <c r="ES65" s="2" t="s">
        <v>102</v>
      </c>
      <c r="ET65" s="2" t="str">
        <f>HYPERLINK(".\links\REFSEQ-INVERTEBRATE\AGAP005348-PA-REFSEQ-INVERTEBRATE.txt","AGAP005348-PA")</f>
        <v>AGAP005348-PA</v>
      </c>
      <c r="EU65" s="2" t="str">
        <f>HYPERLINK("http://www.ncbi.nlm.nih.gov/sutils/blink.cgi?pid=XP_315360.4","0.0")</f>
        <v>0.0</v>
      </c>
      <c r="EV65" s="2" t="str">
        <f>HYPERLINK("http://www.ncbi.nlm.nih.gov/protein/XP_315360.4","XP_315360.4")</f>
        <v>XP_315360.4</v>
      </c>
      <c r="EW65" s="2">
        <v>95</v>
      </c>
      <c r="EX65" s="2">
        <v>95</v>
      </c>
      <c r="EY65" s="2">
        <v>105</v>
      </c>
      <c r="EZ65" s="2" t="s">
        <v>105</v>
      </c>
    </row>
    <row r="66" spans="1:156" x14ac:dyDescent="0.25">
      <c r="A66" s="2" t="s">
        <v>853</v>
      </c>
      <c r="B66" s="2">
        <v>0.405212766395878</v>
      </c>
      <c r="C66" s="2">
        <f t="shared" ref="C66:C129" si="1">2^B66</f>
        <v>1.3242841993457672</v>
      </c>
      <c r="D66" s="2">
        <v>6.1772965181246597</v>
      </c>
      <c r="E66" s="2">
        <v>13.8592406011522</v>
      </c>
      <c r="F66" s="2">
        <v>1.9702550971036799E-4</v>
      </c>
      <c r="G66" s="2">
        <v>1.5786068278013599E-2</v>
      </c>
      <c r="H66" s="2" t="s">
        <v>93</v>
      </c>
      <c r="I66" s="2" t="s">
        <v>94</v>
      </c>
      <c r="J66" s="2" t="str">
        <f>HYPERLINK("https://vectorbase.org/vectorbase/app/record/gene/AGAP010020","AGAP010020-RA")</f>
        <v>AGAP010020-RA</v>
      </c>
      <c r="K66" s="2" t="str">
        <f>HYPERLINK(".\links\pep\AGAP010020-PA-pep.txt","AGAP010020-PA")</f>
        <v>AGAP010020-PA</v>
      </c>
      <c r="L66" s="12" t="s">
        <v>95</v>
      </c>
      <c r="M66" s="2">
        <v>417</v>
      </c>
      <c r="N66" s="2">
        <v>0</v>
      </c>
      <c r="O66" s="2">
        <v>0</v>
      </c>
      <c r="P66" s="2" t="s">
        <v>102</v>
      </c>
      <c r="Q66" s="9" t="s">
        <v>854</v>
      </c>
      <c r="R66" s="2" t="s">
        <v>98</v>
      </c>
      <c r="S66" s="2" t="str">
        <f>HYPERLINK(".\links\KOG\AGAP010020-PA-KOG.txt","KOG")</f>
        <v>KOG</v>
      </c>
      <c r="T66" s="2">
        <v>0</v>
      </c>
      <c r="U66" s="2">
        <v>100</v>
      </c>
      <c r="V66" s="2" t="s">
        <v>855</v>
      </c>
      <c r="W66" s="10" t="s">
        <v>854</v>
      </c>
      <c r="X66" s="2" t="s">
        <v>98</v>
      </c>
      <c r="Y66" s="2" t="str">
        <f>HYPERLINK(".\links\KOG\AGAP010020-PA-KOG.txt","KOG")</f>
        <v>KOG</v>
      </c>
      <c r="Z66" s="2">
        <v>0</v>
      </c>
      <c r="AA66" s="2">
        <v>1</v>
      </c>
      <c r="AB66" s="13" t="s">
        <v>102</v>
      </c>
      <c r="AC66" s="13" t="str">
        <f>HYPERLINK(".\links\Sigp\AGAP010020-PA-SigP.txt","CYT")</f>
        <v>CYT</v>
      </c>
      <c r="AD66" s="2" t="s">
        <v>102</v>
      </c>
      <c r="AE66" s="2">
        <v>47.744999999999997</v>
      </c>
      <c r="AF66" s="2">
        <v>8.86</v>
      </c>
      <c r="AG66" s="2" t="s">
        <v>102</v>
      </c>
      <c r="AH66" s="2" t="s">
        <v>102</v>
      </c>
      <c r="AI66" s="2" t="s">
        <v>856</v>
      </c>
      <c r="AJ66" s="13" t="str">
        <f>HYPERLINK(".\links\tmhmm\AGAP010020-PA-tmhmm.txt","2")</f>
        <v>2</v>
      </c>
      <c r="AK66" s="2">
        <v>8.1999999999999993</v>
      </c>
      <c r="AL66" s="2">
        <v>1.2</v>
      </c>
      <c r="AM66" s="2">
        <v>90.6</v>
      </c>
      <c r="AN66" s="13" t="str">
        <f>HYPERLINK(".\links\gpi\AGAP010020-PA-gpi.txt","N")</f>
        <v>N</v>
      </c>
      <c r="AO66" s="14" t="str">
        <f>HYPERLINK(".\links\netoglyc\AGAP010020-PA-netoglyc.txt","0")</f>
        <v>0</v>
      </c>
      <c r="AP66" s="13">
        <v>12.9</v>
      </c>
      <c r="AQ66" s="2">
        <v>5.3</v>
      </c>
      <c r="AR66" s="2">
        <v>2.2000000000000002</v>
      </c>
      <c r="AS66" s="2" t="s">
        <v>104</v>
      </c>
      <c r="AT66" s="9" t="str">
        <f>HYPERLINK(".\links\NR-LIGHT\AGAP010020-PA-NR-LIGHT.txt","AGAP010020-PA")</f>
        <v>AGAP010020-PA</v>
      </c>
      <c r="AU66" s="2" t="str">
        <f>HYPERLINK("http://www.ncbi.nlm.nih.gov/sutils/blink.cgi?pid=XP_319167.2","0.0")</f>
        <v>0.0</v>
      </c>
      <c r="AV66" s="2" t="str">
        <f>HYPERLINK("http://www.ncbi.nlm.nih.gov/protein/XP_319167.2","XP_319167.2")</f>
        <v>XP_319167.2</v>
      </c>
      <c r="AW66" s="2">
        <v>100</v>
      </c>
      <c r="AX66" s="2">
        <v>100</v>
      </c>
      <c r="AY66" s="2">
        <v>100</v>
      </c>
      <c r="AZ66" s="2" t="s">
        <v>105</v>
      </c>
      <c r="BA66" s="9" t="str">
        <f>HYPERLINK(".\links\REFSEQ-INVERTEBRATE\AGAP010020-PA-REFSEQ-INVERTEBRATE.txt","AGAP010020-PA")</f>
        <v>AGAP010020-PA</v>
      </c>
      <c r="BB66" s="2" t="str">
        <f>HYPERLINK("http://www.ncbi.nlm.nih.gov/sutils/blink.cgi?pid=XP_319167.2","0.0")</f>
        <v>0.0</v>
      </c>
      <c r="BC66" s="2" t="str">
        <f>HYPERLINK("http://www.ncbi.nlm.nih.gov/protein/XP_319167.2","XP_319167.2")</f>
        <v>XP_319167.2</v>
      </c>
      <c r="BD66" s="2">
        <v>100</v>
      </c>
      <c r="BE66" s="2">
        <v>100</v>
      </c>
      <c r="BF66" s="2">
        <v>100</v>
      </c>
      <c r="BG66" s="2" t="s">
        <v>105</v>
      </c>
      <c r="BH66" s="9" t="str">
        <f>HYPERLINK(".\links\REFSEQ-PROTOZOA\AGAP010020-PA-REFSEQ-PROTOZOA.txt","conserved hypothetical protein")</f>
        <v>conserved hypothetical protein</v>
      </c>
      <c r="BI66" s="2" t="str">
        <f>HYPERLINK("http://www.ncbi.nlm.nih.gov/sutils/blink.cgi?pid=XP_002897230.1","4E-064")</f>
        <v>4E-064</v>
      </c>
      <c r="BJ66" s="2" t="str">
        <f>HYPERLINK("http://www.ncbi.nlm.nih.gov/protein/XP_002897230.1","XP_002897230.1")</f>
        <v>XP_002897230.1</v>
      </c>
      <c r="BK66" s="2">
        <v>32</v>
      </c>
      <c r="BL66" s="2">
        <v>51</v>
      </c>
      <c r="BM66" s="2">
        <v>93</v>
      </c>
      <c r="BN66" s="2" t="s">
        <v>857</v>
      </c>
      <c r="BO66" s="9" t="str">
        <f>HYPERLINK(".\links\SWISSP\AGAP010020-PA-SWISSP.txt","RUS1 family protein C16orf58 homolog")</f>
        <v>RUS1 family protein C16orf58 homolog</v>
      </c>
      <c r="BP66" s="2" t="str">
        <f>HYPERLINK("http://www.uniprot.org/uniprot/Q5R8F6","4E-069")</f>
        <v>4E-069</v>
      </c>
      <c r="BQ66" s="2" t="str">
        <f>HYPERLINK("http://www.uniprot.org/uniprot/Q5R8F6#expression","Q5R8F6")</f>
        <v>Q5R8F6</v>
      </c>
      <c r="BR66" s="2">
        <v>39</v>
      </c>
      <c r="BS66" s="2">
        <v>57</v>
      </c>
      <c r="BT66" s="2">
        <v>84</v>
      </c>
      <c r="BU66" s="2" t="s">
        <v>363</v>
      </c>
      <c r="BV66" s="9" t="str">
        <f>HYPERLINK(".\links\FLYBASE\AGAP010020-PA-FLYBASE.txt","FBpp0309809")</f>
        <v>FBpp0309809</v>
      </c>
      <c r="BW66" s="2" t="str">
        <f>HYPERLINK("http://flybase.org/reports/FBgn0032700#alliance_summary_container","0.0")</f>
        <v>0.0</v>
      </c>
      <c r="BX66" s="2">
        <v>417</v>
      </c>
      <c r="BY66" s="2">
        <v>63</v>
      </c>
      <c r="BZ66" s="2">
        <v>82</v>
      </c>
      <c r="CA66" s="2">
        <v>100</v>
      </c>
      <c r="CB66" s="9" t="str">
        <f>HYPERLINK(".\links\CDD\AGAP010020-PA-CDD.txt","DUF647, Vitamin B6 photo-protection and homoeostasis")</f>
        <v>DUF647, Vitamin B6 photo-protection and homoeostasis</v>
      </c>
      <c r="CC66" s="15">
        <v>2E-99</v>
      </c>
      <c r="CD66" s="2">
        <v>100</v>
      </c>
      <c r="CE66" s="2" t="s">
        <v>858</v>
      </c>
      <c r="CF66" s="2" t="s">
        <v>859</v>
      </c>
      <c r="CG66" s="9" t="str">
        <f>HYPERLINK(".\links\KOG\AGAP010020-PA-KOG.txt","Uncharacterized conserved protein")</f>
        <v>Uncharacterized conserved protein</v>
      </c>
      <c r="CH66" s="15">
        <v>1.9999999999999998E-65</v>
      </c>
      <c r="CI66" s="2">
        <v>95.6</v>
      </c>
      <c r="CJ66" s="2" t="s">
        <v>860</v>
      </c>
      <c r="CK66" s="2" t="s">
        <v>284</v>
      </c>
      <c r="CL66" s="9" t="str">
        <f>HYPERLINK(".\links\PFAM\AGAP010020-PA-PFAM.txt","DUF647, Vitamin B6 photo-protection and homoeostasis")</f>
        <v>DUF647, Vitamin B6 photo-protection and homoeostasis</v>
      </c>
      <c r="CM66" s="15">
        <v>1E-100</v>
      </c>
      <c r="CN66" s="2">
        <v>100</v>
      </c>
      <c r="CO66" s="2" t="s">
        <v>858</v>
      </c>
      <c r="CP66" s="9" t="str">
        <f>HYPERLINK(".\links\SMART\AGAP010020-PA-SMART.txt","PKS_DH, Dehydratase domain in polyketide synthase (PKS) enzymes")</f>
        <v>PKS_DH, Dehydratase domain in polyketide synthase (PKS) enzymes</v>
      </c>
      <c r="CQ66" s="15">
        <v>1.1000000000000001</v>
      </c>
      <c r="CR66" s="2">
        <v>15</v>
      </c>
      <c r="CS66" s="2" t="s">
        <v>861</v>
      </c>
      <c r="CT66" s="2" t="s">
        <v>855</v>
      </c>
      <c r="CU66" s="2" t="s">
        <v>855</v>
      </c>
      <c r="CV66" s="2" t="s">
        <v>855</v>
      </c>
      <c r="CW66" s="2" t="str">
        <f>HYPERLINK(".\links\pep\AGAP010020-PA-pep.txt","AGAP010020-PA")</f>
        <v>AGAP010020-PA</v>
      </c>
      <c r="CX66" s="2" t="s">
        <v>95</v>
      </c>
      <c r="CY66" s="2">
        <v>417</v>
      </c>
      <c r="CZ66" s="2" t="s">
        <v>113</v>
      </c>
      <c r="DA66" s="2" t="s">
        <v>862</v>
      </c>
      <c r="DB66" s="2">
        <v>0</v>
      </c>
      <c r="DC66" s="2">
        <v>0</v>
      </c>
      <c r="DD66" s="2" t="str">
        <f>HYPERLINK("https://www.kegg.jp/kegg-bin/search_pathway_text?map=aga&amp;keyword=AGAP010020&amp;mode=1&amp;viewImage=true","AGAP010020")</f>
        <v>AGAP010020</v>
      </c>
      <c r="DE66" s="2" t="s">
        <v>853</v>
      </c>
      <c r="DF66" s="2" t="s">
        <v>93</v>
      </c>
      <c r="DG66" s="2" t="s">
        <v>94</v>
      </c>
      <c r="DH66" s="2" t="str">
        <f>HYPERLINK("https://vectorbase.org/vectorbase/app/record/gene/AGAP010020","AGAP010020-RA")</f>
        <v>AGAP010020-RA</v>
      </c>
      <c r="DI66" s="2" t="s">
        <v>90</v>
      </c>
      <c r="DJ66" s="2">
        <v>2809</v>
      </c>
      <c r="DK66" s="2" t="str">
        <f>HYPERLINK(".\links\netoglyc\AGAP010020-PA-netoglyc.txt","0")</f>
        <v>0</v>
      </c>
      <c r="DL66" s="2">
        <v>12.9</v>
      </c>
      <c r="DM66" s="2">
        <v>5.3</v>
      </c>
      <c r="DN66" s="2">
        <v>2.2000000000000002</v>
      </c>
      <c r="DO66" s="2" t="s">
        <v>104</v>
      </c>
      <c r="DP66" s="2" t="s">
        <v>102</v>
      </c>
      <c r="DQ66" s="2" t="str">
        <f>HYPERLINK(".\links\Sigp\AGAP010020-PA-SigP.txt","CYT")</f>
        <v>CYT</v>
      </c>
      <c r="DR66" s="2" t="s">
        <v>102</v>
      </c>
      <c r="DS66" s="2">
        <v>47.744999999999997</v>
      </c>
      <c r="DT66" s="2">
        <v>8.86</v>
      </c>
      <c r="DU66" s="2" t="s">
        <v>102</v>
      </c>
      <c r="DV66" s="2" t="s">
        <v>102</v>
      </c>
      <c r="DW66" s="2" t="s">
        <v>856</v>
      </c>
      <c r="DX66" s="2">
        <v>417</v>
      </c>
      <c r="DY66" s="12" t="str">
        <f>HYPERLINK(".\links\tmhmm\AGAP010020-PA-tmhmm.txt","2")</f>
        <v>2</v>
      </c>
      <c r="DZ66" s="2">
        <v>8.1999999999999993</v>
      </c>
      <c r="EA66" s="2">
        <v>1.2</v>
      </c>
      <c r="EB66" s="2">
        <v>90.6</v>
      </c>
      <c r="EC66" s="2" t="str">
        <f>HYPERLINK(".\links\gpi\AGAP010020-PA-gpi.txt","N")</f>
        <v>N</v>
      </c>
      <c r="ED66" s="2">
        <v>0.24</v>
      </c>
      <c r="EF66" s="2">
        <v>9</v>
      </c>
      <c r="EG66" s="2" t="s">
        <v>102</v>
      </c>
      <c r="EH66" s="2" t="s">
        <v>102</v>
      </c>
      <c r="EI66" s="2">
        <v>12.9496402877698</v>
      </c>
      <c r="EJ66" s="2">
        <v>2.1582733812949599</v>
      </c>
      <c r="EK66" s="2">
        <v>5.2757793764988001</v>
      </c>
      <c r="EL66" s="2">
        <v>7.4340527577937703</v>
      </c>
      <c r="EM66" s="2" t="s">
        <v>102</v>
      </c>
      <c r="EN66" s="2">
        <v>3</v>
      </c>
      <c r="EO66" s="2">
        <v>3</v>
      </c>
      <c r="EP66" s="2" t="s">
        <v>102</v>
      </c>
      <c r="EQ66" s="2" t="s">
        <v>102</v>
      </c>
      <c r="ER66" s="2" t="s">
        <v>102</v>
      </c>
      <c r="ES66" s="2" t="s">
        <v>102</v>
      </c>
      <c r="ET66" s="2" t="str">
        <f>HYPERLINK(".\links\REFSEQ-INVERTEBRATE\AGAP010020-PA-REFSEQ-INVERTEBRATE.txt","AGAP010020-PA")</f>
        <v>AGAP010020-PA</v>
      </c>
      <c r="EU66" s="2" t="str">
        <f>HYPERLINK("http://www.ncbi.nlm.nih.gov/sutils/blink.cgi?pid=XP_319167.2","0.0")</f>
        <v>0.0</v>
      </c>
      <c r="EV66" s="2" t="str">
        <f>HYPERLINK("http://www.ncbi.nlm.nih.gov/protein/XP_319167.2","XP_319167.2")</f>
        <v>XP_319167.2</v>
      </c>
      <c r="EW66" s="2">
        <v>100</v>
      </c>
      <c r="EX66" s="2">
        <v>100</v>
      </c>
      <c r="EY66" s="2">
        <v>100</v>
      </c>
      <c r="EZ66" s="2" t="s">
        <v>105</v>
      </c>
    </row>
    <row r="67" spans="1:156" x14ac:dyDescent="0.25">
      <c r="A67" s="2" t="s">
        <v>863</v>
      </c>
      <c r="B67" s="2">
        <v>0.40335551491404797</v>
      </c>
      <c r="C67" s="2">
        <f t="shared" si="1"/>
        <v>1.3225804807735408</v>
      </c>
      <c r="D67" s="2">
        <v>8.3950434496729809</v>
      </c>
      <c r="E67" s="2">
        <v>16.497028776126498</v>
      </c>
      <c r="F67" s="2">
        <v>4.8726372718114802E-5</v>
      </c>
      <c r="G67" s="2">
        <v>8.2031694884326396E-3</v>
      </c>
      <c r="H67" s="2" t="s">
        <v>864</v>
      </c>
      <c r="I67" s="2" t="s">
        <v>88</v>
      </c>
      <c r="J67" s="8" t="s">
        <v>865</v>
      </c>
      <c r="Q67" s="9"/>
      <c r="W67" s="10"/>
      <c r="AB67" s="9"/>
      <c r="AC67" s="9"/>
      <c r="AJ67" s="9"/>
      <c r="AN67" s="9"/>
      <c r="AO67" s="11"/>
      <c r="AP67" s="9"/>
      <c r="AT67" s="9"/>
      <c r="BA67" s="9"/>
      <c r="BH67" s="9"/>
      <c r="BO67" s="9"/>
      <c r="BV67" s="9"/>
      <c r="CB67" s="9"/>
      <c r="CG67" s="9"/>
      <c r="CL67" s="9"/>
      <c r="CP67" s="9"/>
      <c r="DE67" s="2" t="s">
        <v>863</v>
      </c>
      <c r="DF67" s="2" t="s">
        <v>864</v>
      </c>
      <c r="DG67" s="2" t="s">
        <v>88</v>
      </c>
      <c r="DH67" s="8" t="s">
        <v>865</v>
      </c>
      <c r="DI67" s="2" t="s">
        <v>135</v>
      </c>
      <c r="DJ67" s="2">
        <v>4389</v>
      </c>
      <c r="DQ67" s="2" t="s">
        <v>141</v>
      </c>
      <c r="DS67" s="2">
        <v>149434</v>
      </c>
      <c r="DT67" s="2">
        <v>8.49</v>
      </c>
      <c r="DX67" s="2">
        <v>1323</v>
      </c>
      <c r="DY67" s="12"/>
    </row>
    <row r="68" spans="1:156" x14ac:dyDescent="0.25">
      <c r="A68" s="2" t="s">
        <v>866</v>
      </c>
      <c r="B68" s="2">
        <v>0.40189510495625702</v>
      </c>
      <c r="C68" s="2">
        <f t="shared" si="1"/>
        <v>1.3212423376692974</v>
      </c>
      <c r="D68" s="2">
        <v>6.4560930054889498</v>
      </c>
      <c r="E68" s="2">
        <v>11.6393497418871</v>
      </c>
      <c r="F68" s="2">
        <v>6.4571171290679001E-4</v>
      </c>
      <c r="G68" s="2">
        <v>2.79382257888133E-2</v>
      </c>
      <c r="H68" s="2" t="s">
        <v>93</v>
      </c>
      <c r="I68" s="2" t="s">
        <v>94</v>
      </c>
      <c r="J68" s="2" t="str">
        <f>HYPERLINK("https://vectorbase.org/vectorbase/app/record/gene/AGAP003225","AGAP003225-RA")</f>
        <v>AGAP003225-RA</v>
      </c>
      <c r="K68" s="2" t="str">
        <f>HYPERLINK(".\links\pep\AGAP003225-PA-pep.txt","AGAP003225-PA")</f>
        <v>AGAP003225-PA</v>
      </c>
      <c r="L68" s="12" t="s">
        <v>95</v>
      </c>
      <c r="M68" s="2">
        <v>215</v>
      </c>
      <c r="N68" s="2">
        <v>0</v>
      </c>
      <c r="O68" s="2">
        <v>0</v>
      </c>
      <c r="P68" s="2" t="s">
        <v>102</v>
      </c>
      <c r="Q68" s="9" t="s">
        <v>867</v>
      </c>
      <c r="R68" s="2" t="s">
        <v>196</v>
      </c>
      <c r="S68" s="2" t="str">
        <f>HYPERLINK(".\links\REFSEQ-INVERTEBRATE\AGAP003225-PA-REFSEQ-INVERTEBRATE.txt","REFSEQ-INVERTEBRATE")</f>
        <v>REFSEQ-INVERTEBRATE</v>
      </c>
      <c r="T68" s="2">
        <v>0</v>
      </c>
      <c r="U68" s="2">
        <v>100</v>
      </c>
      <c r="V68" s="2" t="s">
        <v>867</v>
      </c>
      <c r="W68" s="10" t="s">
        <v>868</v>
      </c>
      <c r="X68" s="2" t="s">
        <v>196</v>
      </c>
      <c r="Y68" s="2" t="str">
        <f>HYPERLINK(".\links\ARTHORPODA\AGAP003225-PA-ARTHORPODA.txt","ARTHORPODA")</f>
        <v>ARTHORPODA</v>
      </c>
      <c r="Z68" s="2">
        <v>0</v>
      </c>
      <c r="AA68" s="2">
        <v>100</v>
      </c>
      <c r="AB68" s="13" t="s">
        <v>102</v>
      </c>
      <c r="AC68" s="13" t="str">
        <f>HYPERLINK(".\links\Sigp\AGAP003225-PA-SigP.txt","CYT")</f>
        <v>CYT</v>
      </c>
      <c r="AD68" s="2" t="s">
        <v>102</v>
      </c>
      <c r="AE68" s="2">
        <v>24.719000000000001</v>
      </c>
      <c r="AF68" s="2">
        <v>6.62</v>
      </c>
      <c r="AG68" s="2" t="s">
        <v>102</v>
      </c>
      <c r="AH68" s="2" t="s">
        <v>102</v>
      </c>
      <c r="AI68" s="2" t="s">
        <v>211</v>
      </c>
      <c r="AJ68" s="13">
        <v>0</v>
      </c>
      <c r="AK68" s="2" t="s">
        <v>102</v>
      </c>
      <c r="AL68" s="2" t="s">
        <v>102</v>
      </c>
      <c r="AM68" s="2" t="s">
        <v>102</v>
      </c>
      <c r="AN68" s="13" t="str">
        <f>HYPERLINK(".\links\gpi\AGAP003225-PA-gpi.txt","N")</f>
        <v>N</v>
      </c>
      <c r="AO68" s="14" t="str">
        <f>HYPERLINK(".\links\netoglyc\AGAP003225-PA-netoglyc.txt","0")</f>
        <v>0</v>
      </c>
      <c r="AP68" s="13">
        <v>9.8000000000000007</v>
      </c>
      <c r="AQ68" s="2">
        <v>4.2</v>
      </c>
      <c r="AR68" s="2">
        <v>2.8</v>
      </c>
      <c r="AS68" s="2" t="s">
        <v>104</v>
      </c>
      <c r="AT68" s="9" t="str">
        <f>HYPERLINK(".\links\NR-LIGHT\AGAP003225-PA-NR-LIGHT.txt","AGAP003225-PA")</f>
        <v>AGAP003225-PA</v>
      </c>
      <c r="AU68" s="2" t="str">
        <f>HYPERLINK("http://www.ncbi.nlm.nih.gov/sutils/blink.cgi?pid=XP_563003.1","1E-117")</f>
        <v>1E-117</v>
      </c>
      <c r="AV68" s="2" t="str">
        <f>HYPERLINK("http://www.ncbi.nlm.nih.gov/protein/XP_563003.1","XP_563003.1")</f>
        <v>XP_563003.1</v>
      </c>
      <c r="AW68" s="2">
        <v>100</v>
      </c>
      <c r="AX68" s="2">
        <v>100</v>
      </c>
      <c r="AY68" s="2">
        <v>100</v>
      </c>
      <c r="AZ68" s="2" t="s">
        <v>105</v>
      </c>
      <c r="BA68" s="9" t="str">
        <f>HYPERLINK(".\links\REFSEQ-INVERTEBRATE\AGAP003225-PA-REFSEQ-INVERTEBRATE.txt","AGAP003225-PA")</f>
        <v>AGAP003225-PA</v>
      </c>
      <c r="BB68" s="2" t="str">
        <f>HYPERLINK("http://www.ncbi.nlm.nih.gov/sutils/blink.cgi?pid=XP_563003.1","1E-117")</f>
        <v>1E-117</v>
      </c>
      <c r="BC68" s="2" t="str">
        <f>HYPERLINK("http://www.ncbi.nlm.nih.gov/protein/XP_563003.1","XP_563003.1")</f>
        <v>XP_563003.1</v>
      </c>
      <c r="BD68" s="2">
        <v>100</v>
      </c>
      <c r="BE68" s="2">
        <v>100</v>
      </c>
      <c r="BF68" s="2">
        <v>100</v>
      </c>
      <c r="BG68" s="2" t="s">
        <v>105</v>
      </c>
      <c r="BH68" s="9" t="str">
        <f>HYPERLINK(".\links\REFSEQ-PROTOZOA\AGAP003225-PA-REFSEQ-PROTOZOA.txt","conserved Plasmodium protein, unknown function")</f>
        <v>conserved Plasmodium protein, unknown function</v>
      </c>
      <c r="BI68" s="2" t="str">
        <f>HYPERLINK("http://www.ncbi.nlm.nih.gov/sutils/blink.cgi?pid=XP_001349015.1","0.023")</f>
        <v>0.023</v>
      </c>
      <c r="BJ68" s="2" t="str">
        <f>HYPERLINK("http://www.ncbi.nlm.nih.gov/protein/XP_001349015.1","XP_001349015.1")</f>
        <v>XP_001349015.1</v>
      </c>
      <c r="BK68" s="2">
        <v>20</v>
      </c>
      <c r="BL68" s="2">
        <v>44</v>
      </c>
      <c r="BM68" s="2">
        <v>7</v>
      </c>
      <c r="BN68" s="2" t="s">
        <v>869</v>
      </c>
      <c r="BO68" s="9" t="str">
        <f>HYPERLINK(".\links\SWISSP\AGAP003225-PA-SWISSP.txt","Augmin complex subunit dgt2")</f>
        <v>Augmin complex subunit dgt2</v>
      </c>
      <c r="BP68" s="2" t="str">
        <f>HYPERLINK("http://www.uniprot.org/uniprot/Q9VKD6","1E-012")</f>
        <v>1E-012</v>
      </c>
      <c r="BQ68" s="2" t="str">
        <f>HYPERLINK("http://www.uniprot.org/uniprot/Q9VKD6#expression","Q9VKD6")</f>
        <v>Q9VKD6</v>
      </c>
      <c r="BR68" s="2">
        <v>30</v>
      </c>
      <c r="BS68" s="2">
        <v>48</v>
      </c>
      <c r="BT68" s="2">
        <v>98</v>
      </c>
      <c r="BU68" s="2" t="s">
        <v>107</v>
      </c>
      <c r="BV68" s="9" t="str">
        <f>HYPERLINK(".\links\FLYBASE\AGAP003225-PA-FLYBASE.txt","FBpp0309535")</f>
        <v>FBpp0309535</v>
      </c>
      <c r="BW68" s="2" t="str">
        <f>HYPERLINK("http://flybase.org/reports/FBgn0032390#alliance_summary_container","1E-08")</f>
        <v>1E-08</v>
      </c>
      <c r="BX68" s="2">
        <v>231</v>
      </c>
      <c r="BY68" s="2">
        <v>33</v>
      </c>
      <c r="BZ68" s="2">
        <v>54</v>
      </c>
      <c r="CA68" s="2">
        <v>58</v>
      </c>
      <c r="CB68" s="9" t="str">
        <f>HYPERLINK(".\links\CDD\AGAP003225-PA-CDD.txt","PRK05249, soluble pyridine nucleotide transhydrogenase")</f>
        <v>PRK05249, soluble pyridine nucleotide transhydrogenase</v>
      </c>
      <c r="CC68" s="15">
        <v>0.3</v>
      </c>
      <c r="CD68" s="2">
        <v>9.8000000000000007</v>
      </c>
      <c r="CE68" s="2" t="s">
        <v>870</v>
      </c>
      <c r="CF68" s="2" t="s">
        <v>871</v>
      </c>
      <c r="CG68" s="9" t="str">
        <f>HYPERLINK(".\links\KOG\AGAP003225-PA-KOG.txt","mRNA splicing factor ATP-dependent RNA helicase")</f>
        <v>mRNA splicing factor ATP-dependent RNA helicase</v>
      </c>
      <c r="CH68" s="15">
        <v>4.2999999999999997E-2</v>
      </c>
      <c r="CI68" s="2">
        <v>11.6</v>
      </c>
      <c r="CJ68" s="2" t="s">
        <v>872</v>
      </c>
      <c r="CK68" s="2" t="s">
        <v>722</v>
      </c>
      <c r="CL68" s="9" t="str">
        <f>HYPERLINK(".\links\PFAM\AGAP003225-PA-PFAM.txt","Atrophin-1, Atrophin-1 family")</f>
        <v>Atrophin-1, Atrophin-1 family</v>
      </c>
      <c r="CM68" s="15">
        <v>0.21</v>
      </c>
      <c r="CN68" s="2">
        <v>6</v>
      </c>
      <c r="CO68" s="2" t="s">
        <v>155</v>
      </c>
      <c r="CP68" s="9" t="str">
        <f>HYPERLINK(".\links\SMART\AGAP003225-PA-SMART.txt","BURP, The BURP domain is found at the C-terminus of several different plant proteins")</f>
        <v>BURP, The BURP domain is found at the C-terminus of several different plant proteins</v>
      </c>
      <c r="CQ68" s="15">
        <v>0.17</v>
      </c>
      <c r="CR68" s="2">
        <v>13.5</v>
      </c>
      <c r="CS68" s="2" t="s">
        <v>873</v>
      </c>
      <c r="CT68" s="2" t="s">
        <v>867</v>
      </c>
      <c r="CU68" s="2" t="s">
        <v>867</v>
      </c>
      <c r="CV68" s="2" t="s">
        <v>867</v>
      </c>
      <c r="CW68" s="2" t="str">
        <f>HYPERLINK(".\links\pep\AGAP003225-PA-pep.txt","AGAP003225-PA")</f>
        <v>AGAP003225-PA</v>
      </c>
      <c r="CX68" s="2" t="s">
        <v>95</v>
      </c>
      <c r="CY68" s="2">
        <v>215</v>
      </c>
      <c r="CZ68" s="2" t="s">
        <v>113</v>
      </c>
      <c r="DA68" s="2" t="s">
        <v>874</v>
      </c>
      <c r="DB68" s="2">
        <v>0</v>
      </c>
      <c r="DC68" s="2">
        <v>0</v>
      </c>
      <c r="DD68" s="2" t="str">
        <f>HYPERLINK("https://www.kegg.jp/kegg-bin/search_pathway_text?map=aga&amp;keyword=AGAP003225&amp;mode=1&amp;viewImage=true","AGAP003225")</f>
        <v>AGAP003225</v>
      </c>
      <c r="DE68" s="2" t="s">
        <v>866</v>
      </c>
      <c r="DF68" s="2" t="s">
        <v>93</v>
      </c>
      <c r="DG68" s="2" t="s">
        <v>94</v>
      </c>
      <c r="DH68" s="2" t="str">
        <f>HYPERLINK("https://vectorbase.org/vectorbase/app/record/gene/AGAP003225","AGAP003225-RA")</f>
        <v>AGAP003225-RA</v>
      </c>
      <c r="DI68" s="2" t="s">
        <v>135</v>
      </c>
      <c r="DJ68" s="2">
        <v>812</v>
      </c>
      <c r="DK68" s="2" t="str">
        <f>HYPERLINK(".\links\netoglyc\AGAP003225-PA-netoglyc.txt","0")</f>
        <v>0</v>
      </c>
      <c r="DL68" s="2">
        <v>9.8000000000000007</v>
      </c>
      <c r="DM68" s="2">
        <v>4.2</v>
      </c>
      <c r="DN68" s="2">
        <v>2.8</v>
      </c>
      <c r="DO68" s="2" t="s">
        <v>104</v>
      </c>
      <c r="DP68" s="2" t="s">
        <v>102</v>
      </c>
      <c r="DQ68" s="2" t="str">
        <f>HYPERLINK(".\links\Sigp\AGAP003225-PA-SigP.txt","CYT")</f>
        <v>CYT</v>
      </c>
      <c r="DR68" s="2" t="s">
        <v>102</v>
      </c>
      <c r="DS68" s="2">
        <v>24.719000000000001</v>
      </c>
      <c r="DT68" s="2">
        <v>6.62</v>
      </c>
      <c r="DU68" s="2" t="s">
        <v>102</v>
      </c>
      <c r="DV68" s="2" t="s">
        <v>102</v>
      </c>
      <c r="DW68" s="2" t="s">
        <v>211</v>
      </c>
      <c r="DX68" s="2">
        <v>215</v>
      </c>
      <c r="DY68" s="12">
        <v>0</v>
      </c>
      <c r="DZ68" s="2" t="s">
        <v>102</v>
      </c>
      <c r="EA68" s="2" t="s">
        <v>102</v>
      </c>
      <c r="EB68" s="2" t="s">
        <v>102</v>
      </c>
      <c r="EC68" s="2" t="str">
        <f>HYPERLINK(".\links\gpi\AGAP003225-PA-gpi.txt","N")</f>
        <v>N</v>
      </c>
      <c r="ED68" s="2">
        <v>0.34</v>
      </c>
      <c r="EF68" s="2">
        <v>3</v>
      </c>
      <c r="EG68" s="2" t="s">
        <v>102</v>
      </c>
      <c r="EH68" s="2" t="s">
        <v>102</v>
      </c>
      <c r="EI68" s="2">
        <v>9.7674418604651194</v>
      </c>
      <c r="EJ68" s="2">
        <v>2.7906976744185998</v>
      </c>
      <c r="EK68" s="2">
        <v>4.18604651162791</v>
      </c>
      <c r="EL68" s="2">
        <v>6.9767441860465098</v>
      </c>
      <c r="EM68" s="2" t="s">
        <v>102</v>
      </c>
      <c r="EN68" s="2" t="s">
        <v>102</v>
      </c>
      <c r="EO68" s="2" t="s">
        <v>102</v>
      </c>
      <c r="EP68" s="2" t="s">
        <v>102</v>
      </c>
      <c r="EQ68" s="2" t="s">
        <v>102</v>
      </c>
      <c r="ER68" s="2" t="s">
        <v>102</v>
      </c>
      <c r="ES68" s="2" t="s">
        <v>102</v>
      </c>
      <c r="ET68" s="2" t="str">
        <f>HYPERLINK(".\links\REFSEQ-INVERTEBRATE\AGAP003225-PA-REFSEQ-INVERTEBRATE.txt","AGAP003225-PA")</f>
        <v>AGAP003225-PA</v>
      </c>
      <c r="EU68" s="2" t="str">
        <f>HYPERLINK("http://www.ncbi.nlm.nih.gov/sutils/blink.cgi?pid=XP_563003.1","1E-157")</f>
        <v>1E-157</v>
      </c>
      <c r="EV68" s="2" t="str">
        <f>HYPERLINK("http://www.ncbi.nlm.nih.gov/protein/XP_563003.1","XP_563003.1")</f>
        <v>XP_563003.1</v>
      </c>
      <c r="EW68" s="2">
        <v>100</v>
      </c>
      <c r="EX68" s="2">
        <v>100</v>
      </c>
      <c r="EY68" s="2">
        <v>100</v>
      </c>
      <c r="EZ68" s="2" t="s">
        <v>105</v>
      </c>
    </row>
    <row r="69" spans="1:156" x14ac:dyDescent="0.25">
      <c r="A69" s="2" t="s">
        <v>875</v>
      </c>
      <c r="B69" s="2">
        <v>0.40114101348396303</v>
      </c>
      <c r="C69" s="2">
        <f t="shared" si="1"/>
        <v>1.320551909542923</v>
      </c>
      <c r="D69" s="2">
        <v>4.47592118560293</v>
      </c>
      <c r="E69" s="2">
        <v>9.5059113012961394</v>
      </c>
      <c r="F69" s="2">
        <v>2.04811016399895E-3</v>
      </c>
      <c r="G69" s="2">
        <v>4.4166576950130397E-2</v>
      </c>
      <c r="H69" s="2" t="s">
        <v>93</v>
      </c>
      <c r="I69" s="2" t="s">
        <v>94</v>
      </c>
      <c r="J69" s="2" t="str">
        <f>HYPERLINK("https://vectorbase.org/vectorbase/app/record/gene/AGAP003813","AGAP003813-RA")</f>
        <v>AGAP003813-RA</v>
      </c>
      <c r="K69" s="2" t="str">
        <f>HYPERLINK(".\links\pep\AGAP003813-PA-pep.txt","AGAP003813-PA")</f>
        <v>AGAP003813-PA</v>
      </c>
      <c r="L69" s="12" t="s">
        <v>95</v>
      </c>
      <c r="M69" s="2">
        <v>246</v>
      </c>
      <c r="N69" s="2">
        <v>0</v>
      </c>
      <c r="O69" s="2">
        <v>2</v>
      </c>
      <c r="P69" s="2" t="s">
        <v>102</v>
      </c>
      <c r="Q69" s="9" t="s">
        <v>876</v>
      </c>
      <c r="R69" s="2" t="s">
        <v>196</v>
      </c>
      <c r="S69" s="2" t="str">
        <f>HYPERLINK(".\links\REFSEQ-INVERTEBRATE\AGAP003813-PA-REFSEQ-INVERTEBRATE.txt","REFSEQ-INVERTEBRATE")</f>
        <v>REFSEQ-INVERTEBRATE</v>
      </c>
      <c r="T69" s="2">
        <v>0</v>
      </c>
      <c r="U69" s="2">
        <v>100</v>
      </c>
      <c r="V69" s="2" t="s">
        <v>876</v>
      </c>
      <c r="W69" s="10" t="s">
        <v>877</v>
      </c>
      <c r="X69" s="2" t="s">
        <v>196</v>
      </c>
      <c r="Y69" s="2" t="str">
        <f>HYPERLINK(".\links\ARTHORPODA\AGAP003813-PA-ARTHORPODA.txt","ARTHORPODA")</f>
        <v>ARTHORPODA</v>
      </c>
      <c r="Z69" s="2">
        <v>0</v>
      </c>
      <c r="AA69" s="2">
        <v>100</v>
      </c>
      <c r="AB69" s="13" t="s">
        <v>102</v>
      </c>
      <c r="AC69" s="13" t="str">
        <f>HYPERLINK(".\links\Sigp\AGAP003813-PA-SigP.txt","CYT")</f>
        <v>CYT</v>
      </c>
      <c r="AD69" s="2" t="s">
        <v>102</v>
      </c>
      <c r="AE69" s="2">
        <v>28.64</v>
      </c>
      <c r="AF69" s="2">
        <v>5.46</v>
      </c>
      <c r="AG69" s="2" t="s">
        <v>102</v>
      </c>
      <c r="AH69" s="2" t="s">
        <v>102</v>
      </c>
      <c r="AI69" s="2" t="s">
        <v>211</v>
      </c>
      <c r="AJ69" s="13">
        <v>0</v>
      </c>
      <c r="AK69" s="2" t="s">
        <v>102</v>
      </c>
      <c r="AL69" s="2" t="s">
        <v>102</v>
      </c>
      <c r="AM69" s="2" t="s">
        <v>102</v>
      </c>
      <c r="AN69" s="13" t="str">
        <f>HYPERLINK(".\links\gpi\AGAP003813-PA-gpi.txt","N")</f>
        <v>N</v>
      </c>
      <c r="AO69" s="14" t="str">
        <f>HYPERLINK(".\links\netoglyc\AGAP003813-PA-netoglyc.txt","0")</f>
        <v>0</v>
      </c>
      <c r="AP69" s="13">
        <v>7.7</v>
      </c>
      <c r="AQ69" s="2">
        <v>5.3</v>
      </c>
      <c r="AR69" s="2">
        <v>3.7</v>
      </c>
      <c r="AS69" s="2" t="s">
        <v>104</v>
      </c>
      <c r="AT69" s="9" t="str">
        <f>HYPERLINK(".\links\NR-LIGHT\AGAP003813-PA-NR-LIGHT.txt","AGAP003813-PA")</f>
        <v>AGAP003813-PA</v>
      </c>
      <c r="AU69" s="2" t="str">
        <f>HYPERLINK("http://www.ncbi.nlm.nih.gov/sutils/blink.cgi?pid=XP_310374.3","1E-139")</f>
        <v>1E-139</v>
      </c>
      <c r="AV69" s="2" t="str">
        <f>HYPERLINK("http://www.ncbi.nlm.nih.gov/protein/XP_310374.3","XP_310374.3")</f>
        <v>XP_310374.3</v>
      </c>
      <c r="AW69" s="2">
        <v>100</v>
      </c>
      <c r="AX69" s="2">
        <v>100</v>
      </c>
      <c r="AY69" s="2">
        <v>100</v>
      </c>
      <c r="AZ69" s="2" t="s">
        <v>105</v>
      </c>
      <c r="BA69" s="9" t="str">
        <f>HYPERLINK(".\links\REFSEQ-INVERTEBRATE\AGAP003813-PA-REFSEQ-INVERTEBRATE.txt","AGAP003813-PA")</f>
        <v>AGAP003813-PA</v>
      </c>
      <c r="BB69" s="2" t="str">
        <f>HYPERLINK("http://www.ncbi.nlm.nih.gov/sutils/blink.cgi?pid=XP_310374.3","1E-139")</f>
        <v>1E-139</v>
      </c>
      <c r="BC69" s="2" t="str">
        <f>HYPERLINK("http://www.ncbi.nlm.nih.gov/protein/XP_310374.3","XP_310374.3")</f>
        <v>XP_310374.3</v>
      </c>
      <c r="BD69" s="2">
        <v>100</v>
      </c>
      <c r="BE69" s="2">
        <v>100</v>
      </c>
      <c r="BF69" s="2">
        <v>100</v>
      </c>
      <c r="BG69" s="2" t="s">
        <v>105</v>
      </c>
      <c r="BH69" s="9" t="str">
        <f>HYPERLINK(".\links\REFSEQ-PROTOZOA\AGAP003813-PA-REFSEQ-PROTOZOA.txt","conserved Plasmodium protein")</f>
        <v>conserved Plasmodium protein</v>
      </c>
      <c r="BI69" s="2" t="str">
        <f>HYPERLINK("http://www.ncbi.nlm.nih.gov/sutils/blink.cgi?pid=XP_001348048.1","0.039")</f>
        <v>0.039</v>
      </c>
      <c r="BJ69" s="2" t="str">
        <f>HYPERLINK("http://www.ncbi.nlm.nih.gov/protein/XP_001348048.1","XP_001348048.1")</f>
        <v>XP_001348048.1</v>
      </c>
      <c r="BK69" s="2">
        <v>29</v>
      </c>
      <c r="BL69" s="2">
        <v>51</v>
      </c>
      <c r="BM69" s="2">
        <v>8</v>
      </c>
      <c r="BN69" s="2" t="s">
        <v>869</v>
      </c>
      <c r="BO69" s="9" t="str">
        <f>HYPERLINK(".\links\SWISSP\AGAP003813-PA-SWISSP.txt","Zinc finger protein with KRAB and SCAN domains 2")</f>
        <v>Zinc finger protein with KRAB and SCAN domains 2</v>
      </c>
      <c r="BP69" s="2" t="str">
        <f>HYPERLINK("http://www.uniprot.org/uniprot/Q63HK3","0.003")</f>
        <v>0.003</v>
      </c>
      <c r="BQ69" s="2" t="str">
        <f>HYPERLINK("http://www.uniprot.org/uniprot/Q63HK3#expression","Q63HK3")</f>
        <v>Q63HK3</v>
      </c>
      <c r="BR69" s="2">
        <v>28</v>
      </c>
      <c r="BS69" s="2">
        <v>46</v>
      </c>
      <c r="BT69" s="2">
        <v>16</v>
      </c>
      <c r="BU69" s="2" t="s">
        <v>127</v>
      </c>
      <c r="BV69" s="9" t="str">
        <f>HYPERLINK(".\links\FLYBASE\AGAP003813-PA-FLYBASE.txt","FBpp0297117")</f>
        <v>FBpp0297117</v>
      </c>
      <c r="BW69" s="2" t="str">
        <f>HYPERLINK("http://flybase.org/reports/FBgn0039507#alliance_summary_container","6E-07")</f>
        <v>6E-07</v>
      </c>
      <c r="BX69" s="2">
        <v>775</v>
      </c>
      <c r="BY69" s="2">
        <v>35</v>
      </c>
      <c r="BZ69" s="2">
        <v>53</v>
      </c>
      <c r="CA69" s="2">
        <v>10</v>
      </c>
      <c r="CB69" s="9" t="str">
        <f>HYPERLINK(".\links\CDD\AGAP003813-PA-CDD.txt","Myb_DNA-bind_4, Myb/SANT-like DNA-binding domain")</f>
        <v>Myb_DNA-bind_4, Myb/SANT-like DNA-binding domain</v>
      </c>
      <c r="CC69" s="15">
        <v>8.0000000000000002E-8</v>
      </c>
      <c r="CD69" s="2">
        <v>95.2</v>
      </c>
      <c r="CE69" s="2" t="s">
        <v>878</v>
      </c>
      <c r="CF69" s="2" t="s">
        <v>879</v>
      </c>
      <c r="CG69" s="9" t="str">
        <f>HYPERLINK(".\links\KOG\AGAP003813-PA-KOG.txt","contains trihelix DNA-binding/SANT domain")</f>
        <v>contains trihelix DNA-binding/SANT domain</v>
      </c>
      <c r="CH69" s="15">
        <v>6.0000000000000001E-3</v>
      </c>
      <c r="CI69" s="2">
        <v>22.3</v>
      </c>
      <c r="CJ69" s="2" t="s">
        <v>880</v>
      </c>
      <c r="CK69" s="2" t="s">
        <v>309</v>
      </c>
      <c r="CL69" s="9" t="str">
        <f>HYPERLINK(".\links\PFAM\AGAP003813-PA-PFAM.txt","Myb_DNA-bind_4, Myb/SANT-like DNA-binding domain")</f>
        <v>Myb_DNA-bind_4, Myb/SANT-like DNA-binding domain</v>
      </c>
      <c r="CM69" s="15">
        <v>2E-8</v>
      </c>
      <c r="CN69" s="2">
        <v>95.2</v>
      </c>
      <c r="CO69" s="2" t="s">
        <v>878</v>
      </c>
      <c r="CP69" s="9" t="str">
        <f>HYPERLINK(".\links\SMART\AGAP003813-PA-SMART.txt","SANT, SANT SWI3, ADA2, N-CoR and TFIIIB'' DNA-binding domains")</f>
        <v>SANT, SANT SWI3, ADA2, N-CoR and TFIIIB'' DNA-binding domains</v>
      </c>
      <c r="CQ69" s="15">
        <v>2.9000000000000001E-2</v>
      </c>
      <c r="CR69" s="2">
        <v>136.69999999999999</v>
      </c>
      <c r="CS69" s="2" t="s">
        <v>881</v>
      </c>
      <c r="CT69" s="2" t="s">
        <v>876</v>
      </c>
      <c r="CU69" s="2" t="s">
        <v>876</v>
      </c>
      <c r="CV69" s="2" t="s">
        <v>876</v>
      </c>
      <c r="CW69" s="2" t="str">
        <f>HYPERLINK(".\links\pep\AGAP003813-PA-pep.txt","AGAP003813-PA")</f>
        <v>AGAP003813-PA</v>
      </c>
      <c r="CX69" s="2" t="s">
        <v>95</v>
      </c>
      <c r="CY69" s="2">
        <v>246</v>
      </c>
      <c r="CZ69" s="2" t="s">
        <v>113</v>
      </c>
      <c r="DA69" s="2" t="s">
        <v>882</v>
      </c>
      <c r="DB69" s="2">
        <v>0</v>
      </c>
      <c r="DC69" s="2">
        <v>2</v>
      </c>
      <c r="DD69" s="2" t="str">
        <f>HYPERLINK("https://www.kegg.jp/kegg-bin/search_pathway_text?map=aga&amp;keyword=AGAP003813&amp;mode=1&amp;viewImage=true","AGAP003813")</f>
        <v>AGAP003813</v>
      </c>
      <c r="DE69" s="2" t="s">
        <v>875</v>
      </c>
      <c r="DF69" s="2" t="s">
        <v>93</v>
      </c>
      <c r="DG69" s="2" t="s">
        <v>94</v>
      </c>
      <c r="DH69" s="2" t="str">
        <f>HYPERLINK("https://vectorbase.org/vectorbase/app/record/gene/AGAP003813","AGAP003813-RA")</f>
        <v>AGAP003813-RA</v>
      </c>
      <c r="DI69" s="2" t="s">
        <v>135</v>
      </c>
      <c r="DJ69" s="2">
        <v>741</v>
      </c>
      <c r="DK69" s="2" t="str">
        <f>HYPERLINK(".\links\netoglyc\AGAP003813-PA-netoglyc.txt","0")</f>
        <v>0</v>
      </c>
      <c r="DL69" s="2">
        <v>7.7</v>
      </c>
      <c r="DM69" s="2">
        <v>5.3</v>
      </c>
      <c r="DN69" s="2">
        <v>3.7</v>
      </c>
      <c r="DO69" s="2" t="s">
        <v>104</v>
      </c>
      <c r="DP69" s="2" t="s">
        <v>102</v>
      </c>
      <c r="DQ69" s="2" t="str">
        <f>HYPERLINK(".\links\Sigp\AGAP003813-PA-SigP.txt","CYT")</f>
        <v>CYT</v>
      </c>
      <c r="DR69" s="2" t="s">
        <v>102</v>
      </c>
      <c r="DS69" s="2">
        <v>28.64</v>
      </c>
      <c r="DT69" s="2">
        <v>5.46</v>
      </c>
      <c r="DU69" s="2" t="s">
        <v>102</v>
      </c>
      <c r="DV69" s="2" t="s">
        <v>102</v>
      </c>
      <c r="DW69" s="2" t="s">
        <v>211</v>
      </c>
      <c r="DX69" s="2">
        <v>246</v>
      </c>
      <c r="DY69" s="12">
        <v>0</v>
      </c>
      <c r="DZ69" s="2" t="s">
        <v>102</v>
      </c>
      <c r="EA69" s="2" t="s">
        <v>102</v>
      </c>
      <c r="EB69" s="2" t="s">
        <v>102</v>
      </c>
      <c r="EC69" s="2" t="str">
        <f>HYPERLINK(".\links\gpi\AGAP003813-PA-gpi.txt","N")</f>
        <v>N</v>
      </c>
      <c r="ED69" s="2">
        <v>0.37</v>
      </c>
      <c r="EF69" s="2">
        <v>4</v>
      </c>
      <c r="EG69" s="2" t="s">
        <v>102</v>
      </c>
      <c r="EH69" s="2" t="s">
        <v>102</v>
      </c>
      <c r="EI69" s="2">
        <v>7.7235772357723604</v>
      </c>
      <c r="EJ69" s="2">
        <v>3.6585365853658498</v>
      </c>
      <c r="EK69" s="2">
        <v>5.2845528455284496</v>
      </c>
      <c r="EL69" s="2">
        <v>8.9430894308943092</v>
      </c>
      <c r="EM69" s="2">
        <v>1</v>
      </c>
      <c r="EN69" s="2">
        <v>1</v>
      </c>
      <c r="EO69" s="2">
        <v>2</v>
      </c>
      <c r="EP69" s="2" t="s">
        <v>102</v>
      </c>
      <c r="EQ69" s="2" t="s">
        <v>102</v>
      </c>
      <c r="ER69" s="2" t="s">
        <v>102</v>
      </c>
      <c r="ES69" s="2" t="s">
        <v>102</v>
      </c>
      <c r="ET69" s="2" t="str">
        <f>HYPERLINK(".\links\REFSEQ-INVERTEBRATE\AGAP003813-PA-REFSEQ-INVERTEBRATE.txt","AGAP003813-PA")</f>
        <v>AGAP003813-PA</v>
      </c>
      <c r="EU69" s="2" t="str">
        <f>HYPERLINK("http://www.ncbi.nlm.nih.gov/sutils/blink.cgi?pid=XP_310374.3","0.0")</f>
        <v>0.0</v>
      </c>
      <c r="EV69" s="2" t="str">
        <f>HYPERLINK("http://www.ncbi.nlm.nih.gov/protein/XP_310374.3","XP_310374.3")</f>
        <v>XP_310374.3</v>
      </c>
      <c r="EW69" s="2">
        <v>100</v>
      </c>
      <c r="EX69" s="2">
        <v>100</v>
      </c>
      <c r="EY69" s="2">
        <v>100</v>
      </c>
      <c r="EZ69" s="2" t="s">
        <v>105</v>
      </c>
    </row>
    <row r="70" spans="1:156" x14ac:dyDescent="0.25">
      <c r="A70" s="2" t="s">
        <v>883</v>
      </c>
      <c r="B70" s="2">
        <v>0.39902914299124098</v>
      </c>
      <c r="C70" s="2">
        <f t="shared" si="1"/>
        <v>1.3186202508563925</v>
      </c>
      <c r="D70" s="2">
        <v>8.9646908091631108</v>
      </c>
      <c r="E70" s="2">
        <v>11.723545035557899</v>
      </c>
      <c r="F70" s="2">
        <v>6.1714279791636698E-4</v>
      </c>
      <c r="G70" s="2">
        <v>2.77845500904421E-2</v>
      </c>
      <c r="H70" s="2" t="s">
        <v>884</v>
      </c>
      <c r="I70" s="2" t="s">
        <v>94</v>
      </c>
      <c r="J70" s="2" t="str">
        <f>HYPERLINK("https://vectorbase.org/vectorbase/app/record/gene/AGAP010308","AGAP010308-RA")</f>
        <v>AGAP010308-RA</v>
      </c>
      <c r="K70" s="2" t="str">
        <f>HYPERLINK(".\links\pep\AGAP010308-PA-pep.txt","AGAP010308-PA")</f>
        <v>AGAP010308-PA</v>
      </c>
      <c r="L70" s="12" t="s">
        <v>95</v>
      </c>
      <c r="M70" s="2">
        <v>743</v>
      </c>
      <c r="N70" s="2">
        <v>0</v>
      </c>
      <c r="O70" s="2">
        <v>2</v>
      </c>
      <c r="P70" s="2" t="s">
        <v>885</v>
      </c>
      <c r="Q70" s="9" t="s">
        <v>886</v>
      </c>
      <c r="R70" s="2" t="s">
        <v>420</v>
      </c>
      <c r="S70" s="2" t="str">
        <f>HYPERLINK(".\links\REFSEQ-INVERTEBRATE\AGAP010308-PA-REFSEQ-INVERTEBRATE.txt","REFSEQ-INVERTEBRATE")</f>
        <v>REFSEQ-INVERTEBRATE</v>
      </c>
      <c r="T70" s="2">
        <v>0</v>
      </c>
      <c r="U70" s="2">
        <v>79</v>
      </c>
      <c r="V70" s="2" t="s">
        <v>887</v>
      </c>
      <c r="W70" s="10" t="s">
        <v>888</v>
      </c>
      <c r="X70" s="2" t="s">
        <v>420</v>
      </c>
      <c r="Y70" s="2" t="str">
        <f>HYPERLINK(".\links\REFSEQVERTEBRATE95\AGAP010308-PA-REFSEQVERTEBRATE95.txt","REFSEQVERTEBRATE95")</f>
        <v>REFSEQVERTEBRATE95</v>
      </c>
      <c r="Z70" s="15">
        <v>0</v>
      </c>
      <c r="AA70" s="2">
        <v>79.099999999999994</v>
      </c>
      <c r="AB70" s="13" t="str">
        <f>HYPERLINK(".\links\pep\AGAP010308-PA-sulf.txt","2")</f>
        <v>2</v>
      </c>
      <c r="AC70" s="13" t="str">
        <f>HYPERLINK(".\links\Sigp\AGAP010308-PA-SigP.txt","CYT")</f>
        <v>CYT</v>
      </c>
      <c r="AD70" s="2" t="s">
        <v>102</v>
      </c>
      <c r="AE70" s="2">
        <v>85.971999999999994</v>
      </c>
      <c r="AF70" s="2">
        <v>9.42</v>
      </c>
      <c r="AG70" s="2" t="s">
        <v>102</v>
      </c>
      <c r="AH70" s="2" t="s">
        <v>102</v>
      </c>
      <c r="AI70" s="2" t="s">
        <v>889</v>
      </c>
      <c r="AJ70" s="13">
        <v>0</v>
      </c>
      <c r="AK70" s="2" t="s">
        <v>102</v>
      </c>
      <c r="AL70" s="2" t="s">
        <v>102</v>
      </c>
      <c r="AM70" s="2" t="s">
        <v>102</v>
      </c>
      <c r="AN70" s="13" t="str">
        <f>HYPERLINK(".\links\gpi\AGAP010308-PA-gpi.txt","N")</f>
        <v>N</v>
      </c>
      <c r="AO70" s="14" t="str">
        <f>HYPERLINK(".\links\netoglyc\AGAP010308-PA-netoglyc.txt","0")</f>
        <v>0</v>
      </c>
      <c r="AP70" s="13">
        <v>11.3</v>
      </c>
      <c r="AQ70" s="2">
        <v>3.6</v>
      </c>
      <c r="AR70" s="2">
        <v>3.2</v>
      </c>
      <c r="AS70" s="2" t="s">
        <v>104</v>
      </c>
      <c r="AT70" s="9" t="str">
        <f>HYPERLINK(".\links\NR-LIGHT\AGAP010308-PA-NR-LIGHT.txt","AGAP010308-PA")</f>
        <v>AGAP010308-PA</v>
      </c>
      <c r="AU70" s="2" t="str">
        <f>HYPERLINK("http://www.ncbi.nlm.nih.gov/sutils/blink.cgi?pid=XP_314636.3","0.0")</f>
        <v>0.0</v>
      </c>
      <c r="AV70" s="2" t="str">
        <f>HYPERLINK("http://www.ncbi.nlm.nih.gov/protein/XP_314636.3","XP_314636.3")</f>
        <v>XP_314636.3</v>
      </c>
      <c r="AW70" s="2">
        <v>100</v>
      </c>
      <c r="AX70" s="2">
        <v>100</v>
      </c>
      <c r="AY70" s="2">
        <v>100</v>
      </c>
      <c r="AZ70" s="2" t="s">
        <v>105</v>
      </c>
      <c r="BA70" s="9" t="str">
        <f>HYPERLINK(".\links\REFSEQ-INVERTEBRATE\AGAP010308-PA-REFSEQ-INVERTEBRATE.txt","AGAP010308-PA")</f>
        <v>AGAP010308-PA</v>
      </c>
      <c r="BB70" s="2" t="str">
        <f>HYPERLINK("http://www.ncbi.nlm.nih.gov/sutils/blink.cgi?pid=XP_314636.3","0.0")</f>
        <v>0.0</v>
      </c>
      <c r="BC70" s="2" t="str">
        <f>HYPERLINK("http://www.ncbi.nlm.nih.gov/protein/XP_314636.3","XP_314636.3")</f>
        <v>XP_314636.3</v>
      </c>
      <c r="BD70" s="2">
        <v>100</v>
      </c>
      <c r="BE70" s="2">
        <v>100</v>
      </c>
      <c r="BF70" s="2">
        <v>100</v>
      </c>
      <c r="BG70" s="2" t="s">
        <v>105</v>
      </c>
      <c r="BH70" s="9" t="str">
        <f>HYPERLINK(".\links\REFSEQ-PROTOZOA\AGAP010308-PA-REFSEQ-PROTOZOA.txt","hypothetical protein CAOG_00300")</f>
        <v>hypothetical protein CAOG_00300</v>
      </c>
      <c r="BI70" s="2" t="str">
        <f>HYPERLINK("http://www.ncbi.nlm.nih.gov/sutils/blink.cgi?pid=XP_004365171.1","6E-066")</f>
        <v>6E-066</v>
      </c>
      <c r="BJ70" s="2" t="str">
        <f>HYPERLINK("http://www.ncbi.nlm.nih.gov/protein/XP_004365171.1","XP_004365171.1")</f>
        <v>XP_004365171.1</v>
      </c>
      <c r="BK70" s="2">
        <v>29</v>
      </c>
      <c r="BL70" s="2">
        <v>48</v>
      </c>
      <c r="BM70" s="2">
        <v>72</v>
      </c>
      <c r="BN70" s="2" t="s">
        <v>106</v>
      </c>
      <c r="BO70" s="9" t="str">
        <f>HYPERLINK(".\links\SWISSP\AGAP010308-PA-SWISSP.txt","Nucleolar complex protein 3 homolog")</f>
        <v>Nucleolar complex protein 3 homolog</v>
      </c>
      <c r="BP70" s="2" t="str">
        <f>HYPERLINK("http://www.uniprot.org/uniprot/Q9VI82","1E-158")</f>
        <v>1E-158</v>
      </c>
      <c r="BQ70" s="2" t="str">
        <f>HYPERLINK("http://www.uniprot.org/uniprot/Q9VI82#expression","Q9VI82")</f>
        <v>Q9VI82</v>
      </c>
      <c r="BR70" s="2">
        <v>45</v>
      </c>
      <c r="BS70" s="2">
        <v>65</v>
      </c>
      <c r="BT70" s="2">
        <v>80</v>
      </c>
      <c r="BU70" s="2" t="s">
        <v>107</v>
      </c>
      <c r="BV70" s="9" t="str">
        <f>HYPERLINK(".\links\FLYBASE\AGAP010308-PA-FLYBASE.txt","FBpp0081117")</f>
        <v>FBpp0081117</v>
      </c>
      <c r="BW70" s="2" t="str">
        <f>HYPERLINK("http://flybase.org/reports/FBgn0037489#alliance_summary_container","0.0")</f>
        <v>0.0</v>
      </c>
      <c r="BX70" s="2">
        <v>822</v>
      </c>
      <c r="BY70" s="2">
        <v>47</v>
      </c>
      <c r="BZ70" s="2">
        <v>69</v>
      </c>
      <c r="CA70" s="2">
        <v>70</v>
      </c>
      <c r="CB70" s="9" t="str">
        <f>HYPERLINK(".\links\CDD\AGAP010308-PA-CDD.txt","NOC3, Protein involved in the nuclear export of pre-ribosomes")</f>
        <v>NOC3, Protein involved in the nuclear export of pre-ribosomes</v>
      </c>
      <c r="CC70" s="15">
        <v>3.9999999999999999E-47</v>
      </c>
      <c r="CD70" s="2">
        <v>92.8</v>
      </c>
      <c r="CE70" s="2" t="s">
        <v>890</v>
      </c>
      <c r="CF70" s="2" t="s">
        <v>891</v>
      </c>
      <c r="CG70" s="9" t="str">
        <f>HYPERLINK(".\links\KOG\AGAP010308-PA-KOG.txt","Protein involved in the nuclear export of pre-ribosomes")</f>
        <v>Protein involved in the nuclear export of pre-ribosomes</v>
      </c>
      <c r="CH70" s="15">
        <v>1E-100</v>
      </c>
      <c r="CI70" s="2">
        <v>91.1</v>
      </c>
      <c r="CJ70" s="2" t="s">
        <v>892</v>
      </c>
      <c r="CK70" s="2" t="s">
        <v>893</v>
      </c>
      <c r="CL70" s="9" t="str">
        <f>HYPERLINK(".\links\PFAM\AGAP010308-PA-PFAM.txt","CBF, CBF/Mak21 family")</f>
        <v>CBF, CBF/Mak21 family</v>
      </c>
      <c r="CM70" s="15">
        <v>5.0000000000000002E-23</v>
      </c>
      <c r="CN70" s="2">
        <v>106</v>
      </c>
      <c r="CO70" s="2" t="s">
        <v>894</v>
      </c>
      <c r="CP70" s="9" t="str">
        <f>HYPERLINK(".\links\SMART\AGAP010308-PA-SMART.txt","OmpH, Outer membrane protein (OmpH-like)")</f>
        <v>OmpH, Outer membrane protein (OmpH-like)</v>
      </c>
      <c r="CQ70" s="15">
        <v>0.11</v>
      </c>
      <c r="CR70" s="2">
        <v>41.4</v>
      </c>
      <c r="CS70" s="2" t="s">
        <v>895</v>
      </c>
      <c r="CT70" s="2" t="s">
        <v>887</v>
      </c>
      <c r="CU70" s="2" t="s">
        <v>887</v>
      </c>
      <c r="CV70" s="2" t="s">
        <v>887</v>
      </c>
      <c r="CW70" s="2" t="str">
        <f>HYPERLINK(".\links\pep\AGAP010308-PA-pep.txt","AGAP010308-PA")</f>
        <v>AGAP010308-PA</v>
      </c>
      <c r="CX70" s="2" t="s">
        <v>95</v>
      </c>
      <c r="CY70" s="2">
        <v>743</v>
      </c>
      <c r="CZ70" s="2" t="s">
        <v>113</v>
      </c>
      <c r="DA70" s="2" t="s">
        <v>896</v>
      </c>
      <c r="DB70" s="2">
        <v>0</v>
      </c>
      <c r="DC70" s="2">
        <v>2</v>
      </c>
      <c r="DD70" s="2" t="str">
        <f>HYPERLINK("https://www.kegg.jp/kegg-bin/search_pathway_text?map=aga&amp;keyword=AGAP010308&amp;mode=1&amp;viewImage=true","AGAP010308")</f>
        <v>AGAP010308</v>
      </c>
      <c r="DE70" s="2" t="s">
        <v>883</v>
      </c>
      <c r="DF70" s="2" t="s">
        <v>884</v>
      </c>
      <c r="DG70" s="2" t="s">
        <v>94</v>
      </c>
      <c r="DH70" s="2" t="str">
        <f>HYPERLINK("https://vectorbase.org/vectorbase/app/record/gene/AGAP010308","AGAP010308-RA")</f>
        <v>AGAP010308-RA</v>
      </c>
      <c r="DI70" s="2" t="s">
        <v>115</v>
      </c>
      <c r="DJ70" s="2">
        <v>2371</v>
      </c>
      <c r="DK70" s="2" t="str">
        <f>HYPERLINK(".\links\netoglyc\AGAP010308-PA-netoglyc.txt","0")</f>
        <v>0</v>
      </c>
      <c r="DL70" s="2">
        <v>11.3</v>
      </c>
      <c r="DM70" s="2">
        <v>3.6</v>
      </c>
      <c r="DN70" s="2">
        <v>3.2</v>
      </c>
      <c r="DO70" s="2" t="s">
        <v>104</v>
      </c>
      <c r="DP70" s="2" t="s">
        <v>102</v>
      </c>
      <c r="DQ70" s="2" t="str">
        <f>HYPERLINK(".\links\Sigp\AGAP010308-PA-SigP.txt","CYT")</f>
        <v>CYT</v>
      </c>
      <c r="DR70" s="2" t="s">
        <v>102</v>
      </c>
      <c r="DS70" s="2">
        <v>85.971999999999994</v>
      </c>
      <c r="DT70" s="2">
        <v>9.42</v>
      </c>
      <c r="DU70" s="2" t="s">
        <v>102</v>
      </c>
      <c r="DV70" s="2" t="s">
        <v>102</v>
      </c>
      <c r="DW70" s="2" t="s">
        <v>889</v>
      </c>
      <c r="DX70" s="2">
        <v>743</v>
      </c>
      <c r="DY70" s="12">
        <v>0</v>
      </c>
      <c r="DZ70" s="2" t="s">
        <v>102</v>
      </c>
      <c r="EA70" s="2" t="s">
        <v>102</v>
      </c>
      <c r="EB70" s="2" t="s">
        <v>102</v>
      </c>
      <c r="EC70" s="2" t="str">
        <f>HYPERLINK(".\links\gpi\AGAP010308-PA-gpi.txt","Y-NoSP")</f>
        <v>Y-NoSP</v>
      </c>
      <c r="ED70" s="2">
        <v>0.28000000000000003</v>
      </c>
      <c r="EF70" s="2">
        <v>15</v>
      </c>
      <c r="EG70" s="2" t="str">
        <f>HYPERLINK(".\links\pep\AGAP010308-PA-sulf.txt","2")</f>
        <v>2</v>
      </c>
      <c r="EH70" s="2" t="s">
        <v>102</v>
      </c>
      <c r="EI70" s="2">
        <v>11.3055181695828</v>
      </c>
      <c r="EJ70" s="2">
        <v>3.2301480484522198</v>
      </c>
      <c r="EK70" s="2">
        <v>3.6339165545087502</v>
      </c>
      <c r="EL70" s="2">
        <v>6.86406460296097</v>
      </c>
      <c r="EM70" s="2" t="s">
        <v>102</v>
      </c>
      <c r="EN70" s="2">
        <v>4</v>
      </c>
      <c r="EO70" s="2">
        <v>4</v>
      </c>
      <c r="EP70" s="2" t="s">
        <v>102</v>
      </c>
      <c r="EQ70" s="2" t="s">
        <v>102</v>
      </c>
      <c r="ER70" s="2" t="s">
        <v>102</v>
      </c>
      <c r="ES70" s="2" t="s">
        <v>102</v>
      </c>
      <c r="ET70" s="2" t="str">
        <f>HYPERLINK(".\links\REFSEQ-INVERTEBRATE\AGAP010308-PA-REFSEQ-INVERTEBRATE.txt","AGAP010308-PA")</f>
        <v>AGAP010308-PA</v>
      </c>
      <c r="EU70" s="2" t="str">
        <f>HYPERLINK("http://www.ncbi.nlm.nih.gov/sutils/blink.cgi?pid=XP_314636.3","0.0")</f>
        <v>0.0</v>
      </c>
      <c r="EV70" s="2" t="str">
        <f>HYPERLINK("http://www.ncbi.nlm.nih.gov/protein/XP_314636.3","XP_314636.3")</f>
        <v>XP_314636.3</v>
      </c>
      <c r="EW70" s="2">
        <v>100</v>
      </c>
      <c r="EX70" s="2">
        <v>100</v>
      </c>
      <c r="EY70" s="2">
        <v>100</v>
      </c>
      <c r="EZ70" s="2" t="s">
        <v>105</v>
      </c>
    </row>
    <row r="71" spans="1:156" x14ac:dyDescent="0.25">
      <c r="A71" s="2" t="s">
        <v>897</v>
      </c>
      <c r="B71" s="2">
        <v>0.39870716234133202</v>
      </c>
      <c r="C71" s="2">
        <f t="shared" si="1"/>
        <v>1.3183259940529368</v>
      </c>
      <c r="D71" s="2">
        <v>5.7965240959374</v>
      </c>
      <c r="E71" s="2">
        <v>10.191444870679399</v>
      </c>
      <c r="F71" s="2">
        <v>1.4109371671237199E-3</v>
      </c>
      <c r="G71" s="2">
        <v>3.7152645524746501E-2</v>
      </c>
      <c r="H71" s="2" t="s">
        <v>898</v>
      </c>
      <c r="I71" s="2" t="s">
        <v>102</v>
      </c>
      <c r="J71" s="2" t="str">
        <f>HYPERLINK("https://vectorbase.org/vectorbase/app/record/gene/AGAP002426","AGAP002426-RA")</f>
        <v>AGAP002426-RA</v>
      </c>
      <c r="K71" s="2" t="str">
        <f>HYPERLINK(".\links\pep\AGAP002426-PA-pep.txt","AGAP002426-PA")</f>
        <v>AGAP002426-PA</v>
      </c>
      <c r="L71" s="12" t="s">
        <v>95</v>
      </c>
      <c r="M71" s="2">
        <v>201</v>
      </c>
      <c r="N71" s="2">
        <v>0</v>
      </c>
      <c r="O71" s="2">
        <v>1</v>
      </c>
      <c r="P71" s="2" t="s">
        <v>899</v>
      </c>
      <c r="Q71" s="9" t="s">
        <v>900</v>
      </c>
      <c r="R71" s="2" t="s">
        <v>196</v>
      </c>
      <c r="S71" s="2" t="str">
        <f>HYPERLINK(".\links\REFSEQ-INVERTEBRATE\AGAP002426-PA-REFSEQ-INVERTEBRATE.txt","REFSEQ-INVERTEBRATE")</f>
        <v>REFSEQ-INVERTEBRATE</v>
      </c>
      <c r="T71" s="2">
        <v>0</v>
      </c>
      <c r="U71" s="2">
        <v>100</v>
      </c>
      <c r="V71" s="2" t="s">
        <v>900</v>
      </c>
      <c r="W71" s="10" t="s">
        <v>901</v>
      </c>
      <c r="X71" s="2" t="s">
        <v>196</v>
      </c>
      <c r="Y71" s="2" t="str">
        <f>HYPERLINK(".\links\ARTHORPODA\AGAP002426-PA-ARTHORPODA.txt","ARTHORPODA")</f>
        <v>ARTHORPODA</v>
      </c>
      <c r="Z71" s="15">
        <v>0</v>
      </c>
      <c r="AA71" s="2">
        <v>1</v>
      </c>
      <c r="AB71" s="13" t="s">
        <v>102</v>
      </c>
      <c r="AC71" s="13" t="str">
        <f>HYPERLINK(".\links\Sigp\AGAP002426-PA-SigP.txt","CYT")</f>
        <v>CYT</v>
      </c>
      <c r="AD71" s="2" t="s">
        <v>102</v>
      </c>
      <c r="AE71" s="2">
        <v>22.45</v>
      </c>
      <c r="AF71" s="2">
        <v>5.19</v>
      </c>
      <c r="AG71" s="2" t="s">
        <v>102</v>
      </c>
      <c r="AH71" s="2" t="s">
        <v>102</v>
      </c>
      <c r="AI71" s="2" t="s">
        <v>902</v>
      </c>
      <c r="AJ71" s="13">
        <v>0</v>
      </c>
      <c r="AK71" s="2" t="s">
        <v>102</v>
      </c>
      <c r="AL71" s="2" t="s">
        <v>102</v>
      </c>
      <c r="AM71" s="2" t="s">
        <v>102</v>
      </c>
      <c r="AN71" s="13" t="str">
        <f>HYPERLINK(".\links\gpi\AGAP002426-PA-gpi.txt","N")</f>
        <v>N</v>
      </c>
      <c r="AO71" s="14" t="str">
        <f>HYPERLINK(".\links\netoglyc\AGAP002426-PA-netoglyc.txt","6")</f>
        <v>6</v>
      </c>
      <c r="AP71" s="13">
        <v>19.399999999999999</v>
      </c>
      <c r="AQ71" s="2">
        <v>5.5</v>
      </c>
      <c r="AR71" s="2">
        <v>7.5</v>
      </c>
      <c r="AS71" s="2" t="s">
        <v>104</v>
      </c>
      <c r="AT71" s="9" t="str">
        <f>HYPERLINK(".\links\NR-LIGHT\AGAP002426-PA-NR-LIGHT.txt","AGAP002426-PA")</f>
        <v>AGAP002426-PA</v>
      </c>
      <c r="AU71" s="2" t="str">
        <f>HYPERLINK("http://www.ncbi.nlm.nih.gov/sutils/blink.cgi?pid=XP_312519.3","1E-113")</f>
        <v>1E-113</v>
      </c>
      <c r="AV71" s="2" t="str">
        <f>HYPERLINK("http://www.ncbi.nlm.nih.gov/protein/XP_312519.3","XP_312519.3")</f>
        <v>XP_312519.3</v>
      </c>
      <c r="AW71" s="2">
        <v>100</v>
      </c>
      <c r="AX71" s="2">
        <v>100</v>
      </c>
      <c r="AY71" s="2">
        <v>100</v>
      </c>
      <c r="AZ71" s="2" t="s">
        <v>105</v>
      </c>
      <c r="BA71" s="9" t="str">
        <f>HYPERLINK(".\links\REFSEQ-INVERTEBRATE\AGAP002426-PA-REFSEQ-INVERTEBRATE.txt","AGAP002426-PA")</f>
        <v>AGAP002426-PA</v>
      </c>
      <c r="BB71" s="2" t="str">
        <f>HYPERLINK("http://www.ncbi.nlm.nih.gov/sutils/blink.cgi?pid=XP_312519.3","1E-113")</f>
        <v>1E-113</v>
      </c>
      <c r="BC71" s="2" t="str">
        <f>HYPERLINK("http://www.ncbi.nlm.nih.gov/protein/XP_312519.3","XP_312519.3")</f>
        <v>XP_312519.3</v>
      </c>
      <c r="BD71" s="2">
        <v>100</v>
      </c>
      <c r="BE71" s="2">
        <v>100</v>
      </c>
      <c r="BF71" s="2">
        <v>100</v>
      </c>
      <c r="BG71" s="2" t="s">
        <v>105</v>
      </c>
      <c r="BH71" s="9" t="str">
        <f>HYPERLINK(".\links\REFSEQ-PROTOZOA\AGAP002426-PA-REFSEQ-PROTOZOA.txt","hypothetical protein CAOG_01250")</f>
        <v>hypothetical protein CAOG_01250</v>
      </c>
      <c r="BI71" s="2" t="str">
        <f>HYPERLINK("http://www.ncbi.nlm.nih.gov/sutils/blink.cgi?pid=XP_004349770.2","6E-037")</f>
        <v>6E-037</v>
      </c>
      <c r="BJ71" s="2" t="str">
        <f>HYPERLINK("http://www.ncbi.nlm.nih.gov/protein/XP_004349770.2","XP_004349770.2")</f>
        <v>XP_004349770.2</v>
      </c>
      <c r="BK71" s="2">
        <v>40</v>
      </c>
      <c r="BL71" s="2">
        <v>54</v>
      </c>
      <c r="BM71" s="2">
        <v>101</v>
      </c>
      <c r="BN71" s="2" t="s">
        <v>106</v>
      </c>
      <c r="BO71" s="9" t="str">
        <f>HYPERLINK(".\links\SWISSP\AGAP002426-PA-SWISSP.txt","Protein OPI10 homolog")</f>
        <v>Protein OPI10 homolog</v>
      </c>
      <c r="BP71" s="2" t="str">
        <f>HYPERLINK("http://www.uniprot.org/uniprot/Q7PRB5","1E-114")</f>
        <v>1E-114</v>
      </c>
      <c r="BQ71" s="2" t="str">
        <f>HYPERLINK("http://www.uniprot.org/uniprot/Q7PRB5#expression","Q7PRB5")</f>
        <v>Q7PRB5</v>
      </c>
      <c r="BR71" s="2">
        <v>100</v>
      </c>
      <c r="BS71" s="2">
        <v>100</v>
      </c>
      <c r="BT71" s="2">
        <v>100</v>
      </c>
      <c r="BU71" s="2" t="s">
        <v>249</v>
      </c>
      <c r="BV71" s="9" t="str">
        <f>HYPERLINK(".\links\FLYBASE\AGAP002426-PA-FLYBASE.txt","FBpp0072703")</f>
        <v>FBpp0072703</v>
      </c>
      <c r="BW71" s="2" t="str">
        <f>HYPERLINK("http://flybase.org/reports/FBgn0035243#alliance_summary_container","1E-80")</f>
        <v>1E-80</v>
      </c>
      <c r="BX71" s="2">
        <v>197</v>
      </c>
      <c r="BY71" s="2">
        <v>56</v>
      </c>
      <c r="BZ71" s="2">
        <v>74</v>
      </c>
      <c r="CA71" s="2">
        <v>101</v>
      </c>
      <c r="CB71" s="9" t="str">
        <f>HYPERLINK(".\links\CDD\AGAP002426-PA-CDD.txt","DUF775, Protein of unknown function (DUF775)")</f>
        <v>DUF775, Protein of unknown function (DUF775)</v>
      </c>
      <c r="CC71" s="15">
        <v>9.9999999999999997E-61</v>
      </c>
      <c r="CD71" s="2">
        <v>104.1</v>
      </c>
      <c r="CE71" s="2" t="s">
        <v>903</v>
      </c>
      <c r="CF71" s="2" t="s">
        <v>904</v>
      </c>
      <c r="CG71" s="9" t="str">
        <f>HYPERLINK(".\links\KOG\AGAP002426-PA-KOG.txt","Uncharacterized conserved protein")</f>
        <v>Uncharacterized conserved protein</v>
      </c>
      <c r="CH71" s="15">
        <v>3.0000000000000002E-55</v>
      </c>
      <c r="CI71" s="2">
        <v>101</v>
      </c>
      <c r="CJ71" s="2" t="s">
        <v>905</v>
      </c>
      <c r="CK71" s="2" t="s">
        <v>284</v>
      </c>
      <c r="CL71" s="9" t="str">
        <f>HYPERLINK(".\links\PFAM\AGAP002426-PA-PFAM.txt","DUF775, Protein of unknown function (DUF775)")</f>
        <v>DUF775, Protein of unknown function (DUF775)</v>
      </c>
      <c r="CM71" s="15">
        <v>3.0000000000000001E-61</v>
      </c>
      <c r="CN71" s="2">
        <v>104.1</v>
      </c>
      <c r="CO71" s="2" t="s">
        <v>903</v>
      </c>
      <c r="CP71" s="9" t="str">
        <f>HYPERLINK(".\links\SMART\AGAP002426-PA-SMART.txt","Alpha_L_fucos, Alpha-L-fucosidase")</f>
        <v>Alpha_L_fucos, Alpha-L-fucosidase</v>
      </c>
      <c r="CQ71" s="15">
        <v>0.33</v>
      </c>
      <c r="CR71" s="2">
        <v>12.8</v>
      </c>
      <c r="CS71" s="2" t="s">
        <v>906</v>
      </c>
      <c r="CT71" s="2" t="s">
        <v>900</v>
      </c>
      <c r="CU71" s="2" t="s">
        <v>900</v>
      </c>
      <c r="CV71" s="2" t="s">
        <v>900</v>
      </c>
      <c r="CW71" s="2" t="str">
        <f>HYPERLINK(".\links\pep\AGAP002426-PA-pep.txt","AGAP002426-PA")</f>
        <v>AGAP002426-PA</v>
      </c>
      <c r="CX71" s="2" t="s">
        <v>95</v>
      </c>
      <c r="CY71" s="2">
        <v>201</v>
      </c>
      <c r="CZ71" s="2" t="s">
        <v>113</v>
      </c>
      <c r="DA71" s="2">
        <v>0</v>
      </c>
      <c r="DB71" s="2">
        <v>1</v>
      </c>
      <c r="DD71" s="2" t="str">
        <f>HYPERLINK("https://www.kegg.jp/kegg-bin/search_pathway_text?map=aga&amp;keyword=AGAP002426&amp;mode=1&amp;viewImage=true","AGAP002426")</f>
        <v>AGAP002426</v>
      </c>
      <c r="DE71" s="2" t="s">
        <v>897</v>
      </c>
      <c r="DF71" s="2" t="s">
        <v>898</v>
      </c>
      <c r="DG71" s="2" t="s">
        <v>102</v>
      </c>
      <c r="DH71" s="2" t="str">
        <f>HYPERLINK("https://vectorbase.org/vectorbase/app/record/gene/AGAP002426","AGAP002426-RA")</f>
        <v>AGAP002426-RA</v>
      </c>
      <c r="DI71" s="2" t="s">
        <v>135</v>
      </c>
      <c r="DJ71" s="2">
        <v>1002</v>
      </c>
      <c r="DK71" s="2" t="str">
        <f>HYPERLINK(".\links\netoglyc\AGAP002426-PA-netoglyc.txt","6")</f>
        <v>6</v>
      </c>
      <c r="DL71" s="2">
        <v>19.399999999999999</v>
      </c>
      <c r="DM71" s="2">
        <v>5.5</v>
      </c>
      <c r="DN71" s="2">
        <v>7.5</v>
      </c>
      <c r="DO71" s="2" t="s">
        <v>104</v>
      </c>
      <c r="DP71" s="2" t="s">
        <v>102</v>
      </c>
      <c r="DQ71" s="2" t="str">
        <f>HYPERLINK(".\links\Sigp\AGAP002426-PA-SigP.txt","CYT")</f>
        <v>CYT</v>
      </c>
      <c r="DR71" s="2" t="s">
        <v>102</v>
      </c>
      <c r="DS71" s="2">
        <v>22.45</v>
      </c>
      <c r="DT71" s="2">
        <v>5.19</v>
      </c>
      <c r="DU71" s="2" t="s">
        <v>102</v>
      </c>
      <c r="DV71" s="2" t="s">
        <v>102</v>
      </c>
      <c r="DW71" s="2" t="s">
        <v>902</v>
      </c>
      <c r="DX71" s="2">
        <v>201</v>
      </c>
      <c r="DY71" s="12">
        <v>0</v>
      </c>
      <c r="DZ71" s="2" t="s">
        <v>102</v>
      </c>
      <c r="EA71" s="2" t="s">
        <v>102</v>
      </c>
      <c r="EB71" s="2" t="s">
        <v>102</v>
      </c>
      <c r="EC71" s="2" t="str">
        <f>HYPERLINK(".\links\gpi\AGAP002426-PA-gpi.txt","N")</f>
        <v>N</v>
      </c>
      <c r="ED71" s="2">
        <v>0.45</v>
      </c>
      <c r="EF71" s="2">
        <v>0</v>
      </c>
      <c r="EG71" s="2" t="s">
        <v>102</v>
      </c>
      <c r="EH71" s="2" t="s">
        <v>102</v>
      </c>
      <c r="EI71" s="2">
        <v>19.402985074626901</v>
      </c>
      <c r="EJ71" s="2">
        <v>7.4626865671641802</v>
      </c>
      <c r="EK71" s="2">
        <v>5.4726368159204002</v>
      </c>
      <c r="EL71" s="2">
        <v>12.935323383084601</v>
      </c>
      <c r="EM71" s="2" t="s">
        <v>102</v>
      </c>
      <c r="EN71" s="2" t="s">
        <v>102</v>
      </c>
      <c r="EO71" s="2" t="s">
        <v>102</v>
      </c>
      <c r="EP71" s="2" t="s">
        <v>102</v>
      </c>
      <c r="EQ71" s="2" t="s">
        <v>102</v>
      </c>
      <c r="ER71" s="2" t="s">
        <v>102</v>
      </c>
      <c r="ES71" s="2" t="s">
        <v>102</v>
      </c>
      <c r="ET71" s="2" t="str">
        <f>HYPERLINK(".\links\REFSEQ-INVERTEBRATE\AGAP002426-PA-REFSEQ-INVERTEBRATE.txt","AGAP002426-PA")</f>
        <v>AGAP002426-PA</v>
      </c>
      <c r="EU71" s="2" t="str">
        <f>HYPERLINK("http://www.ncbi.nlm.nih.gov/sutils/blink.cgi?pid=XP_312519.3","1E-145")</f>
        <v>1E-145</v>
      </c>
      <c r="EV71" s="2" t="str">
        <f>HYPERLINK("http://www.ncbi.nlm.nih.gov/protein/XP_312519.3","XP_312519.3")</f>
        <v>XP_312519.3</v>
      </c>
      <c r="EW71" s="2">
        <v>100</v>
      </c>
      <c r="EX71" s="2">
        <v>100</v>
      </c>
      <c r="EY71" s="2">
        <v>100</v>
      </c>
      <c r="EZ71" s="2" t="s">
        <v>105</v>
      </c>
    </row>
    <row r="72" spans="1:156" x14ac:dyDescent="0.25">
      <c r="A72" s="2" t="s">
        <v>907</v>
      </c>
      <c r="B72" s="2">
        <v>0.39529788671451099</v>
      </c>
      <c r="C72" s="2">
        <f t="shared" si="1"/>
        <v>1.3152142967458345</v>
      </c>
      <c r="D72" s="2">
        <v>4.9575618546454097</v>
      </c>
      <c r="E72" s="2">
        <v>10.2881568845731</v>
      </c>
      <c r="F72" s="2">
        <v>1.33886758306741E-3</v>
      </c>
      <c r="G72" s="2">
        <v>3.66515000864703E-2</v>
      </c>
      <c r="H72" s="2" t="s">
        <v>93</v>
      </c>
      <c r="I72" s="2" t="s">
        <v>94</v>
      </c>
      <c r="J72" s="2" t="str">
        <f>HYPERLINK("https://vectorbase.org/vectorbase/app/record/gene/AGAP004300","AGAP004300-RA")</f>
        <v>AGAP004300-RA</v>
      </c>
      <c r="K72" s="2" t="str">
        <f>HYPERLINK(".\links\pep\AGAP004300-PA-pep.txt","AGAP004300-PA")</f>
        <v>AGAP004300-PA</v>
      </c>
      <c r="L72" s="12" t="s">
        <v>95</v>
      </c>
      <c r="M72" s="2">
        <v>446</v>
      </c>
      <c r="N72" s="2">
        <v>0</v>
      </c>
      <c r="O72" s="2">
        <v>0</v>
      </c>
      <c r="P72" s="2" t="s">
        <v>102</v>
      </c>
      <c r="Q72" s="9" t="s">
        <v>908</v>
      </c>
      <c r="R72" s="2" t="s">
        <v>196</v>
      </c>
      <c r="S72" s="2" t="str">
        <f>HYPERLINK(".\links\REFSEQ-INVERTEBRATE\AGAP004300-PA-REFSEQ-INVERTEBRATE.txt","REFSEQ-INVERTEBRATE")</f>
        <v>REFSEQ-INVERTEBRATE</v>
      </c>
      <c r="T72" s="2">
        <v>0</v>
      </c>
      <c r="U72" s="2">
        <v>100</v>
      </c>
      <c r="V72" s="2" t="s">
        <v>908</v>
      </c>
      <c r="W72" s="10" t="s">
        <v>909</v>
      </c>
      <c r="X72" s="2" t="s">
        <v>355</v>
      </c>
      <c r="Y72" s="2" t="str">
        <f>HYPERLINK(".\links\UNIPROTKB\AGAP004300-PA-UNIPROTKB.txt","UNIPROTKB")</f>
        <v>UNIPROTKB</v>
      </c>
      <c r="Z72" s="15">
        <v>8.9999999999999996E-17</v>
      </c>
      <c r="AA72" s="2">
        <v>81</v>
      </c>
      <c r="AB72" s="13" t="s">
        <v>102</v>
      </c>
      <c r="AC72" s="13" t="str">
        <f>HYPERLINK(".\links\Sigp\AGAP004300-PA-SigP.txt","CYT")</f>
        <v>CYT</v>
      </c>
      <c r="AD72" s="2" t="s">
        <v>102</v>
      </c>
      <c r="AE72" s="2">
        <v>50.895000000000003</v>
      </c>
      <c r="AF72" s="2">
        <v>5.22</v>
      </c>
      <c r="AG72" s="2" t="s">
        <v>102</v>
      </c>
      <c r="AH72" s="2" t="s">
        <v>102</v>
      </c>
      <c r="AI72" s="2" t="s">
        <v>910</v>
      </c>
      <c r="AJ72" s="13">
        <v>0</v>
      </c>
      <c r="AK72" s="2" t="s">
        <v>102</v>
      </c>
      <c r="AL72" s="2" t="s">
        <v>102</v>
      </c>
      <c r="AM72" s="2" t="s">
        <v>102</v>
      </c>
      <c r="AN72" s="13" t="str">
        <f>HYPERLINK(".\links\gpi\AGAP004300-PA-gpi.txt","N")</f>
        <v>N</v>
      </c>
      <c r="AO72" s="14" t="str">
        <f>HYPERLINK(".\links\netoglyc\AGAP004300-PA-netoglyc.txt","1")</f>
        <v>1</v>
      </c>
      <c r="AP72" s="13">
        <v>10.8</v>
      </c>
      <c r="AQ72" s="2">
        <v>3.4</v>
      </c>
      <c r="AR72" s="2">
        <v>1.6</v>
      </c>
      <c r="AS72" s="2" t="s">
        <v>104</v>
      </c>
      <c r="AT72" s="9" t="str">
        <f>HYPERLINK(".\links\NR-LIGHT\AGAP004300-PA-NR-LIGHT.txt","AGAP004300-PA")</f>
        <v>AGAP004300-PA</v>
      </c>
      <c r="AU72" s="2" t="str">
        <f>HYPERLINK("http://www.ncbi.nlm.nih.gov/sutils/blink.cgi?pid=XP_313574.5","0.0")</f>
        <v>0.0</v>
      </c>
      <c r="AV72" s="2" t="str">
        <f>HYPERLINK("http://www.ncbi.nlm.nih.gov/protein/XP_313574.5","XP_313574.5")</f>
        <v>XP_313574.5</v>
      </c>
      <c r="AW72" s="2">
        <v>100</v>
      </c>
      <c r="AX72" s="2">
        <v>100</v>
      </c>
      <c r="AY72" s="2">
        <v>100</v>
      </c>
      <c r="AZ72" s="2" t="s">
        <v>105</v>
      </c>
      <c r="BA72" s="9" t="str">
        <f>HYPERLINK(".\links\REFSEQ-INVERTEBRATE\AGAP004300-PA-REFSEQ-INVERTEBRATE.txt","AGAP004300-PA")</f>
        <v>AGAP004300-PA</v>
      </c>
      <c r="BB72" s="2" t="str">
        <f>HYPERLINK("http://www.ncbi.nlm.nih.gov/sutils/blink.cgi?pid=XP_313574.5","0.0")</f>
        <v>0.0</v>
      </c>
      <c r="BC72" s="2" t="str">
        <f>HYPERLINK("http://www.ncbi.nlm.nih.gov/protein/XP_313574.5","XP_313574.5")</f>
        <v>XP_313574.5</v>
      </c>
      <c r="BD72" s="2">
        <v>100</v>
      </c>
      <c r="BE72" s="2">
        <v>100</v>
      </c>
      <c r="BF72" s="2">
        <v>100</v>
      </c>
      <c r="BG72" s="2" t="s">
        <v>105</v>
      </c>
      <c r="BH72" s="9" t="str">
        <f>HYPERLINK(".\links\REFSEQ-PROTOZOA\AGAP004300-PA-REFSEQ-PROTOZOA.txt","spinocerbellar ataxia type 10 family protein")</f>
        <v>spinocerbellar ataxia type 10 family protein</v>
      </c>
      <c r="BI72" s="2" t="str">
        <f>HYPERLINK("http://www.ncbi.nlm.nih.gov/sutils/blink.cgi?pid=XP_004353412.1","4E-013")</f>
        <v>4E-013</v>
      </c>
      <c r="BJ72" s="2" t="str">
        <f>HYPERLINK("http://www.ncbi.nlm.nih.gov/protein/XP_004353412.1","XP_004353412.1")</f>
        <v>XP_004353412.1</v>
      </c>
      <c r="BK72" s="2">
        <v>22</v>
      </c>
      <c r="BL72" s="2">
        <v>39</v>
      </c>
      <c r="BM72" s="2">
        <v>80</v>
      </c>
      <c r="BN72" s="2" t="s">
        <v>600</v>
      </c>
      <c r="BO72" s="9" t="str">
        <f>HYPERLINK(".\links\SWISSP\AGAP004300-PA-SWISSP.txt","Ataxin-10")</f>
        <v>Ataxin-10</v>
      </c>
      <c r="BP72" s="2" t="str">
        <f>HYPERLINK("http://www.uniprot.org/uniprot/Q5RE06","3E-018")</f>
        <v>3E-018</v>
      </c>
      <c r="BQ72" s="2" t="str">
        <f>HYPERLINK("http://www.uniprot.org/uniprot/Q5RE06#expression","Q5RE06")</f>
        <v>Q5RE06</v>
      </c>
      <c r="BR72" s="2">
        <v>25</v>
      </c>
      <c r="BS72" s="2">
        <v>46</v>
      </c>
      <c r="BT72" s="2">
        <v>82</v>
      </c>
      <c r="BU72" s="2" t="s">
        <v>363</v>
      </c>
      <c r="BV72" s="9" t="str">
        <f>HYPERLINK(".\links\FLYBASE\AGAP004300-PA-FLYBASE.txt","FBpp0309239")</f>
        <v>FBpp0309239</v>
      </c>
      <c r="BW72" s="2" t="str">
        <f>HYPERLINK("http://flybase.org/reports/FBgn0034266#alliance_summary_container","1E-39")</f>
        <v>1E-39</v>
      </c>
      <c r="BX72" s="2">
        <v>418</v>
      </c>
      <c r="BY72" s="2">
        <v>32</v>
      </c>
      <c r="BZ72" s="2">
        <v>51</v>
      </c>
      <c r="CA72" s="2">
        <v>83</v>
      </c>
      <c r="CB72" s="9" t="str">
        <f>HYPERLINK(".\links\CDD\AGAP004300-PA-CDD.txt","Atx10homo_assoc, Spinocerebellar ataxia type 10 protein domain")</f>
        <v>Atx10homo_assoc, Spinocerebellar ataxia type 10 protein domain</v>
      </c>
      <c r="CC72" s="15">
        <v>2.9999999999999999E-21</v>
      </c>
      <c r="CD72" s="2">
        <v>83.8</v>
      </c>
      <c r="CE72" s="2" t="s">
        <v>911</v>
      </c>
      <c r="CF72" s="2" t="s">
        <v>912</v>
      </c>
      <c r="CG72" s="9" t="str">
        <f>HYPERLINK(".\links\KOG\AGAP004300-PA-KOG.txt","Uncharacterized conserved protein")</f>
        <v>Uncharacterized conserved protein</v>
      </c>
      <c r="CH72" s="15">
        <v>2.0000000000000002E-15</v>
      </c>
      <c r="CI72" s="2">
        <v>71.099999999999994</v>
      </c>
      <c r="CJ72" s="2" t="s">
        <v>913</v>
      </c>
      <c r="CK72" s="2" t="s">
        <v>284</v>
      </c>
      <c r="CL72" s="9" t="str">
        <f>HYPERLINK(".\links\PFAM\AGAP004300-PA-PFAM.txt","Atx10homo_assoc, Spinocerebellar ataxia type 10 protein domain")</f>
        <v>Atx10homo_assoc, Spinocerebellar ataxia type 10 protein domain</v>
      </c>
      <c r="CM72" s="15">
        <v>7.0000000000000001E-22</v>
      </c>
      <c r="CN72" s="2">
        <v>83.8</v>
      </c>
      <c r="CO72" s="2" t="s">
        <v>911</v>
      </c>
      <c r="CP72" s="9" t="str">
        <f>HYPERLINK(".\links\SMART\AGAP004300-PA-SMART.txt","MIF4G, Middle domain of eukaryotic initiation factor 4G (eIF4G)")</f>
        <v>MIF4G, Middle domain of eukaryotic initiation factor 4G (eIF4G)</v>
      </c>
      <c r="CQ72" s="15">
        <v>2.2999999999999998</v>
      </c>
      <c r="CR72" s="2">
        <v>52</v>
      </c>
      <c r="CS72" s="2" t="s">
        <v>914</v>
      </c>
      <c r="CT72" s="2" t="s">
        <v>908</v>
      </c>
      <c r="CU72" s="2" t="s">
        <v>908</v>
      </c>
      <c r="CV72" s="2" t="s">
        <v>908</v>
      </c>
      <c r="CW72" s="2" t="str">
        <f>HYPERLINK(".\links\pep\AGAP004300-PA-pep.txt","AGAP004300-PA")</f>
        <v>AGAP004300-PA</v>
      </c>
      <c r="CX72" s="2" t="s">
        <v>95</v>
      </c>
      <c r="CY72" s="2">
        <v>446</v>
      </c>
      <c r="CZ72" s="2" t="s">
        <v>113</v>
      </c>
      <c r="DA72" s="2" t="s">
        <v>915</v>
      </c>
      <c r="DB72" s="2">
        <v>0</v>
      </c>
      <c r="DC72" s="2">
        <v>0</v>
      </c>
      <c r="DD72" s="2" t="str">
        <f>HYPERLINK("https://www.kegg.jp/kegg-bin/search_pathway_text?map=aga&amp;keyword=AGAP004300&amp;mode=1&amp;viewImage=true","AGAP004300")</f>
        <v>AGAP004300</v>
      </c>
      <c r="DE72" s="2" t="s">
        <v>907</v>
      </c>
      <c r="DF72" s="2" t="s">
        <v>93</v>
      </c>
      <c r="DG72" s="2" t="s">
        <v>94</v>
      </c>
      <c r="DH72" s="2" t="str">
        <f>HYPERLINK("https://vectorbase.org/vectorbase/app/record/gene/AGAP004300","AGAP004300-RA")</f>
        <v>AGAP004300-RA</v>
      </c>
      <c r="DI72" s="2" t="s">
        <v>118</v>
      </c>
      <c r="DJ72" s="2">
        <v>1820</v>
      </c>
      <c r="DK72" s="2" t="str">
        <f>HYPERLINK(".\links\netoglyc\AGAP004300-PA-netoglyc.txt","1")</f>
        <v>1</v>
      </c>
      <c r="DL72" s="2">
        <v>10.8</v>
      </c>
      <c r="DM72" s="2">
        <v>3.4</v>
      </c>
      <c r="DN72" s="2">
        <v>1.6</v>
      </c>
      <c r="DO72" s="2" t="s">
        <v>104</v>
      </c>
      <c r="DP72" s="2" t="s">
        <v>102</v>
      </c>
      <c r="DQ72" s="2" t="str">
        <f>HYPERLINK(".\links\Sigp\AGAP004300-PA-SigP.txt","CYT")</f>
        <v>CYT</v>
      </c>
      <c r="DR72" s="2" t="s">
        <v>102</v>
      </c>
      <c r="DS72" s="2">
        <v>50.895000000000003</v>
      </c>
      <c r="DT72" s="2">
        <v>5.22</v>
      </c>
      <c r="DU72" s="2" t="s">
        <v>102</v>
      </c>
      <c r="DV72" s="2" t="s">
        <v>102</v>
      </c>
      <c r="DW72" s="2" t="s">
        <v>910</v>
      </c>
      <c r="DX72" s="2">
        <v>446</v>
      </c>
      <c r="DY72" s="12">
        <v>0</v>
      </c>
      <c r="DZ72" s="2" t="s">
        <v>102</v>
      </c>
      <c r="EA72" s="2" t="s">
        <v>102</v>
      </c>
      <c r="EB72" s="2" t="s">
        <v>102</v>
      </c>
      <c r="EC72" s="2" t="str">
        <f>HYPERLINK(".\links\gpi\AGAP004300-PA-gpi.txt","Y-NoSP")</f>
        <v>Y-NoSP</v>
      </c>
      <c r="ED72" s="2">
        <v>0.3</v>
      </c>
      <c r="EF72" s="2">
        <v>11</v>
      </c>
      <c r="EG72" s="2" t="s">
        <v>102</v>
      </c>
      <c r="EH72" s="2" t="s">
        <v>102</v>
      </c>
      <c r="EI72" s="2">
        <v>10.762331838565</v>
      </c>
      <c r="EJ72" s="2">
        <v>1.5695067264574001</v>
      </c>
      <c r="EK72" s="2">
        <v>3.3632286995515699</v>
      </c>
      <c r="EL72" s="2">
        <v>4.9327354260089704</v>
      </c>
      <c r="EM72" s="2" t="s">
        <v>102</v>
      </c>
      <c r="EN72" s="2">
        <v>1</v>
      </c>
      <c r="EO72" s="2">
        <v>1</v>
      </c>
      <c r="EP72" s="2" t="s">
        <v>102</v>
      </c>
      <c r="EQ72" s="2" t="s">
        <v>102</v>
      </c>
      <c r="ER72" s="2" t="s">
        <v>102</v>
      </c>
      <c r="ES72" s="2" t="s">
        <v>102</v>
      </c>
      <c r="ET72" s="2" t="str">
        <f>HYPERLINK(".\links\REFSEQ-INVERTEBRATE\AGAP004300-PA-REFSEQ-INVERTEBRATE.txt","AGAP004300-PA")</f>
        <v>AGAP004300-PA</v>
      </c>
      <c r="EU72" s="2" t="str">
        <f>HYPERLINK("http://www.ncbi.nlm.nih.gov/sutils/blink.cgi?pid=XP_313574.5","0.0")</f>
        <v>0.0</v>
      </c>
      <c r="EV72" s="2" t="str">
        <f>HYPERLINK("http://www.ncbi.nlm.nih.gov/protein/XP_313574.5","XP_313574.5")</f>
        <v>XP_313574.5</v>
      </c>
      <c r="EW72" s="2">
        <v>100</v>
      </c>
      <c r="EX72" s="2">
        <v>100</v>
      </c>
      <c r="EY72" s="2">
        <v>100</v>
      </c>
      <c r="EZ72" s="2" t="s">
        <v>105</v>
      </c>
    </row>
    <row r="73" spans="1:156" x14ac:dyDescent="0.25">
      <c r="A73" s="2" t="s">
        <v>916</v>
      </c>
      <c r="B73" s="2">
        <v>0.39520893415731101</v>
      </c>
      <c r="C73" s="2">
        <f t="shared" si="1"/>
        <v>1.3151332067961017</v>
      </c>
      <c r="D73" s="2">
        <v>6.3833013025091896</v>
      </c>
      <c r="E73" s="2">
        <v>12.5649735638774</v>
      </c>
      <c r="F73" s="2">
        <v>3.9304430474926402E-4</v>
      </c>
      <c r="G73" s="2">
        <v>2.2075245596553199E-2</v>
      </c>
      <c r="H73" s="2" t="s">
        <v>93</v>
      </c>
      <c r="I73" s="2" t="s">
        <v>94</v>
      </c>
      <c r="J73" s="2" t="str">
        <f>HYPERLINK("https://vectorbase.org/vectorbase/app/record/gene/AGAP003771","AGAP003771-RA")</f>
        <v>AGAP003771-RA</v>
      </c>
      <c r="K73" s="2" t="str">
        <f>HYPERLINK(".\links\pep\AGAP003771-PA-pep.txt","AGAP003771-PA")</f>
        <v>AGAP003771-PA</v>
      </c>
      <c r="L73" s="12" t="s">
        <v>95</v>
      </c>
      <c r="M73" s="2">
        <v>680</v>
      </c>
      <c r="N73" s="2">
        <v>0</v>
      </c>
      <c r="O73" s="2">
        <v>2</v>
      </c>
      <c r="P73" s="2" t="s">
        <v>102</v>
      </c>
      <c r="Q73" s="9" t="s">
        <v>917</v>
      </c>
      <c r="R73" s="2" t="s">
        <v>918</v>
      </c>
      <c r="S73" s="2" t="str">
        <f>HYPERLINK(".\links\CDD\AGAP003771-PA-CDD.txt","CDD")</f>
        <v>CDD</v>
      </c>
      <c r="T73" s="2">
        <v>7.0000000000000003E-16</v>
      </c>
      <c r="U73" s="2">
        <v>47</v>
      </c>
      <c r="V73" s="2" t="s">
        <v>919</v>
      </c>
      <c r="W73" s="10" t="s">
        <v>920</v>
      </c>
      <c r="X73" s="2" t="s">
        <v>921</v>
      </c>
      <c r="Y73" s="2" t="str">
        <f>HYPERLINK(".\links\UNIPROTKB\AGAP003771-PA-UNIPROTKB.txt","UNIPROTKB")</f>
        <v>UNIPROTKB</v>
      </c>
      <c r="Z73" s="15">
        <v>2.0000000000000001E-18</v>
      </c>
      <c r="AA73" s="2">
        <v>85.1</v>
      </c>
      <c r="AB73" s="13" t="str">
        <f>HYPERLINK(".\links\pep\AGAP003771-PA-sulf.txt","2")</f>
        <v>2</v>
      </c>
      <c r="AC73" s="13" t="str">
        <f>HYPERLINK(".\links\Sigp\AGAP003771-PA-SigP.txt","CYT")</f>
        <v>CYT</v>
      </c>
      <c r="AD73" s="2" t="s">
        <v>102</v>
      </c>
      <c r="AE73" s="2">
        <v>77.986000000000004</v>
      </c>
      <c r="AF73" s="2">
        <v>6.61</v>
      </c>
      <c r="AG73" s="2" t="s">
        <v>102</v>
      </c>
      <c r="AH73" s="2" t="s">
        <v>102</v>
      </c>
      <c r="AI73" s="2" t="s">
        <v>922</v>
      </c>
      <c r="AJ73" s="13" t="str">
        <f>HYPERLINK(".\links\tmhmm\AGAP003771-PA-tmhmm.txt","1")</f>
        <v>1</v>
      </c>
      <c r="AK73" s="2">
        <v>3.2</v>
      </c>
      <c r="AL73" s="2">
        <v>79.900000000000006</v>
      </c>
      <c r="AM73" s="2">
        <v>16.899999999999999</v>
      </c>
      <c r="AN73" s="13" t="str">
        <f>HYPERLINK(".\links\gpi\AGAP003771-PA-gpi.txt","N")</f>
        <v>N</v>
      </c>
      <c r="AO73" s="14" t="str">
        <f>HYPERLINK(".\links\netoglyc\AGAP003771-PA-netoglyc.txt","0")</f>
        <v>0</v>
      </c>
      <c r="AP73" s="13">
        <v>12.5</v>
      </c>
      <c r="AQ73" s="2">
        <v>3.8</v>
      </c>
      <c r="AR73" s="2">
        <v>4.5999999999999996</v>
      </c>
      <c r="AS73" s="2" t="s">
        <v>104</v>
      </c>
      <c r="AT73" s="9" t="str">
        <f>HYPERLINK(".\links\NR-LIGHT\AGAP003771-PA-NR-LIGHT.txt","AGAP003771-PA")</f>
        <v>AGAP003771-PA</v>
      </c>
      <c r="AU73" s="2" t="str">
        <f>HYPERLINK("http://www.ncbi.nlm.nih.gov/sutils/blink.cgi?pid=XP_001230753.3","0.0")</f>
        <v>0.0</v>
      </c>
      <c r="AV73" s="2" t="str">
        <f>HYPERLINK("http://www.ncbi.nlm.nih.gov/protein/XP_001230753.3","XP_001230753.3")</f>
        <v>XP_001230753.3</v>
      </c>
      <c r="AW73" s="2">
        <v>100</v>
      </c>
      <c r="AX73" s="2">
        <v>100</v>
      </c>
      <c r="AY73" s="2">
        <v>100</v>
      </c>
      <c r="AZ73" s="2" t="s">
        <v>105</v>
      </c>
      <c r="BA73" s="9" t="str">
        <f>HYPERLINK(".\links\REFSEQ-INVERTEBRATE\AGAP003771-PA-REFSEQ-INVERTEBRATE.txt","AGAP003771-PA")</f>
        <v>AGAP003771-PA</v>
      </c>
      <c r="BB73" s="2" t="str">
        <f>HYPERLINK("http://www.ncbi.nlm.nih.gov/sutils/blink.cgi?pid=XP_001230753.3","0.0")</f>
        <v>0.0</v>
      </c>
      <c r="BC73" s="2" t="str">
        <f>HYPERLINK("http://www.ncbi.nlm.nih.gov/protein/XP_001230753.3","XP_001230753.3")</f>
        <v>XP_001230753.3</v>
      </c>
      <c r="BD73" s="2">
        <v>100</v>
      </c>
      <c r="BE73" s="2">
        <v>100</v>
      </c>
      <c r="BF73" s="2">
        <v>100</v>
      </c>
      <c r="BG73" s="2" t="s">
        <v>105</v>
      </c>
      <c r="BH73" s="9" t="str">
        <f>HYPERLINK(".\links\REFSEQ-PROTOZOA\AGAP003771-PA-REFSEQ-PROTOZOA.txt","Regulator of nonsense transcripts")</f>
        <v>Regulator of nonsense transcripts</v>
      </c>
      <c r="BI73" s="2" t="str">
        <f>HYPERLINK("http://www.ncbi.nlm.nih.gov/sutils/blink.cgi?pid=XP_004358207.1","1E-014")</f>
        <v>1E-014</v>
      </c>
      <c r="BJ73" s="2" t="str">
        <f>HYPERLINK("http://www.ncbi.nlm.nih.gov/protein/XP_004358207.1","XP_004358207.1")</f>
        <v>XP_004358207.1</v>
      </c>
      <c r="BK73" s="2">
        <v>25</v>
      </c>
      <c r="BL73" s="2">
        <v>42</v>
      </c>
      <c r="BM73" s="2">
        <v>20</v>
      </c>
      <c r="BN73" s="2" t="s">
        <v>212</v>
      </c>
      <c r="BO73" s="9" t="str">
        <f>HYPERLINK(".\links\SWISSP\AGAP003771-PA-SWISSP.txt","Terminal uridylyltransferase Tailor")</f>
        <v>Terminal uridylyltransferase Tailor</v>
      </c>
      <c r="BP73" s="2" t="str">
        <f>HYPERLINK("http://www.uniprot.org/uniprot/Q9VI58","2E-029")</f>
        <v>2E-029</v>
      </c>
      <c r="BQ73" s="2" t="str">
        <f>HYPERLINK("http://www.uniprot.org/uniprot/Q9VI58#expression","Q9VI58")</f>
        <v>Q9VI58</v>
      </c>
      <c r="BR73" s="2">
        <v>23</v>
      </c>
      <c r="BS73" s="2">
        <v>41</v>
      </c>
      <c r="BT73" s="2">
        <v>93</v>
      </c>
      <c r="BU73" s="2" t="s">
        <v>107</v>
      </c>
      <c r="BV73" s="9" t="str">
        <f>HYPERLINK(".\links\FLYBASE\AGAP003771-PA-FLYBASE.txt","FBpp0081155")</f>
        <v>FBpp0081155</v>
      </c>
      <c r="BW73" s="2" t="str">
        <f>HYPERLINK("http://flybase.org/reports/FBgn0037470#alliance_summary_container","1E-31")</f>
        <v>1E-31</v>
      </c>
      <c r="BX73" s="2">
        <v>505</v>
      </c>
      <c r="BY73" s="2">
        <v>23</v>
      </c>
      <c r="BZ73" s="2">
        <v>42</v>
      </c>
      <c r="CA73" s="2">
        <v>99</v>
      </c>
      <c r="CB73" s="9" t="str">
        <f>HYPERLINK(".\links\CDD\AGAP003771-PA-CDD.txt","NT_PAP_TUTase, Nucleotidyltransferase (NT) domain of poly(A) polymerases and terminal uridylyl transferases")</f>
        <v>NT_PAP_TUTase, Nucleotidyltransferase (NT) domain of poly(A) polymerases and terminal uridylyl transferases</v>
      </c>
      <c r="CC73" s="15">
        <v>7.9999999999999996E-20</v>
      </c>
      <c r="CD73" s="2">
        <v>103.5</v>
      </c>
      <c r="CE73" s="2" t="s">
        <v>923</v>
      </c>
      <c r="CF73" s="2" t="s">
        <v>924</v>
      </c>
      <c r="CG73" s="9" t="str">
        <f>HYPERLINK(".\links\KOG\AGAP003771-PA-KOG.txt","S-M checkpoint control protein CID1 and related nucleotidyltransferases")</f>
        <v>S-M checkpoint control protein CID1 and related nucleotidyltransferases</v>
      </c>
      <c r="CH73" s="15">
        <v>4E-14</v>
      </c>
      <c r="CI73" s="2">
        <v>65.8</v>
      </c>
      <c r="CJ73" s="2" t="s">
        <v>925</v>
      </c>
      <c r="CK73" s="2" t="s">
        <v>700</v>
      </c>
      <c r="CL73" s="9" t="str">
        <f>HYPERLINK(".\links\PFAM\AGAP003771-PA-PFAM.txt","UPF0137, Uncharacterized protein family (UPF0137)")</f>
        <v>UPF0137, Uncharacterized protein family (UPF0137)</v>
      </c>
      <c r="CM73" s="15">
        <v>0.28000000000000003</v>
      </c>
      <c r="CN73" s="2">
        <v>33.799999999999997</v>
      </c>
      <c r="CO73" s="2" t="s">
        <v>926</v>
      </c>
      <c r="CP73" s="9" t="str">
        <f>HYPERLINK(".\links\SMART\AGAP003771-PA-SMART.txt","ZnF_C2H2, zinc finger")</f>
        <v>ZnF_C2H2, zinc finger</v>
      </c>
      <c r="CQ73" s="15">
        <v>0.59</v>
      </c>
      <c r="CR73" s="2">
        <v>95.7</v>
      </c>
      <c r="CS73" s="2" t="s">
        <v>573</v>
      </c>
      <c r="CT73" s="2" t="s">
        <v>919</v>
      </c>
      <c r="CU73" s="2" t="s">
        <v>919</v>
      </c>
      <c r="CV73" s="2" t="s">
        <v>919</v>
      </c>
      <c r="CW73" s="2" t="str">
        <f>HYPERLINK(".\links\pep\AGAP003771-PA-pep.txt","AGAP003771-PA")</f>
        <v>AGAP003771-PA</v>
      </c>
      <c r="CX73" s="2" t="s">
        <v>95</v>
      </c>
      <c r="CY73" s="2">
        <v>680</v>
      </c>
      <c r="CZ73" s="2" t="s">
        <v>113</v>
      </c>
      <c r="DA73" s="2" t="s">
        <v>927</v>
      </c>
      <c r="DB73" s="2">
        <v>0</v>
      </c>
      <c r="DC73" s="2">
        <v>2</v>
      </c>
      <c r="DD73" s="2" t="str">
        <f>HYPERLINK("https://www.kegg.jp/kegg-bin/search_pathway_text?map=aga&amp;keyword=AGAP003771&amp;mode=1&amp;viewImage=true","AGAP003771")</f>
        <v>AGAP003771</v>
      </c>
      <c r="DE73" s="2" t="s">
        <v>916</v>
      </c>
      <c r="DF73" s="2" t="s">
        <v>93</v>
      </c>
      <c r="DG73" s="2" t="s">
        <v>94</v>
      </c>
      <c r="DH73" s="2" t="str">
        <f>HYPERLINK("https://vectorbase.org/vectorbase/app/record/gene/AGAP003771","AGAP003771-RA")</f>
        <v>AGAP003771-RA</v>
      </c>
      <c r="DI73" s="2" t="s">
        <v>135</v>
      </c>
      <c r="DJ73" s="2">
        <v>2060</v>
      </c>
      <c r="DK73" s="2" t="str">
        <f>HYPERLINK(".\links\netoglyc\AGAP003771-PA-netoglyc.txt","0")</f>
        <v>0</v>
      </c>
      <c r="DL73" s="2">
        <v>12.5</v>
      </c>
      <c r="DM73" s="2">
        <v>3.8</v>
      </c>
      <c r="DN73" s="2">
        <v>4.5999999999999996</v>
      </c>
      <c r="DO73" s="2" t="s">
        <v>104</v>
      </c>
      <c r="DP73" s="2" t="s">
        <v>928</v>
      </c>
      <c r="DQ73" s="2" t="str">
        <f>HYPERLINK(".\links\Sigp\AGAP003771-PA-SigP.txt","CYT")</f>
        <v>CYT</v>
      </c>
      <c r="DR73" s="2" t="s">
        <v>102</v>
      </c>
      <c r="DS73" s="2">
        <v>77.986000000000004</v>
      </c>
      <c r="DT73" s="2">
        <v>6.61</v>
      </c>
      <c r="DU73" s="2" t="s">
        <v>102</v>
      </c>
      <c r="DV73" s="2" t="s">
        <v>102</v>
      </c>
      <c r="DW73" s="2" t="s">
        <v>922</v>
      </c>
      <c r="DX73" s="2">
        <v>680</v>
      </c>
      <c r="DY73" s="12" t="str">
        <f>HYPERLINK(".\links\tmhmm\AGAP003771-PA-tmhmm.txt","1")</f>
        <v>1</v>
      </c>
      <c r="DZ73" s="2">
        <v>3.2</v>
      </c>
      <c r="EA73" s="2">
        <v>79.900000000000006</v>
      </c>
      <c r="EB73" s="2">
        <v>16.899999999999999</v>
      </c>
      <c r="EC73" s="2" t="str">
        <f>HYPERLINK(".\links\gpi\AGAP003771-PA-gpi.txt","Y-NoSP")</f>
        <v>Y-NoSP</v>
      </c>
      <c r="ED73" s="2">
        <v>0.21</v>
      </c>
      <c r="EF73" s="2">
        <v>25</v>
      </c>
      <c r="EG73" s="2" t="str">
        <f>HYPERLINK(".\links\pep\AGAP003771-PA-sulf.txt","2")</f>
        <v>2</v>
      </c>
      <c r="EH73" s="2" t="s">
        <v>102</v>
      </c>
      <c r="EI73" s="2">
        <v>12.5</v>
      </c>
      <c r="EJ73" s="2">
        <v>4.5588235294117601</v>
      </c>
      <c r="EK73" s="2">
        <v>3.8235294117647101</v>
      </c>
      <c r="EL73" s="2">
        <v>8.3823529411764692</v>
      </c>
      <c r="EM73" s="2" t="s">
        <v>102</v>
      </c>
      <c r="EN73" s="2">
        <v>1</v>
      </c>
      <c r="EO73" s="2">
        <v>3</v>
      </c>
      <c r="EP73" s="2" t="s">
        <v>102</v>
      </c>
      <c r="EQ73" s="2" t="s">
        <v>102</v>
      </c>
      <c r="ER73" s="2" t="s">
        <v>102</v>
      </c>
      <c r="ES73" s="2" t="s">
        <v>102</v>
      </c>
      <c r="ET73" s="2" t="str">
        <f>HYPERLINK(".\links\REFSEQ-INVERTEBRATE\AGAP003771-PA-REFSEQ-INVERTEBRATE.txt","AGAP003771-PA")</f>
        <v>AGAP003771-PA</v>
      </c>
      <c r="EU73" s="2" t="str">
        <f>HYPERLINK("http://www.ncbi.nlm.nih.gov/sutils/blink.cgi?pid=XP_001230753.3","0.0")</f>
        <v>0.0</v>
      </c>
      <c r="EV73" s="2" t="str">
        <f>HYPERLINK("http://www.ncbi.nlm.nih.gov/protein/XP_001230753.3","XP_001230753.3")</f>
        <v>XP_001230753.3</v>
      </c>
      <c r="EW73" s="2">
        <v>100</v>
      </c>
      <c r="EX73" s="2">
        <v>100</v>
      </c>
      <c r="EY73" s="2">
        <v>100</v>
      </c>
      <c r="EZ73" s="2" t="s">
        <v>105</v>
      </c>
    </row>
    <row r="74" spans="1:156" x14ac:dyDescent="0.25">
      <c r="A74" s="2" t="s">
        <v>929</v>
      </c>
      <c r="B74" s="2">
        <v>0.39200974110300801</v>
      </c>
      <c r="C74" s="2">
        <f t="shared" si="1"/>
        <v>1.3122201146959958</v>
      </c>
      <c r="D74" s="2">
        <v>4.8302228223321197</v>
      </c>
      <c r="E74" s="2">
        <v>10.2263863601657</v>
      </c>
      <c r="F74" s="2">
        <v>1.38445639901427E-3</v>
      </c>
      <c r="G74" s="2">
        <v>3.7075591881210998E-2</v>
      </c>
      <c r="H74" s="2" t="s">
        <v>93</v>
      </c>
      <c r="I74" s="2" t="s">
        <v>94</v>
      </c>
      <c r="J74" s="2" t="str">
        <f>HYPERLINK("https://vectorbase.org/vectorbase/app/record/gene/AGAP005054","AGAP005054-RB")</f>
        <v>AGAP005054-RB</v>
      </c>
      <c r="K74" s="2" t="str">
        <f>HYPERLINK(".\links\pep\AGAP005054-PB-pep.txt","AGAP005054-PB")</f>
        <v>AGAP005054-PB</v>
      </c>
      <c r="L74" s="12" t="s">
        <v>95</v>
      </c>
      <c r="M74" s="2">
        <v>491</v>
      </c>
      <c r="N74" s="2">
        <v>0</v>
      </c>
      <c r="O74" s="2">
        <v>0</v>
      </c>
      <c r="P74" s="2" t="s">
        <v>102</v>
      </c>
      <c r="Q74" s="9" t="s">
        <v>930</v>
      </c>
      <c r="R74" s="2" t="s">
        <v>931</v>
      </c>
      <c r="S74" s="2" t="str">
        <f>HYPERLINK(".\links\REFSEQ-INVERTEBRATE\AGAP005054-PB-REFSEQ-INVERTEBRATE.txt","REFSEQ-INVERTEBRATE")</f>
        <v>REFSEQ-INVERTEBRATE</v>
      </c>
      <c r="T74" s="2">
        <v>0</v>
      </c>
      <c r="U74" s="2">
        <v>100.2</v>
      </c>
      <c r="V74" s="2" t="s">
        <v>932</v>
      </c>
      <c r="W74" s="10" t="s">
        <v>933</v>
      </c>
      <c r="X74" s="2" t="s">
        <v>931</v>
      </c>
      <c r="Y74" s="2" t="str">
        <f>HYPERLINK(".\links\ARTHORPODA\AGAP005054-PB-ARTHORPODA.txt","ARTHORPODA")</f>
        <v>ARTHORPODA</v>
      </c>
      <c r="Z74" s="2">
        <v>0</v>
      </c>
      <c r="AA74" s="2">
        <v>93.3</v>
      </c>
      <c r="AB74" s="13" t="s">
        <v>102</v>
      </c>
      <c r="AC74" s="13" t="str">
        <f>HYPERLINK(".\links\Sigp\AGAP005054-PB-SigP.txt","CYT")</f>
        <v>CYT</v>
      </c>
      <c r="AD74" s="2" t="s">
        <v>102</v>
      </c>
      <c r="AE74" s="2">
        <v>54.633000000000003</v>
      </c>
      <c r="AF74" s="2">
        <v>6.95</v>
      </c>
      <c r="AG74" s="2" t="s">
        <v>102</v>
      </c>
      <c r="AH74" s="2" t="s">
        <v>102</v>
      </c>
      <c r="AI74" s="2" t="s">
        <v>934</v>
      </c>
      <c r="AJ74" s="13">
        <v>0</v>
      </c>
      <c r="AK74" s="2" t="s">
        <v>102</v>
      </c>
      <c r="AL74" s="2" t="s">
        <v>102</v>
      </c>
      <c r="AM74" s="2" t="s">
        <v>102</v>
      </c>
      <c r="AN74" s="13" t="str">
        <f>HYPERLINK(".\links\gpi\AGAP005054-PB-gpi.txt","N")</f>
        <v>N</v>
      </c>
      <c r="AO74" s="14" t="str">
        <f>HYPERLINK(".\links\netoglyc\AGAP005054-PB-netoglyc.txt","1")</f>
        <v>1</v>
      </c>
      <c r="AP74" s="13">
        <v>13.4</v>
      </c>
      <c r="AQ74" s="2">
        <v>6.5</v>
      </c>
      <c r="AR74" s="2">
        <v>4.3</v>
      </c>
      <c r="AS74" s="2" t="s">
        <v>104</v>
      </c>
      <c r="AT74" s="9" t="str">
        <f>HYPERLINK(".\links\NR-LIGHT\AGAP005054-PB-NR-LIGHT.txt","AGAP005054-PB")</f>
        <v>AGAP005054-PB</v>
      </c>
      <c r="AU74" s="2" t="str">
        <f>HYPERLINK("http://www.ncbi.nlm.nih.gov/sutils/blink.cgi?pid=XP_313927.4","0.0")</f>
        <v>0.0</v>
      </c>
      <c r="AV74" s="2" t="str">
        <f>HYPERLINK("http://www.ncbi.nlm.nih.gov/protein/XP_313927.4","XP_313927.4")</f>
        <v>XP_313927.4</v>
      </c>
      <c r="AW74" s="2">
        <v>100</v>
      </c>
      <c r="AX74" s="2">
        <v>100</v>
      </c>
      <c r="AY74" s="2">
        <v>100</v>
      </c>
      <c r="AZ74" s="2" t="s">
        <v>105</v>
      </c>
      <c r="BA74" s="9" t="str">
        <f>HYPERLINK(".\links\REFSEQ-INVERTEBRATE\AGAP005054-PB-REFSEQ-INVERTEBRATE.txt","AGAP005054-PA")</f>
        <v>AGAP005054-PA</v>
      </c>
      <c r="BB74" s="2" t="str">
        <f>HYPERLINK("http://www.ncbi.nlm.nih.gov/sutils/blink.cgi?pid=XP_001688476.1","0.0")</f>
        <v>0.0</v>
      </c>
      <c r="BC74" s="2" t="str">
        <f>HYPERLINK("http://www.ncbi.nlm.nih.gov/protein/XP_001688476.1","XP_001688476.1")</f>
        <v>XP_001688476.1</v>
      </c>
      <c r="BD74" s="2">
        <v>100</v>
      </c>
      <c r="BE74" s="2">
        <v>100</v>
      </c>
      <c r="BF74" s="2">
        <v>100</v>
      </c>
      <c r="BG74" s="2" t="s">
        <v>105</v>
      </c>
      <c r="BH74" s="9" t="str">
        <f>HYPERLINK(".\links\REFSEQ-PROTOZOA\AGAP005054-PB-REFSEQ-PROTOZOA.txt","trypsin-like peptidase domain protein")</f>
        <v>trypsin-like peptidase domain protein</v>
      </c>
      <c r="BI74" s="2" t="str">
        <f>HYPERLINK("http://www.ncbi.nlm.nih.gov/sutils/blink.cgi?pid=XP_001015208.1","2E-008")</f>
        <v>2E-008</v>
      </c>
      <c r="BJ74" s="2" t="str">
        <f>HYPERLINK("http://www.ncbi.nlm.nih.gov/protein/XP_001015208.1","XP_001015208.1")</f>
        <v>XP_001015208.1</v>
      </c>
      <c r="BK74" s="2">
        <v>23</v>
      </c>
      <c r="BL74" s="2">
        <v>44</v>
      </c>
      <c r="BM74" s="2">
        <v>57</v>
      </c>
      <c r="BN74" s="2" t="s">
        <v>539</v>
      </c>
      <c r="BO74" s="9" t="str">
        <f>HYPERLINK(".\links\SWISSP\AGAP005054-PB-SWISSP.txt","Peroxisomal leader peptide-processing protease")</f>
        <v>Peroxisomal leader peptide-processing protease</v>
      </c>
      <c r="BP74" s="2" t="str">
        <f>HYPERLINK("http://www.uniprot.org/uniprot/Q2T9J0","1E-010")</f>
        <v>1E-010</v>
      </c>
      <c r="BQ74" s="2" t="str">
        <f>HYPERLINK("http://www.uniprot.org/uniprot/Q2T9J0#expression","Q2T9J0")</f>
        <v>Q2T9J0</v>
      </c>
      <c r="BR74" s="2">
        <v>23</v>
      </c>
      <c r="BS74" s="2">
        <v>41</v>
      </c>
      <c r="BT74" s="2">
        <v>63</v>
      </c>
      <c r="BU74" s="2" t="s">
        <v>127</v>
      </c>
      <c r="BV74" s="9" t="str">
        <f>HYPERLINK(".\links\FLYBASE\AGAP005054-PB-FLYBASE.txt","FBpp0072282")</f>
        <v>FBpp0072282</v>
      </c>
      <c r="BW74" s="2" t="str">
        <f>HYPERLINK("http://flybase.org/reports/FBgn0035065#alliance_summary_container","8E-61")</f>
        <v>8E-61</v>
      </c>
      <c r="BX74" s="2">
        <v>509</v>
      </c>
      <c r="BY74" s="2">
        <v>29</v>
      </c>
      <c r="BZ74" s="2">
        <v>49</v>
      </c>
      <c r="CA74" s="2">
        <v>101</v>
      </c>
      <c r="CB74" s="9" t="str">
        <f>HYPERLINK(".\links\CDD\AGAP005054-PB-CDD.txt","Trypsin_2, Trypsin-like peptidase domain")</f>
        <v>Trypsin_2, Trypsin-like peptidase domain</v>
      </c>
      <c r="CC74" s="15">
        <v>2E-14</v>
      </c>
      <c r="CD74" s="2">
        <v>110.9</v>
      </c>
      <c r="CE74" s="2" t="s">
        <v>935</v>
      </c>
      <c r="CF74" s="2" t="s">
        <v>936</v>
      </c>
      <c r="CG74" s="9" t="str">
        <f>HYPERLINK(".\links\KOG\AGAP005054-PB-KOG.txt","MAPKKK (MAP kinase kinase kinase) SSK2 and related serine/threonine protein kinases")</f>
        <v>MAPKKK (MAP kinase kinase kinase) SSK2 and related serine/threonine protein kinases</v>
      </c>
      <c r="CH74" s="15">
        <v>4.5999999999999996</v>
      </c>
      <c r="CI74" s="2">
        <v>2.7</v>
      </c>
      <c r="CJ74" s="2" t="s">
        <v>937</v>
      </c>
      <c r="CK74" s="2" t="s">
        <v>173</v>
      </c>
      <c r="CL74" s="9" t="str">
        <f>HYPERLINK(".\links\PFAM\AGAP005054-PB-PFAM.txt","Trypsin_2, Trypsin-like peptidase domain")</f>
        <v>Trypsin_2, Trypsin-like peptidase domain</v>
      </c>
      <c r="CM74" s="15">
        <v>5E-15</v>
      </c>
      <c r="CN74" s="2">
        <v>110.9</v>
      </c>
      <c r="CO74" s="2" t="s">
        <v>935</v>
      </c>
      <c r="CP74" s="9" t="str">
        <f>HYPERLINK(".\links\SMART\AGAP005054-PB-SMART.txt","Alpha_TIF, Alpha trans-inducing protein (Alpha-TIF)")</f>
        <v>Alpha_TIF, Alpha trans-inducing protein (Alpha-TIF)</v>
      </c>
      <c r="CQ74" s="15">
        <v>0.85</v>
      </c>
      <c r="CR74" s="2">
        <v>14.9</v>
      </c>
      <c r="CS74" s="2" t="s">
        <v>938</v>
      </c>
      <c r="CT74" s="2" t="s">
        <v>932</v>
      </c>
      <c r="CU74" s="2" t="s">
        <v>932</v>
      </c>
      <c r="CV74" s="2" t="s">
        <v>932</v>
      </c>
      <c r="CW74" s="2" t="str">
        <f>HYPERLINK(".\links\pep\AGAP005054-PB-pep.txt","AGAP005054-PB")</f>
        <v>AGAP005054-PB</v>
      </c>
      <c r="CX74" s="2" t="s">
        <v>95</v>
      </c>
      <c r="CY74" s="2">
        <v>491</v>
      </c>
      <c r="CZ74" s="2" t="s">
        <v>113</v>
      </c>
      <c r="DA74" s="2" t="s">
        <v>939</v>
      </c>
      <c r="DB74" s="2">
        <v>0</v>
      </c>
      <c r="DC74" s="2">
        <v>0</v>
      </c>
      <c r="DD74" s="2" t="str">
        <f>HYPERLINK("https://www.kegg.jp/kegg-bin/search_pathway_text?map=aga&amp;keyword=AGAP005054&amp;mode=1&amp;viewImage=true","AGAP005054")</f>
        <v>AGAP005054</v>
      </c>
      <c r="DE74" s="2" t="s">
        <v>929</v>
      </c>
      <c r="DF74" s="2" t="s">
        <v>93</v>
      </c>
      <c r="DG74" s="2" t="s">
        <v>94</v>
      </c>
      <c r="DH74" s="2" t="str">
        <f>HYPERLINK("https://vectorbase.org/vectorbase/app/record/gene/AGAP005054","AGAP005054-RB")</f>
        <v>AGAP005054-RB</v>
      </c>
      <c r="DI74" s="2" t="s">
        <v>135</v>
      </c>
      <c r="DJ74" s="2">
        <v>1549</v>
      </c>
      <c r="DK74" s="2" t="str">
        <f>HYPERLINK(".\links\netoglyc\AGAP005054-PB-netoglyc.txt","1")</f>
        <v>1</v>
      </c>
      <c r="DL74" s="2">
        <v>13.4</v>
      </c>
      <c r="DM74" s="2">
        <v>6.5</v>
      </c>
      <c r="DN74" s="2">
        <v>4.3</v>
      </c>
      <c r="DO74" s="2" t="s">
        <v>104</v>
      </c>
      <c r="DP74" s="2" t="s">
        <v>102</v>
      </c>
      <c r="DQ74" s="2" t="str">
        <f>HYPERLINK(".\links\Sigp\AGAP005054-PB-SigP.txt","CYT")</f>
        <v>CYT</v>
      </c>
      <c r="DR74" s="2" t="s">
        <v>102</v>
      </c>
      <c r="DS74" s="2">
        <v>54.633000000000003</v>
      </c>
      <c r="DT74" s="2">
        <v>6.95</v>
      </c>
      <c r="DU74" s="2" t="s">
        <v>102</v>
      </c>
      <c r="DV74" s="2" t="s">
        <v>102</v>
      </c>
      <c r="DW74" s="2" t="s">
        <v>934</v>
      </c>
      <c r="DX74" s="2">
        <v>491</v>
      </c>
      <c r="DY74" s="12">
        <v>0</v>
      </c>
      <c r="DZ74" s="2" t="s">
        <v>102</v>
      </c>
      <c r="EA74" s="2" t="s">
        <v>102</v>
      </c>
      <c r="EB74" s="2" t="s">
        <v>102</v>
      </c>
      <c r="EC74" s="2" t="str">
        <f>HYPERLINK(".\links\gpi\AGAP005054-PB-gpi.txt","Y-NoSP")</f>
        <v>Y-NoSP</v>
      </c>
      <c r="ED74" s="2">
        <v>0.21</v>
      </c>
      <c r="EF74" s="2">
        <v>17</v>
      </c>
      <c r="EG74" s="2" t="s">
        <v>102</v>
      </c>
      <c r="EH74" s="2" t="s">
        <v>102</v>
      </c>
      <c r="EI74" s="2">
        <v>13.4419551934827</v>
      </c>
      <c r="EJ74" s="2">
        <v>4.2769857433808598</v>
      </c>
      <c r="EK74" s="2">
        <v>6.5173116089613004</v>
      </c>
      <c r="EL74" s="2">
        <v>10.7942973523422</v>
      </c>
      <c r="EM74" s="2" t="s">
        <v>102</v>
      </c>
      <c r="EN74" s="2" t="s">
        <v>102</v>
      </c>
      <c r="EO74" s="2">
        <v>1</v>
      </c>
      <c r="EP74" s="2" t="s">
        <v>102</v>
      </c>
      <c r="EQ74" s="2" t="s">
        <v>102</v>
      </c>
      <c r="ER74" s="2" t="s">
        <v>102</v>
      </c>
      <c r="ES74" s="2" t="s">
        <v>102</v>
      </c>
      <c r="ET74" s="2" t="str">
        <f>HYPERLINK(".\links\REFSEQ-INVERTEBRATE\AGAP005054-PB-REFSEQ-INVERTEBRATE.txt","AGAP005054-PA")</f>
        <v>AGAP005054-PA</v>
      </c>
      <c r="EU74" s="2" t="str">
        <f>HYPERLINK("http://www.ncbi.nlm.nih.gov/sutils/blink.cgi?pid=XP_001688476.1","0.0")</f>
        <v>0.0</v>
      </c>
      <c r="EV74" s="2" t="str">
        <f>HYPERLINK("http://www.ncbi.nlm.nih.gov/protein/XP_001688476.1","XP_001688476.1")</f>
        <v>XP_001688476.1</v>
      </c>
      <c r="EW74" s="2">
        <v>100</v>
      </c>
      <c r="EX74" s="2">
        <v>100</v>
      </c>
      <c r="EY74" s="2">
        <v>100</v>
      </c>
      <c r="EZ74" s="2" t="s">
        <v>105</v>
      </c>
    </row>
    <row r="75" spans="1:156" x14ac:dyDescent="0.25">
      <c r="A75" s="2" t="s">
        <v>940</v>
      </c>
      <c r="B75" s="2">
        <v>0.39150905314851497</v>
      </c>
      <c r="C75" s="2">
        <f t="shared" si="1"/>
        <v>1.3117647871379541</v>
      </c>
      <c r="D75" s="2">
        <v>7.9630323818748998</v>
      </c>
      <c r="E75" s="2">
        <v>9.3249696068657393</v>
      </c>
      <c r="F75" s="2">
        <v>2.2605206994877102E-3</v>
      </c>
      <c r="G75" s="2">
        <v>4.5460305349704903E-2</v>
      </c>
      <c r="H75" s="2" t="s">
        <v>941</v>
      </c>
      <c r="I75" s="2" t="s">
        <v>94</v>
      </c>
      <c r="J75" s="2" t="str">
        <f>HYPERLINK("https://vectorbase.org/vectorbase/app/record/gene/AGAP005202","AGAP005202-RB")</f>
        <v>AGAP005202-RB</v>
      </c>
      <c r="K75" s="2" t="str">
        <f>HYPERLINK(".\links\pep\AGAP005202-PB-pep.txt","AGAP005202-PB")</f>
        <v>AGAP005202-PB</v>
      </c>
      <c r="L75" s="12" t="s">
        <v>95</v>
      </c>
      <c r="M75" s="2">
        <v>109</v>
      </c>
      <c r="N75" s="2">
        <v>0</v>
      </c>
      <c r="O75" s="2">
        <v>0</v>
      </c>
      <c r="P75" s="2" t="s">
        <v>942</v>
      </c>
      <c r="Q75" s="9" t="s">
        <v>943</v>
      </c>
      <c r="R75" s="2" t="s">
        <v>822</v>
      </c>
      <c r="S75" s="2" t="str">
        <f>HYPERLINK(".\links\KOG\AGAP005202-PB-KOG.txt","KOG")</f>
        <v>KOG</v>
      </c>
      <c r="T75" s="2">
        <v>1E-46</v>
      </c>
      <c r="U75" s="2">
        <v>95.6</v>
      </c>
      <c r="V75" s="2" t="s">
        <v>944</v>
      </c>
      <c r="W75" s="10" t="s">
        <v>945</v>
      </c>
      <c r="X75" s="2" t="s">
        <v>822</v>
      </c>
      <c r="Y75" s="2" t="str">
        <f>HYPERLINK(".\links\ARTHORPODA\AGAP005202-PB-ARTHORPODA.txt","ARTHORPODA")</f>
        <v>ARTHORPODA</v>
      </c>
      <c r="Z75" s="15">
        <v>3.0000000000000002E-77</v>
      </c>
      <c r="AA75" s="2">
        <v>92.3</v>
      </c>
      <c r="AB75" s="13" t="s">
        <v>102</v>
      </c>
      <c r="AC75" s="13" t="str">
        <f>HYPERLINK(".\links\Sigp\AGAP005202-PB-SigP.txt","CYT")</f>
        <v>CYT</v>
      </c>
      <c r="AD75" s="2" t="s">
        <v>102</v>
      </c>
      <c r="AE75" s="2">
        <v>12.778</v>
      </c>
      <c r="AF75" s="2">
        <v>5.47</v>
      </c>
      <c r="AG75" s="2" t="s">
        <v>102</v>
      </c>
      <c r="AH75" s="2" t="s">
        <v>102</v>
      </c>
      <c r="AI75" s="2" t="s">
        <v>823</v>
      </c>
      <c r="AJ75" s="13">
        <v>0</v>
      </c>
      <c r="AK75" s="2" t="s">
        <v>102</v>
      </c>
      <c r="AL75" s="2" t="s">
        <v>102</v>
      </c>
      <c r="AM75" s="2" t="s">
        <v>102</v>
      </c>
      <c r="AN75" s="13" t="str">
        <f>HYPERLINK(".\links\gpi\AGAP005202-PB-gpi.txt","N")</f>
        <v>N</v>
      </c>
      <c r="AO75" s="14" t="str">
        <f>HYPERLINK(".\links\netoglyc\AGAP005202-PB-netoglyc.txt","0")</f>
        <v>0</v>
      </c>
      <c r="AP75" s="13">
        <v>10.1</v>
      </c>
      <c r="AQ75" s="2">
        <v>2.8</v>
      </c>
      <c r="AR75" s="2">
        <v>1.8</v>
      </c>
      <c r="AS75" s="2" t="s">
        <v>104</v>
      </c>
      <c r="AT75" s="9" t="str">
        <f>HYPERLINK(".\links\NR-LIGHT\AGAP005202-PB-NR-LIGHT.txt","AGAP005202-PB")</f>
        <v>AGAP005202-PB</v>
      </c>
      <c r="AU75" s="2" t="str">
        <f>HYPERLINK("http://www.ncbi.nlm.nih.gov/sutils/blink.cgi?pid=XP_314102.2","3E-063")</f>
        <v>3E-063</v>
      </c>
      <c r="AV75" s="2" t="str">
        <f>HYPERLINK("http://www.ncbi.nlm.nih.gov/protein/XP_314102.2","XP_314102.2")</f>
        <v>XP_314102.2</v>
      </c>
      <c r="AW75" s="2">
        <v>100</v>
      </c>
      <c r="AX75" s="2">
        <v>100</v>
      </c>
      <c r="AY75" s="2">
        <v>100</v>
      </c>
      <c r="AZ75" s="2" t="s">
        <v>105</v>
      </c>
      <c r="BA75" s="9" t="str">
        <f>HYPERLINK(".\links\REFSEQ-INVERTEBRATE\AGAP005202-PB-REFSEQ-INVERTEBRATE.txt","AGAP005202-PB")</f>
        <v>AGAP005202-PB</v>
      </c>
      <c r="BB75" s="2" t="str">
        <f>HYPERLINK("http://www.ncbi.nlm.nih.gov/sutils/blink.cgi?pid=XP_314102.2","3E-063")</f>
        <v>3E-063</v>
      </c>
      <c r="BC75" s="2" t="str">
        <f>HYPERLINK("http://www.ncbi.nlm.nih.gov/protein/XP_314102.2","XP_314102.2")</f>
        <v>XP_314102.2</v>
      </c>
      <c r="BD75" s="2">
        <v>100</v>
      </c>
      <c r="BE75" s="2">
        <v>100</v>
      </c>
      <c r="BF75" s="2">
        <v>100</v>
      </c>
      <c r="BG75" s="2" t="s">
        <v>105</v>
      </c>
      <c r="BH75" s="9" t="str">
        <f>HYPERLINK(".\links\REFSEQ-PROTOZOA\AGAP005202-PB-REFSEQ-PROTOZOA.txt","hypothetical protein PHYSODRAFT_285454")</f>
        <v>hypothetical protein PHYSODRAFT_285454</v>
      </c>
      <c r="BI75" s="2" t="str">
        <f>HYPERLINK("http://www.ncbi.nlm.nih.gov/sutils/blink.cgi?pid=XP_009523382.1","6E-053")</f>
        <v>6E-053</v>
      </c>
      <c r="BJ75" s="2" t="str">
        <f>HYPERLINK("http://www.ncbi.nlm.nih.gov/protein/XP_009523382.1","XP_009523382.1")</f>
        <v>XP_009523382.1</v>
      </c>
      <c r="BK75" s="2">
        <v>83</v>
      </c>
      <c r="BL75" s="2">
        <v>90</v>
      </c>
      <c r="BM75" s="2">
        <v>96</v>
      </c>
      <c r="BN75" s="2" t="s">
        <v>718</v>
      </c>
      <c r="BO75" s="9" t="str">
        <f>HYPERLINK(".\links\SWISSP\AGAP005202-PB-SWISSP.txt","RING-box protein 1A")</f>
        <v>RING-box protein 1A</v>
      </c>
      <c r="BP75" s="2" t="str">
        <f>HYPERLINK("http://www.uniprot.org/uniprot/Q9W5E1","2E-058")</f>
        <v>2E-058</v>
      </c>
      <c r="BQ75" s="2" t="str">
        <f>HYPERLINK("http://www.uniprot.org/uniprot/Q9W5E1#expression","Q9W5E1")</f>
        <v>Q9W5E1</v>
      </c>
      <c r="BR75" s="2">
        <v>89</v>
      </c>
      <c r="BS75" s="2">
        <v>97</v>
      </c>
      <c r="BT75" s="2">
        <v>101</v>
      </c>
      <c r="BU75" s="2" t="s">
        <v>107</v>
      </c>
      <c r="BV75" s="9" t="str">
        <f>HYPERLINK(".\links\FLYBASE\AGAP005202-PB-FLYBASE.txt","FBpp0310165")</f>
        <v>FBpp0310165</v>
      </c>
      <c r="BW75" s="2" t="str">
        <f>HYPERLINK("http://flybase.org/reports/FBgn0025638#alliance_summary_container","1E-71")</f>
        <v>1E-71</v>
      </c>
      <c r="BX75" s="2">
        <v>108</v>
      </c>
      <c r="BY75" s="2">
        <v>89</v>
      </c>
      <c r="BZ75" s="2">
        <v>97</v>
      </c>
      <c r="CA75" s="2">
        <v>101</v>
      </c>
      <c r="CB75" s="9" t="str">
        <f>HYPERLINK(".\links\CDD\AGAP005202-PB-CDD.txt","APC11, Component of SCF ubiquitin ligase and anaphase-promoting complex")</f>
        <v>APC11, Component of SCF ubiquitin ligase and anaphase-promoting complex</v>
      </c>
      <c r="CC75" s="15">
        <v>5.0000000000000003E-34</v>
      </c>
      <c r="CD75" s="2">
        <v>101.1</v>
      </c>
      <c r="CE75" s="2" t="s">
        <v>946</v>
      </c>
      <c r="CF75" s="2" t="s">
        <v>947</v>
      </c>
      <c r="CG75" s="9" t="str">
        <f>HYPERLINK(".\links\KOG\AGAP005202-PB-KOG.txt","Rbx1 component")</f>
        <v>Rbx1 component</v>
      </c>
      <c r="CH75" s="15">
        <v>1E-46</v>
      </c>
      <c r="CI75" s="2">
        <v>95.6</v>
      </c>
      <c r="CJ75" s="2" t="s">
        <v>948</v>
      </c>
      <c r="CK75" s="2" t="s">
        <v>111</v>
      </c>
      <c r="CL75" s="9" t="str">
        <f>HYPERLINK(".\links\PFAM\AGAP005202-PB-PFAM.txt","zf-rbx1, RING-H2 zinc finger domain")</f>
        <v>zf-rbx1, RING-H2 zinc finger domain</v>
      </c>
      <c r="CM75" s="15">
        <v>2.9999999999999999E-22</v>
      </c>
      <c r="CN75" s="2">
        <v>107.3</v>
      </c>
      <c r="CO75" s="2" t="s">
        <v>949</v>
      </c>
      <c r="CP75" s="9" t="str">
        <f>HYPERLINK(".\links\SMART\AGAP005202-PB-SMART.txt","RING, Ring finger")</f>
        <v>RING, Ring finger</v>
      </c>
      <c r="CQ75" s="15">
        <v>4.0000000000000001E-3</v>
      </c>
      <c r="CR75" s="2">
        <v>57.5</v>
      </c>
      <c r="CS75" s="2" t="s">
        <v>827</v>
      </c>
      <c r="CT75" s="2" t="s">
        <v>944</v>
      </c>
      <c r="CU75" s="2" t="s">
        <v>944</v>
      </c>
      <c r="CV75" s="2" t="s">
        <v>944</v>
      </c>
      <c r="CW75" s="2" t="str">
        <f>HYPERLINK(".\links\pep\AGAP005202-PB-pep.txt","AGAP005202-PB")</f>
        <v>AGAP005202-PB</v>
      </c>
      <c r="CX75" s="2" t="s">
        <v>95</v>
      </c>
      <c r="CY75" s="2">
        <v>109</v>
      </c>
      <c r="CZ75" s="2" t="s">
        <v>113</v>
      </c>
      <c r="DA75" s="2" t="s">
        <v>950</v>
      </c>
      <c r="DB75" s="2">
        <v>0</v>
      </c>
      <c r="DC75" s="2">
        <v>0</v>
      </c>
      <c r="DD75" s="2" t="str">
        <f>HYPERLINK("https://www.kegg.jp/kegg-bin/search_pathway_text?map=aga&amp;keyword=AGAP005202&amp;mode=1&amp;viewImage=true","AGAP005202")</f>
        <v>AGAP005202</v>
      </c>
      <c r="DE75" s="2" t="s">
        <v>940</v>
      </c>
      <c r="DF75" s="2" t="s">
        <v>941</v>
      </c>
      <c r="DG75" s="2" t="s">
        <v>94</v>
      </c>
      <c r="DH75" s="2" t="str">
        <f>HYPERLINK("https://vectorbase.org/vectorbase/app/record/gene/AGAP005202","AGAP005202-RB")</f>
        <v>AGAP005202-RB</v>
      </c>
      <c r="DI75" s="2" t="s">
        <v>115</v>
      </c>
      <c r="DJ75" s="2">
        <v>643</v>
      </c>
      <c r="DK75" s="2" t="str">
        <f>HYPERLINK(".\links\netoglyc\AGAP005202-PB-netoglyc.txt","0")</f>
        <v>0</v>
      </c>
      <c r="DL75" s="2">
        <v>10.1</v>
      </c>
      <c r="DM75" s="2">
        <v>2.8</v>
      </c>
      <c r="DN75" s="2">
        <v>1.8</v>
      </c>
      <c r="DO75" s="2" t="s">
        <v>104</v>
      </c>
      <c r="DP75" s="2" t="s">
        <v>102</v>
      </c>
      <c r="DQ75" s="2" t="str">
        <f>HYPERLINK(".\links\Sigp\AGAP005202-PB-SigP.txt","CYT")</f>
        <v>CYT</v>
      </c>
      <c r="DR75" s="2" t="s">
        <v>102</v>
      </c>
      <c r="DS75" s="2">
        <v>12.778</v>
      </c>
      <c r="DT75" s="2">
        <v>5.47</v>
      </c>
      <c r="DU75" s="2" t="s">
        <v>102</v>
      </c>
      <c r="DV75" s="2" t="s">
        <v>102</v>
      </c>
      <c r="DW75" s="2" t="s">
        <v>823</v>
      </c>
      <c r="DX75" s="2">
        <v>109</v>
      </c>
      <c r="DY75" s="12">
        <v>0</v>
      </c>
      <c r="DZ75" s="2" t="s">
        <v>102</v>
      </c>
      <c r="EA75" s="2" t="s">
        <v>102</v>
      </c>
      <c r="EB75" s="2" t="s">
        <v>102</v>
      </c>
      <c r="EC75" s="2" t="str">
        <f>HYPERLINK(".\links\gpi\AGAP005202-PB-gpi.txt","Y-NoSP")</f>
        <v>Y-NoSP</v>
      </c>
      <c r="ED75" s="2">
        <v>0.43</v>
      </c>
      <c r="EE75" s="2" t="s">
        <v>951</v>
      </c>
      <c r="EF75" s="2">
        <v>8</v>
      </c>
      <c r="EG75" s="2" t="s">
        <v>102</v>
      </c>
      <c r="EH75" s="2" t="s">
        <v>102</v>
      </c>
      <c r="EI75" s="2">
        <v>10.0917431192661</v>
      </c>
      <c r="EJ75" s="2">
        <v>1.8348623853210999</v>
      </c>
      <c r="EK75" s="2">
        <v>2.75229357798165</v>
      </c>
      <c r="EL75" s="2">
        <v>4.5871559633027497</v>
      </c>
      <c r="EM75" s="2" t="s">
        <v>102</v>
      </c>
      <c r="EN75" s="2" t="s">
        <v>102</v>
      </c>
      <c r="EO75" s="2" t="s">
        <v>102</v>
      </c>
      <c r="EP75" s="2" t="s">
        <v>102</v>
      </c>
      <c r="EQ75" s="2" t="s">
        <v>102</v>
      </c>
      <c r="ER75" s="2" t="s">
        <v>102</v>
      </c>
      <c r="ES75" s="2" t="s">
        <v>102</v>
      </c>
      <c r="ET75" s="2" t="str">
        <f>HYPERLINK(".\links\REFSEQ-INVERTEBRATE\AGAP005202-PB-REFSEQ-INVERTEBRATE.txt","AGAP005202-PB")</f>
        <v>AGAP005202-PB</v>
      </c>
      <c r="EU75" s="2" t="str">
        <f>HYPERLINK("http://www.ncbi.nlm.nih.gov/sutils/blink.cgi?pid=XP_314102.2","9E-77")</f>
        <v>9E-77</v>
      </c>
      <c r="EV75" s="2" t="str">
        <f>HYPERLINK("http://www.ncbi.nlm.nih.gov/protein/XP_314102.2","XP_314102.2")</f>
        <v>XP_314102.2</v>
      </c>
      <c r="EW75" s="2">
        <v>100</v>
      </c>
      <c r="EX75" s="2">
        <v>100</v>
      </c>
      <c r="EY75" s="2">
        <v>100</v>
      </c>
      <c r="EZ75" s="2" t="s">
        <v>105</v>
      </c>
    </row>
    <row r="76" spans="1:156" x14ac:dyDescent="0.25">
      <c r="A76" s="2" t="s">
        <v>952</v>
      </c>
      <c r="B76" s="2">
        <v>0.38996509364743698</v>
      </c>
      <c r="C76" s="2">
        <f t="shared" si="1"/>
        <v>1.3103616989591977</v>
      </c>
      <c r="D76" s="2">
        <v>5.67091399720527</v>
      </c>
      <c r="E76" s="2">
        <v>18.2654893524359</v>
      </c>
      <c r="F76" s="2">
        <v>1.9215702454137699E-5</v>
      </c>
      <c r="G76" s="2">
        <v>5.9178358651727301E-3</v>
      </c>
      <c r="H76" s="2" t="s">
        <v>953</v>
      </c>
      <c r="I76" s="2" t="s">
        <v>94</v>
      </c>
      <c r="J76" s="2" t="str">
        <f>HYPERLINK("https://vectorbase.org/vectorbase/app/record/gene/AGAP004425","AGAP004425-RA")</f>
        <v>AGAP004425-RA</v>
      </c>
      <c r="K76" s="2" t="str">
        <f>HYPERLINK(".\links\pep\AGAP004425-PA-pep.txt","AGAP004425-PA")</f>
        <v>AGAP004425-PA</v>
      </c>
      <c r="L76" s="12" t="s">
        <v>95</v>
      </c>
      <c r="M76" s="2">
        <v>235</v>
      </c>
      <c r="N76" s="2">
        <v>0</v>
      </c>
      <c r="O76" s="2">
        <v>0</v>
      </c>
      <c r="P76" s="2" t="s">
        <v>954</v>
      </c>
      <c r="Q76" s="9" t="s">
        <v>955</v>
      </c>
      <c r="R76" s="2" t="s">
        <v>781</v>
      </c>
      <c r="S76" s="2" t="str">
        <f>HYPERLINK(".\links\KOG\AGAP004425-PA-KOG.txt","KOG")</f>
        <v>KOG</v>
      </c>
      <c r="T76" s="2">
        <v>4.9999999999999998E-70</v>
      </c>
      <c r="U76" s="2">
        <v>100</v>
      </c>
      <c r="V76" s="2" t="s">
        <v>956</v>
      </c>
      <c r="W76" s="10" t="s">
        <v>957</v>
      </c>
      <c r="X76" s="2" t="s">
        <v>355</v>
      </c>
      <c r="Y76" s="2" t="str">
        <f>HYPERLINK(".\links\REFSEQ-INVERTEBRATE\AGAP004425-PA-REFSEQ-INVERTEBRATE.txt","REFSEQ-INVERTEBRATE")</f>
        <v>REFSEQ-INVERTEBRATE</v>
      </c>
      <c r="Z76" s="15">
        <v>0</v>
      </c>
      <c r="AA76" s="2">
        <v>100</v>
      </c>
      <c r="AB76" s="13" t="str">
        <f>HYPERLINK(".\links\pep\AGAP004425-PA-sulf.txt","1")</f>
        <v>1</v>
      </c>
      <c r="AC76" s="13" t="str">
        <f>HYPERLINK(".\links\Sigp\AGAP004425-PA-SigP.txt","CYT")</f>
        <v>CYT</v>
      </c>
      <c r="AD76" s="2" t="s">
        <v>102</v>
      </c>
      <c r="AE76" s="2">
        <v>27.093</v>
      </c>
      <c r="AF76" s="2">
        <v>7.1</v>
      </c>
      <c r="AG76" s="2" t="s">
        <v>102</v>
      </c>
      <c r="AH76" s="2" t="s">
        <v>102</v>
      </c>
      <c r="AI76" s="2" t="s">
        <v>958</v>
      </c>
      <c r="AJ76" s="13" t="str">
        <f>HYPERLINK(".\links\tmhmm\AGAP004425-PA-tmhmm.txt","1")</f>
        <v>1</v>
      </c>
      <c r="AK76" s="2">
        <v>8.1</v>
      </c>
      <c r="AL76" s="2">
        <v>88.5</v>
      </c>
      <c r="AM76" s="2">
        <v>3.4</v>
      </c>
      <c r="AN76" s="13" t="str">
        <f>HYPERLINK(".\links\gpi\AGAP004425-PA-gpi.txt","N")</f>
        <v>N</v>
      </c>
      <c r="AO76" s="14" t="str">
        <f>HYPERLINK(".\links\netoglyc\AGAP004425-PA-netoglyc.txt","0")</f>
        <v>0</v>
      </c>
      <c r="AP76" s="13">
        <v>9.8000000000000007</v>
      </c>
      <c r="AQ76" s="2">
        <v>4.7</v>
      </c>
      <c r="AR76" s="2">
        <v>2.6</v>
      </c>
      <c r="AS76" s="2" t="s">
        <v>104</v>
      </c>
      <c r="AT76" s="9" t="str">
        <f>HYPERLINK(".\links\NR-LIGHT\AGAP004425-PA-NR-LIGHT.txt","AGAP004425-PA")</f>
        <v>AGAP004425-PA</v>
      </c>
      <c r="AU76" s="2" t="str">
        <f>HYPERLINK("http://www.ncbi.nlm.nih.gov/sutils/blink.cgi?pid=XP_313708.3","1E-131")</f>
        <v>1E-131</v>
      </c>
      <c r="AV76" s="2" t="str">
        <f>HYPERLINK("http://www.ncbi.nlm.nih.gov/protein/XP_313708.3","XP_313708.3")</f>
        <v>XP_313708.3</v>
      </c>
      <c r="AW76" s="2">
        <v>100</v>
      </c>
      <c r="AX76" s="2">
        <v>100</v>
      </c>
      <c r="AY76" s="2">
        <v>100</v>
      </c>
      <c r="AZ76" s="2" t="s">
        <v>105</v>
      </c>
      <c r="BA76" s="9" t="str">
        <f>HYPERLINK(".\links\REFSEQ-INVERTEBRATE\AGAP004425-PA-REFSEQ-INVERTEBRATE.txt","AGAP004425-PA")</f>
        <v>AGAP004425-PA</v>
      </c>
      <c r="BB76" s="2" t="str">
        <f>HYPERLINK("http://www.ncbi.nlm.nih.gov/sutils/blink.cgi?pid=XP_313708.3","1E-131")</f>
        <v>1E-131</v>
      </c>
      <c r="BC76" s="2" t="str">
        <f>HYPERLINK("http://www.ncbi.nlm.nih.gov/protein/XP_313708.3","XP_313708.3")</f>
        <v>XP_313708.3</v>
      </c>
      <c r="BD76" s="2">
        <v>100</v>
      </c>
      <c r="BE76" s="2">
        <v>100</v>
      </c>
      <c r="BF76" s="2">
        <v>100</v>
      </c>
      <c r="BG76" s="2" t="s">
        <v>105</v>
      </c>
      <c r="BH76" s="9" t="str">
        <f>HYPERLINK(".\links\REFSEQ-PROTOZOA\AGAP004425-PA-REFSEQ-PROTOZOA.txt","dephospho-CoA kinase")</f>
        <v>dephospho-CoA kinase</v>
      </c>
      <c r="BI76" s="2" t="str">
        <f>HYPERLINK("http://www.ncbi.nlm.nih.gov/sutils/blink.cgi?pid=XP_004344501.1","2E-047")</f>
        <v>2E-047</v>
      </c>
      <c r="BJ76" s="2" t="str">
        <f>HYPERLINK("http://www.ncbi.nlm.nih.gov/protein/XP_004344501.1","XP_004344501.1")</f>
        <v>XP_004344501.1</v>
      </c>
      <c r="BK76" s="2">
        <v>44</v>
      </c>
      <c r="BL76" s="2">
        <v>66</v>
      </c>
      <c r="BM76" s="2">
        <v>97</v>
      </c>
      <c r="BN76" s="2" t="s">
        <v>106</v>
      </c>
      <c r="BO76" s="9" t="str">
        <f>HYPERLINK(".\links\SWISSP\AGAP004425-PA-SWISSP.txt","Dephospho-CoA kinase domain-containing protein")</f>
        <v>Dephospho-CoA kinase domain-containing protein</v>
      </c>
      <c r="BP76" s="2" t="str">
        <f>HYPERLINK("http://www.uniprot.org/uniprot/Q0P4C4","1E-048")</f>
        <v>1E-048</v>
      </c>
      <c r="BQ76" s="2" t="str">
        <f>HYPERLINK("http://www.uniprot.org/uniprot/Q0P4C4#expression","Q0P4C4")</f>
        <v>Q0P4C4</v>
      </c>
      <c r="BR76" s="2">
        <v>48</v>
      </c>
      <c r="BS76" s="2">
        <v>68</v>
      </c>
      <c r="BT76" s="2">
        <v>94</v>
      </c>
      <c r="BU76" s="2" t="s">
        <v>213</v>
      </c>
      <c r="BV76" s="9" t="str">
        <f>HYPERLINK(".\links\FLYBASE\AGAP004425-PA-FLYBASE.txt","FBpp0081152")</f>
        <v>FBpp0081152</v>
      </c>
      <c r="BW76" s="2" t="str">
        <f>HYPERLINK("http://flybase.org/reports/FBgn0037469#alliance_summary_container","1E-81")</f>
        <v>1E-81</v>
      </c>
      <c r="BX76" s="2">
        <v>236</v>
      </c>
      <c r="BY76" s="2">
        <v>50</v>
      </c>
      <c r="BZ76" s="2">
        <v>73</v>
      </c>
      <c r="CA76" s="2">
        <v>95</v>
      </c>
      <c r="CB76" s="9" t="str">
        <f>HYPERLINK(".\links\CDD\AGAP004425-PA-CDD.txt","coaE, dephospho-CoA kinase")</f>
        <v>coaE, dephospho-CoA kinase</v>
      </c>
      <c r="CC76" s="15">
        <v>9.9999999999999997E-61</v>
      </c>
      <c r="CD76" s="2">
        <v>100.5</v>
      </c>
      <c r="CE76" s="2" t="s">
        <v>959</v>
      </c>
      <c r="CF76" s="2" t="s">
        <v>960</v>
      </c>
      <c r="CG76" s="9" t="str">
        <f>HYPERLINK(".\links\KOG\AGAP004425-PA-KOG.txt","Similar to bacterial dephospho-CoA kinase")</f>
        <v>Similar to bacterial dephospho-CoA kinase</v>
      </c>
      <c r="CH76" s="15">
        <v>4.9999999999999998E-70</v>
      </c>
      <c r="CI76" s="2">
        <v>100</v>
      </c>
      <c r="CJ76" s="2" t="s">
        <v>961</v>
      </c>
      <c r="CK76" s="2" t="s">
        <v>786</v>
      </c>
      <c r="CL76" s="9" t="str">
        <f>HYPERLINK(".\links\PFAM\AGAP004425-PA-PFAM.txt","CoaE, Dephospho-CoA kinase")</f>
        <v>CoaE, Dephospho-CoA kinase</v>
      </c>
      <c r="CM76" s="15">
        <v>4E-50</v>
      </c>
      <c r="CN76" s="2">
        <v>102.2</v>
      </c>
      <c r="CO76" s="2" t="s">
        <v>962</v>
      </c>
      <c r="CP76" s="9" t="str">
        <f>HYPERLINK(".\links\SMART\AGAP004425-PA-SMART.txt","CAD, Domains present in proteins implicated in post-mortem DNA fragmentation")</f>
        <v>CAD, Domains present in proteins implicated in post-mortem DNA fragmentation</v>
      </c>
      <c r="CQ76" s="15">
        <v>0.54</v>
      </c>
      <c r="CR76" s="2">
        <v>70.3</v>
      </c>
      <c r="CS76" s="2" t="s">
        <v>963</v>
      </c>
      <c r="CT76" s="2" t="s">
        <v>956</v>
      </c>
      <c r="CU76" s="2" t="s">
        <v>956</v>
      </c>
      <c r="CV76" s="2" t="s">
        <v>956</v>
      </c>
      <c r="CW76" s="2" t="str">
        <f>HYPERLINK(".\links\pep\AGAP004425-PA-pep.txt","AGAP004425-PA")</f>
        <v>AGAP004425-PA</v>
      </c>
      <c r="CX76" s="2" t="s">
        <v>95</v>
      </c>
      <c r="CY76" s="2">
        <v>235</v>
      </c>
      <c r="CZ76" s="2" t="s">
        <v>113</v>
      </c>
      <c r="DA76" s="2" t="s">
        <v>964</v>
      </c>
      <c r="DB76" s="2">
        <v>0</v>
      </c>
      <c r="DC76" s="2">
        <v>0</v>
      </c>
      <c r="DD76" s="2" t="str">
        <f>HYPERLINK("https://www.kegg.jp/kegg-bin/search_pathway_text?map=aga&amp;keyword=AGAP004425&amp;mode=1&amp;viewImage=true","AGAP004425")</f>
        <v>AGAP004425</v>
      </c>
      <c r="DE76" s="2" t="s">
        <v>952</v>
      </c>
      <c r="DF76" s="2" t="s">
        <v>953</v>
      </c>
      <c r="DG76" s="2" t="s">
        <v>94</v>
      </c>
      <c r="DH76" s="2" t="str">
        <f>HYPERLINK("https://vectorbase.org/vectorbase/app/record/gene/AGAP004425","AGAP004425-RA")</f>
        <v>AGAP004425-RA</v>
      </c>
      <c r="DI76" s="2" t="s">
        <v>90</v>
      </c>
      <c r="DJ76" s="2">
        <v>1397</v>
      </c>
      <c r="DK76" s="2" t="str">
        <f>HYPERLINK(".\links\netoglyc\AGAP004425-PA-netoglyc.txt","0")</f>
        <v>0</v>
      </c>
      <c r="DL76" s="2">
        <v>9.8000000000000007</v>
      </c>
      <c r="DM76" s="2">
        <v>4.7</v>
      </c>
      <c r="DN76" s="2">
        <v>2.6</v>
      </c>
      <c r="DO76" s="2" t="s">
        <v>104</v>
      </c>
      <c r="DP76" s="2" t="s">
        <v>102</v>
      </c>
      <c r="DQ76" s="2" t="str">
        <f>HYPERLINK(".\links\Sigp\AGAP004425-PA-SigP.txt","CYT")</f>
        <v>CYT</v>
      </c>
      <c r="DR76" s="2" t="s">
        <v>102</v>
      </c>
      <c r="DS76" s="2">
        <v>27.093</v>
      </c>
      <c r="DT76" s="2">
        <v>7.1</v>
      </c>
      <c r="DU76" s="2" t="s">
        <v>102</v>
      </c>
      <c r="DV76" s="2" t="s">
        <v>102</v>
      </c>
      <c r="DW76" s="2" t="s">
        <v>958</v>
      </c>
      <c r="DX76" s="2">
        <v>235</v>
      </c>
      <c r="DY76" s="12" t="str">
        <f>HYPERLINK(".\links\tmhmm\AGAP004425-PA-tmhmm.txt","1")</f>
        <v>1</v>
      </c>
      <c r="DZ76" s="2">
        <v>8.1</v>
      </c>
      <c r="EA76" s="2">
        <v>88.5</v>
      </c>
      <c r="EB76" s="2">
        <v>3.4</v>
      </c>
      <c r="EC76" s="2" t="str">
        <f>HYPERLINK(".\links\gpi\AGAP004425-PA-gpi.txt","Y-NoSP")</f>
        <v>Y-NoSP</v>
      </c>
      <c r="ED76" s="2">
        <v>0.27</v>
      </c>
      <c r="EF76" s="2">
        <v>3</v>
      </c>
      <c r="EG76" s="2" t="str">
        <f>HYPERLINK(".\links\pep\AGAP004425-PA-sulf.txt","1")</f>
        <v>1</v>
      </c>
      <c r="EH76" s="2" t="s">
        <v>102</v>
      </c>
      <c r="EI76" s="2">
        <v>9.7872340425531892</v>
      </c>
      <c r="EJ76" s="2">
        <v>2.5531914893617</v>
      </c>
      <c r="EK76" s="2">
        <v>4.68085106382979</v>
      </c>
      <c r="EL76" s="2">
        <v>7.2340425531914896</v>
      </c>
      <c r="EM76" s="2" t="s">
        <v>102</v>
      </c>
      <c r="EN76" s="2" t="s">
        <v>102</v>
      </c>
      <c r="EO76" s="2">
        <v>1</v>
      </c>
      <c r="EP76" s="2" t="s">
        <v>102</v>
      </c>
      <c r="EQ76" s="2" t="s">
        <v>102</v>
      </c>
      <c r="ER76" s="2" t="s">
        <v>102</v>
      </c>
      <c r="ES76" s="2" t="s">
        <v>102</v>
      </c>
      <c r="ET76" s="2" t="str">
        <f>HYPERLINK(".\links\REFSEQ-INVERTEBRATE\AGAP004425-PA-REFSEQ-INVERTEBRATE.txt","AGAP004425-PA")</f>
        <v>AGAP004425-PA</v>
      </c>
      <c r="EU76" s="2" t="str">
        <f>HYPERLINK("http://www.ncbi.nlm.nih.gov/sutils/blink.cgi?pid=XP_313708.3","1E-175")</f>
        <v>1E-175</v>
      </c>
      <c r="EV76" s="2" t="str">
        <f>HYPERLINK("http://www.ncbi.nlm.nih.gov/protein/XP_313708.3","XP_313708.3")</f>
        <v>XP_313708.3</v>
      </c>
      <c r="EW76" s="2">
        <v>100</v>
      </c>
      <c r="EX76" s="2">
        <v>100</v>
      </c>
      <c r="EY76" s="2">
        <v>100</v>
      </c>
      <c r="EZ76" s="2" t="s">
        <v>105</v>
      </c>
    </row>
    <row r="77" spans="1:156" x14ac:dyDescent="0.25">
      <c r="A77" s="2" t="s">
        <v>965</v>
      </c>
      <c r="B77" s="2">
        <v>0.38957091634381602</v>
      </c>
      <c r="C77" s="2">
        <f t="shared" si="1"/>
        <v>1.3100037270585432</v>
      </c>
      <c r="D77" s="2">
        <v>5.3165038992843403</v>
      </c>
      <c r="E77" s="2">
        <v>11.0868820489755</v>
      </c>
      <c r="F77" s="2">
        <v>8.6940540555191905E-4</v>
      </c>
      <c r="G77" s="2">
        <v>3.0356607143661E-2</v>
      </c>
      <c r="H77" s="2" t="s">
        <v>966</v>
      </c>
      <c r="I77" s="2" t="s">
        <v>94</v>
      </c>
      <c r="J77" s="2" t="str">
        <f>HYPERLINK("https://vectorbase.org/vectorbase/app/record/gene/AGAP004481","AGAP004481-RA")</f>
        <v>AGAP004481-RA</v>
      </c>
      <c r="K77" s="2" t="str">
        <f>HYPERLINK(".\links\pep\AGAP004481-PA-pep.txt","AGAP004481-PA")</f>
        <v>AGAP004481-PA</v>
      </c>
      <c r="L77" s="12" t="s">
        <v>95</v>
      </c>
      <c r="M77" s="2">
        <v>215</v>
      </c>
      <c r="N77" s="2">
        <v>0</v>
      </c>
      <c r="O77" s="2">
        <v>0</v>
      </c>
      <c r="P77" s="2" t="s">
        <v>967</v>
      </c>
      <c r="Q77" s="9" t="s">
        <v>968</v>
      </c>
      <c r="R77" s="2" t="s">
        <v>447</v>
      </c>
      <c r="S77" s="2" t="str">
        <f>HYPERLINK(".\links\NR-LIGHT\AGAP004481-PA-NR-LIGHT.txt","NR-LIGHT")</f>
        <v>NR-LIGHT</v>
      </c>
      <c r="T77" s="2">
        <v>8.9999999999999995E-91</v>
      </c>
      <c r="U77" s="2">
        <v>97.6</v>
      </c>
      <c r="V77" s="2" t="s">
        <v>969</v>
      </c>
      <c r="W77" s="10" t="s">
        <v>970</v>
      </c>
      <c r="X77" s="2" t="s">
        <v>672</v>
      </c>
      <c r="Y77" s="2" t="str">
        <f>HYPERLINK(".\links\ARTHORPODA\AGAP004481-PA-ARTHORPODA.txt","ARTHORPODA")</f>
        <v>ARTHORPODA</v>
      </c>
      <c r="Z77" s="15">
        <v>0</v>
      </c>
      <c r="AA77" s="2">
        <v>100</v>
      </c>
      <c r="AB77" s="13" t="s">
        <v>102</v>
      </c>
      <c r="AC77" s="13" t="str">
        <f>HYPERLINK(".\links\Sigp\AGAP004481-PA-SigP.txt","CYT")</f>
        <v>CYT</v>
      </c>
      <c r="AD77" s="2" t="s">
        <v>102</v>
      </c>
      <c r="AE77" s="2">
        <v>25.437999999999999</v>
      </c>
      <c r="AF77" s="2">
        <v>9.66</v>
      </c>
      <c r="AG77" s="2" t="s">
        <v>102</v>
      </c>
      <c r="AH77" s="2" t="s">
        <v>102</v>
      </c>
      <c r="AI77" s="2" t="s">
        <v>971</v>
      </c>
      <c r="AJ77" s="13">
        <v>0</v>
      </c>
      <c r="AK77" s="2" t="s">
        <v>102</v>
      </c>
      <c r="AL77" s="2" t="s">
        <v>102</v>
      </c>
      <c r="AM77" s="2" t="s">
        <v>102</v>
      </c>
      <c r="AN77" s="13" t="str">
        <f>HYPERLINK(".\links\gpi\AGAP004481-PA-gpi.txt","N")</f>
        <v>N</v>
      </c>
      <c r="AO77" s="14" t="str">
        <f>HYPERLINK(".\links\netoglyc\AGAP004481-PA-netoglyc.txt","0")</f>
        <v>0</v>
      </c>
      <c r="AP77" s="13">
        <v>9.8000000000000007</v>
      </c>
      <c r="AQ77" s="2">
        <v>2.8</v>
      </c>
      <c r="AR77" s="2">
        <v>2.2999999999999998</v>
      </c>
      <c r="AS77" s="2" t="s">
        <v>104</v>
      </c>
      <c r="AT77" s="9" t="str">
        <f>HYPERLINK(".\links\NR-LIGHT\AGAP004481-PA-NR-LIGHT.txt","AGAP004481-PA")</f>
        <v>AGAP004481-PA</v>
      </c>
      <c r="AU77" s="2" t="str">
        <f>HYPERLINK("http://www.ncbi.nlm.nih.gov/sutils/blink.cgi?pid=XP_001688460.2","1E-116")</f>
        <v>1E-116</v>
      </c>
      <c r="AV77" s="2" t="str">
        <f>HYPERLINK("http://www.ncbi.nlm.nih.gov/protein/XP_001688460.2","XP_001688460.2")</f>
        <v>XP_001688460.2</v>
      </c>
      <c r="AW77" s="2">
        <v>100</v>
      </c>
      <c r="AX77" s="2">
        <v>100</v>
      </c>
      <c r="AY77" s="2">
        <v>100</v>
      </c>
      <c r="AZ77" s="2" t="s">
        <v>105</v>
      </c>
      <c r="BA77" s="9" t="str">
        <f>HYPERLINK(".\links\REFSEQ-INVERTEBRATE\AGAP004481-PA-REFSEQ-INVERTEBRATE.txt","AGAP004481-PA")</f>
        <v>AGAP004481-PA</v>
      </c>
      <c r="BB77" s="2" t="str">
        <f>HYPERLINK("http://www.ncbi.nlm.nih.gov/sutils/blink.cgi?pid=XP_001688460.2","1E-116")</f>
        <v>1E-116</v>
      </c>
      <c r="BC77" s="2" t="str">
        <f>HYPERLINK("http://www.ncbi.nlm.nih.gov/protein/XP_001688460.2","XP_001688460.2")</f>
        <v>XP_001688460.2</v>
      </c>
      <c r="BD77" s="2">
        <v>100</v>
      </c>
      <c r="BE77" s="2">
        <v>100</v>
      </c>
      <c r="BF77" s="2">
        <v>100</v>
      </c>
      <c r="BG77" s="2" t="s">
        <v>105</v>
      </c>
      <c r="BH77" s="9" t="str">
        <f>HYPERLINK(".\links\REFSEQ-PROTOZOA\AGAP004481-PA-REFSEQ-PROTOZOA.txt","hypothetical protein IMG5_132650")</f>
        <v>hypothetical protein IMG5_132650</v>
      </c>
      <c r="BI77" s="2" t="str">
        <f>HYPERLINK("http://www.ncbi.nlm.nih.gov/sutils/blink.cgi?pid=XP_004032005.1","9E-007")</f>
        <v>9E-007</v>
      </c>
      <c r="BJ77" s="2" t="str">
        <f>HYPERLINK("http://www.ncbi.nlm.nih.gov/protein/XP_004032005.1","XP_004032005.1")</f>
        <v>XP_004032005.1</v>
      </c>
      <c r="BK77" s="2">
        <v>30</v>
      </c>
      <c r="BL77" s="2">
        <v>53</v>
      </c>
      <c r="BM77" s="2">
        <v>13</v>
      </c>
      <c r="BN77" s="2" t="s">
        <v>972</v>
      </c>
      <c r="BO77" s="9" t="str">
        <f>HYPERLINK(".\links\SWISSP\AGAP004481-PA-SWISSP.txt","Probable 28S ribosomal protein S26, mitochondrial")</f>
        <v>Probable 28S ribosomal protein S26, mitochondrial</v>
      </c>
      <c r="BP77" s="2" t="str">
        <f>HYPERLINK("http://www.uniprot.org/uniprot/Q9VVN2","4E-048")</f>
        <v>4E-048</v>
      </c>
      <c r="BQ77" s="2" t="str">
        <f>HYPERLINK("http://www.uniprot.org/uniprot/Q9VVN2#expression","Q9VVN2")</f>
        <v>Q9VVN2</v>
      </c>
      <c r="BR77" s="2">
        <v>52</v>
      </c>
      <c r="BS77" s="2">
        <v>70</v>
      </c>
      <c r="BT77" s="2">
        <v>80</v>
      </c>
      <c r="BU77" s="2" t="s">
        <v>107</v>
      </c>
      <c r="BV77" s="9" t="str">
        <f>HYPERLINK(".\links\FLYBASE\AGAP004481-PA-FLYBASE.txt","FBpp0074887")</f>
        <v>FBpp0074887</v>
      </c>
      <c r="BW77" s="2" t="str">
        <f>HYPERLINK("http://flybase.org/reports/FBgn0036774#alliance_summary_container","4E-53")</f>
        <v>4E-53</v>
      </c>
      <c r="BX77" s="2">
        <v>225</v>
      </c>
      <c r="BY77" s="2">
        <v>52</v>
      </c>
      <c r="BZ77" s="2">
        <v>70</v>
      </c>
      <c r="CA77" s="2">
        <v>80</v>
      </c>
      <c r="CB77" s="9" t="str">
        <f>HYPERLINK(".\links\CDD\AGAP004481-PA-CDD.txt","MRP-S26, Mitochondrial ribosome subunit S26")</f>
        <v>MRP-S26, Mitochondrial ribosome subunit S26</v>
      </c>
      <c r="CC77" s="15">
        <v>1.9999999999999999E-48</v>
      </c>
      <c r="CD77" s="2">
        <v>99.4</v>
      </c>
      <c r="CE77" s="2" t="s">
        <v>973</v>
      </c>
      <c r="CF77" s="2" t="s">
        <v>974</v>
      </c>
      <c r="CG77" s="9" t="str">
        <f>HYPERLINK(".\links\KOG\AGAP004481-PA-KOG.txt","Uncharacterized conserved protein")</f>
        <v>Uncharacterized conserved protein</v>
      </c>
      <c r="CH77" s="15">
        <v>5.0000000000000004E-31</v>
      </c>
      <c r="CI77" s="2">
        <v>75.3</v>
      </c>
      <c r="CJ77" s="2" t="s">
        <v>975</v>
      </c>
      <c r="CK77" s="2" t="s">
        <v>284</v>
      </c>
      <c r="CL77" s="9" t="str">
        <f>HYPERLINK(".\links\PFAM\AGAP004481-PA-PFAM.txt","MRP-S26, Mitochondrial ribosome subunit S26")</f>
        <v>MRP-S26, Mitochondrial ribosome subunit S26</v>
      </c>
      <c r="CM77" s="15">
        <v>3.9999999999999997E-49</v>
      </c>
      <c r="CN77" s="2">
        <v>99.4</v>
      </c>
      <c r="CO77" s="2" t="s">
        <v>973</v>
      </c>
      <c r="CP77" s="9" t="str">
        <f>HYPERLINK(".\links\SMART\AGAP004481-PA-SMART.txt","START, in StAR and phosphatidylcholine transfer protein")</f>
        <v>START, in StAR and phosphatidylcholine transfer protein</v>
      </c>
      <c r="CQ77" s="15">
        <v>0.14000000000000001</v>
      </c>
      <c r="CR77" s="2">
        <v>25.4</v>
      </c>
      <c r="CS77" s="2" t="s">
        <v>976</v>
      </c>
      <c r="CT77" s="2" t="s">
        <v>969</v>
      </c>
      <c r="CU77" s="2" t="s">
        <v>969</v>
      </c>
      <c r="CV77" s="2" t="s">
        <v>969</v>
      </c>
      <c r="CW77" s="2" t="str">
        <f>HYPERLINK(".\links\pep\AGAP004481-PA-pep.txt","AGAP004481-PA")</f>
        <v>AGAP004481-PA</v>
      </c>
      <c r="CX77" s="2" t="s">
        <v>95</v>
      </c>
      <c r="CY77" s="2">
        <v>215</v>
      </c>
      <c r="CZ77" s="2" t="s">
        <v>113</v>
      </c>
      <c r="DA77" s="2" t="s">
        <v>977</v>
      </c>
      <c r="DB77" s="2">
        <v>0</v>
      </c>
      <c r="DC77" s="2">
        <v>0</v>
      </c>
      <c r="DD77" s="2" t="str">
        <f>HYPERLINK("https://www.kegg.jp/kegg-bin/search_pathway_text?map=aga&amp;keyword=AGAP004481&amp;mode=1&amp;viewImage=true","AGAP004481")</f>
        <v>AGAP004481</v>
      </c>
      <c r="DE77" s="2" t="s">
        <v>965</v>
      </c>
      <c r="DF77" s="2" t="s">
        <v>966</v>
      </c>
      <c r="DG77" s="2" t="s">
        <v>94</v>
      </c>
      <c r="DH77" s="2" t="str">
        <f>HYPERLINK("https://vectorbase.org/vectorbase/app/record/gene/AGAP004481","AGAP004481-RA")</f>
        <v>AGAP004481-RA</v>
      </c>
      <c r="DI77" s="2" t="s">
        <v>135</v>
      </c>
      <c r="DJ77" s="2">
        <v>798</v>
      </c>
      <c r="DK77" s="2" t="str">
        <f>HYPERLINK(".\links\netoglyc\AGAP004481-PA-netoglyc.txt","0")</f>
        <v>0</v>
      </c>
      <c r="DL77" s="2">
        <v>9.8000000000000007</v>
      </c>
      <c r="DM77" s="2">
        <v>2.8</v>
      </c>
      <c r="DN77" s="2">
        <v>2.2999999999999998</v>
      </c>
      <c r="DO77" s="2" t="s">
        <v>104</v>
      </c>
      <c r="DP77" s="2" t="s">
        <v>978</v>
      </c>
      <c r="DQ77" s="2" t="str">
        <f>HYPERLINK(".\links\Sigp\AGAP004481-PA-SigP.txt","CYT")</f>
        <v>CYT</v>
      </c>
      <c r="DR77" s="2" t="s">
        <v>102</v>
      </c>
      <c r="DS77" s="2">
        <v>25.437999999999999</v>
      </c>
      <c r="DT77" s="2">
        <v>9.66</v>
      </c>
      <c r="DU77" s="2" t="s">
        <v>102</v>
      </c>
      <c r="DV77" s="2" t="s">
        <v>102</v>
      </c>
      <c r="DW77" s="2" t="s">
        <v>971</v>
      </c>
      <c r="DX77" s="2">
        <v>215</v>
      </c>
      <c r="DY77" s="12">
        <v>0</v>
      </c>
      <c r="DZ77" s="2" t="s">
        <v>102</v>
      </c>
      <c r="EA77" s="2" t="s">
        <v>102</v>
      </c>
      <c r="EB77" s="2" t="s">
        <v>102</v>
      </c>
      <c r="EC77" s="2" t="str">
        <f>HYPERLINK(".\links\gpi\AGAP004481-PA-gpi.txt","N")</f>
        <v>N</v>
      </c>
      <c r="ED77" s="2">
        <v>0.43</v>
      </c>
      <c r="EF77" s="2">
        <v>0</v>
      </c>
      <c r="EG77" s="2" t="s">
        <v>102</v>
      </c>
      <c r="EH77" s="2" t="s">
        <v>102</v>
      </c>
      <c r="EI77" s="2">
        <v>9.7674418604651194</v>
      </c>
      <c r="EJ77" s="2">
        <v>2.32558139534884</v>
      </c>
      <c r="EK77" s="2">
        <v>2.7906976744185998</v>
      </c>
      <c r="EL77" s="2">
        <v>5.1162790697674403</v>
      </c>
      <c r="EM77" s="2" t="s">
        <v>102</v>
      </c>
      <c r="EN77" s="2">
        <v>1</v>
      </c>
      <c r="EO77" s="2">
        <v>1</v>
      </c>
      <c r="EP77" s="2" t="s">
        <v>102</v>
      </c>
      <c r="EQ77" s="2" t="s">
        <v>102</v>
      </c>
      <c r="ER77" s="2" t="s">
        <v>102</v>
      </c>
      <c r="ES77" s="2" t="s">
        <v>102</v>
      </c>
      <c r="ET77" s="2" t="str">
        <f>HYPERLINK(".\links\REFSEQ-INVERTEBRATE\AGAP004481-PA-REFSEQ-INVERTEBRATE.txt","AGAP004481-PA")</f>
        <v>AGAP004481-PA</v>
      </c>
      <c r="EU77" s="2" t="str">
        <f>HYPERLINK("http://www.ncbi.nlm.nih.gov/sutils/blink.cgi?pid=XP_001688460.2","1E-154")</f>
        <v>1E-154</v>
      </c>
      <c r="EV77" s="2" t="str">
        <f>HYPERLINK("http://www.ncbi.nlm.nih.gov/protein/XP_001688460.2","XP_001688460.2")</f>
        <v>XP_001688460.2</v>
      </c>
      <c r="EW77" s="2">
        <v>100</v>
      </c>
      <c r="EX77" s="2">
        <v>100</v>
      </c>
      <c r="EY77" s="2">
        <v>100</v>
      </c>
      <c r="EZ77" s="2" t="s">
        <v>105</v>
      </c>
    </row>
    <row r="78" spans="1:156" x14ac:dyDescent="0.25">
      <c r="A78" s="2" t="s">
        <v>979</v>
      </c>
      <c r="B78" s="2">
        <v>0.38788352400298498</v>
      </c>
      <c r="C78" s="2">
        <f t="shared" si="1"/>
        <v>1.3084724276573545</v>
      </c>
      <c r="D78" s="2">
        <v>6.2118635829881601</v>
      </c>
      <c r="E78" s="2">
        <v>13.7751084799136</v>
      </c>
      <c r="F78" s="2">
        <v>2.06048242845354E-4</v>
      </c>
      <c r="G78" s="2">
        <v>1.6115916136833001E-2</v>
      </c>
      <c r="H78" s="2" t="s">
        <v>980</v>
      </c>
      <c r="I78" s="2" t="s">
        <v>94</v>
      </c>
      <c r="J78" s="2" t="str">
        <f>HYPERLINK("https://vectorbase.org/vectorbase/app/record/gene/AGAP004751","AGAP004751-RA")</f>
        <v>AGAP004751-RA</v>
      </c>
      <c r="K78" s="2" t="str">
        <f>HYPERLINK(".\links\pep\AGAP004751-PA-pep.txt","AGAP004751-PA")</f>
        <v>AGAP004751-PA</v>
      </c>
      <c r="L78" s="12" t="s">
        <v>95</v>
      </c>
      <c r="M78" s="2">
        <v>1290</v>
      </c>
      <c r="N78" s="2">
        <v>0</v>
      </c>
      <c r="O78" s="2">
        <v>2</v>
      </c>
      <c r="P78" s="2" t="s">
        <v>981</v>
      </c>
      <c r="Q78" s="9" t="s">
        <v>982</v>
      </c>
      <c r="R78" s="2" t="s">
        <v>196</v>
      </c>
      <c r="S78" s="2" t="str">
        <f>HYPERLINK(".\links\REFSEQ-INVERTEBRATE\AGAP004751-PA-REFSEQ-INVERTEBRATE.txt","REFSEQ-INVERTEBRATE")</f>
        <v>REFSEQ-INVERTEBRATE</v>
      </c>
      <c r="T78" s="2">
        <v>0</v>
      </c>
      <c r="U78" s="2">
        <v>94.8</v>
      </c>
      <c r="V78" s="2" t="s">
        <v>982</v>
      </c>
      <c r="W78" s="10" t="s">
        <v>983</v>
      </c>
      <c r="X78" s="2" t="s">
        <v>355</v>
      </c>
      <c r="Y78" s="2" t="str">
        <f>HYPERLINK(".\links\UNIPROTKB\AGAP004751-PA-UNIPROTKB.txt","UNIPROTKB")</f>
        <v>UNIPROTKB</v>
      </c>
      <c r="Z78" s="15">
        <v>4.9999999999999999E-20</v>
      </c>
      <c r="AA78" s="2">
        <v>38.200000000000003</v>
      </c>
      <c r="AB78" s="13" t="str">
        <f>HYPERLINK(".\links\pep\AGAP004751-PA-sulf.txt","2")</f>
        <v>2</v>
      </c>
      <c r="AC78" s="13" t="str">
        <f>HYPERLINK(".\links\Sigp\AGAP004751-PA-SigP.txt","CYT")</f>
        <v>CYT</v>
      </c>
      <c r="AD78" s="2" t="s">
        <v>102</v>
      </c>
      <c r="AE78" s="2">
        <v>147.09399999999999</v>
      </c>
      <c r="AF78" s="2">
        <v>5.9</v>
      </c>
      <c r="AG78" s="2" t="s">
        <v>102</v>
      </c>
      <c r="AH78" s="2" t="s">
        <v>102</v>
      </c>
      <c r="AI78" s="2" t="s">
        <v>482</v>
      </c>
      <c r="AJ78" s="13">
        <v>0</v>
      </c>
      <c r="AK78" s="2" t="s">
        <v>102</v>
      </c>
      <c r="AL78" s="2" t="s">
        <v>102</v>
      </c>
      <c r="AM78" s="2" t="s">
        <v>102</v>
      </c>
      <c r="AN78" s="13" t="str">
        <f>HYPERLINK(".\links\gpi\AGAP004751-PA-gpi.txt","N")</f>
        <v>N</v>
      </c>
      <c r="AO78" s="14" t="str">
        <f>HYPERLINK(".\links\netoglyc\AGAP004751-PA-netoglyc.txt","1")</f>
        <v>1</v>
      </c>
      <c r="AP78" s="13">
        <v>13.8</v>
      </c>
      <c r="AQ78" s="2">
        <v>2.5</v>
      </c>
      <c r="AR78" s="2">
        <v>2.6</v>
      </c>
      <c r="AS78" s="2" t="s">
        <v>104</v>
      </c>
      <c r="AT78" s="9" t="str">
        <f>HYPERLINK(".\links\NR-LIGHT\AGAP004751-PA-NR-LIGHT.txt","AGAP004751-PA")</f>
        <v>AGAP004751-PA</v>
      </c>
      <c r="AU78" s="2" t="str">
        <f>HYPERLINK("http://www.ncbi.nlm.nih.gov/sutils/blink.cgi?pid=XP_318066.4","0.0")</f>
        <v>0.0</v>
      </c>
      <c r="AV78" s="2" t="str">
        <f>HYPERLINK("http://www.ncbi.nlm.nih.gov/protein/XP_318066.4","XP_318066.4")</f>
        <v>XP_318066.4</v>
      </c>
      <c r="AW78" s="2">
        <v>96</v>
      </c>
      <c r="AX78" s="2">
        <v>96</v>
      </c>
      <c r="AY78" s="2">
        <v>95</v>
      </c>
      <c r="AZ78" s="2" t="s">
        <v>105</v>
      </c>
      <c r="BA78" s="9" t="str">
        <f>HYPERLINK(".\links\REFSEQ-INVERTEBRATE\AGAP004751-PA-REFSEQ-INVERTEBRATE.txt","AGAP004751-PA")</f>
        <v>AGAP004751-PA</v>
      </c>
      <c r="BB78" s="2" t="str">
        <f>HYPERLINK("http://www.ncbi.nlm.nih.gov/sutils/blink.cgi?pid=XP_318066.4","0.0")</f>
        <v>0.0</v>
      </c>
      <c r="BC78" s="2" t="str">
        <f>HYPERLINK("http://www.ncbi.nlm.nih.gov/protein/XP_318066.4","XP_318066.4")</f>
        <v>XP_318066.4</v>
      </c>
      <c r="BD78" s="2">
        <v>96</v>
      </c>
      <c r="BE78" s="2">
        <v>96</v>
      </c>
      <c r="BF78" s="2">
        <v>95</v>
      </c>
      <c r="BG78" s="2" t="s">
        <v>105</v>
      </c>
      <c r="BH78" s="9" t="str">
        <f>HYPERLINK(".\links\REFSEQ-PROTOZOA\AGAP004751-PA-REFSEQ-PROTOZOA.txt","hypothetical protein PTSG_07471")</f>
        <v>hypothetical protein PTSG_07471</v>
      </c>
      <c r="BI78" s="2" t="str">
        <f>HYPERLINK("http://www.ncbi.nlm.nih.gov/sutils/blink.cgi?pid=XP_004990976.1","1E-018")</f>
        <v>1E-018</v>
      </c>
      <c r="BJ78" s="2" t="str">
        <f>HYPERLINK("http://www.ncbi.nlm.nih.gov/protein/XP_004990976.1","XP_004990976.1")</f>
        <v>XP_004990976.1</v>
      </c>
      <c r="BK78" s="2">
        <v>21</v>
      </c>
      <c r="BL78" s="2">
        <v>43</v>
      </c>
      <c r="BM78" s="2">
        <v>42</v>
      </c>
      <c r="BN78" s="2" t="s">
        <v>435</v>
      </c>
      <c r="BO78" s="9" t="str">
        <f>HYPERLINK(".\links\SWISSP\AGAP004751-PA-SWISSP.txt","Condensin-2 complex subunit D3")</f>
        <v>Condensin-2 complex subunit D3</v>
      </c>
      <c r="BP78" s="2" t="str">
        <f>HYPERLINK("http://www.uniprot.org/uniprot/Q6ZQK0","2E-023")</f>
        <v>2E-023</v>
      </c>
      <c r="BQ78" s="2" t="str">
        <f>HYPERLINK("http://www.uniprot.org/uniprot/Q6ZQK0#expression","Q6ZQK0")</f>
        <v>Q6ZQK0</v>
      </c>
      <c r="BR78" s="2">
        <v>19</v>
      </c>
      <c r="BS78" s="2">
        <v>39</v>
      </c>
      <c r="BT78" s="2">
        <v>63</v>
      </c>
      <c r="BU78" s="2" t="s">
        <v>662</v>
      </c>
      <c r="BV78" s="9" t="str">
        <f>HYPERLINK(".\links\FLYBASE\AGAP004751-PA-FLYBASE.txt","FBpp0290533")</f>
        <v>FBpp0290533</v>
      </c>
      <c r="BW78" s="2" t="str">
        <f>HYPERLINK("http://flybase.org/reports/FBgn0051989#alliance_summary_container","3E-76")</f>
        <v>3E-76</v>
      </c>
      <c r="BX78" s="2">
        <v>1267</v>
      </c>
      <c r="BY78" s="2">
        <v>23</v>
      </c>
      <c r="BZ78" s="2">
        <v>45</v>
      </c>
      <c r="CA78" s="2">
        <v>97</v>
      </c>
      <c r="CB78" s="9" t="str">
        <f>HYPERLINK(".\links\CDD\AGAP004751-PA-CDD.txt","HEAT, HEAT repeats")</f>
        <v>HEAT, HEAT repeats</v>
      </c>
      <c r="CC78" s="15">
        <v>9.2999999999999999E-2</v>
      </c>
      <c r="CD78" s="2">
        <v>49.2</v>
      </c>
      <c r="CE78" s="2" t="s">
        <v>984</v>
      </c>
      <c r="CF78" s="2" t="s">
        <v>985</v>
      </c>
      <c r="CG78" s="9" t="str">
        <f>HYPERLINK(".\links\KOG\AGAP004751-PA-KOG.txt","Uncharacterized conserved protein related to condensin complex subunit 1")</f>
        <v>Uncharacterized conserved protein related to condensin complex subunit 1</v>
      </c>
      <c r="CH78" s="15">
        <v>7.0000000000000001E-20</v>
      </c>
      <c r="CI78" s="2">
        <v>12.8</v>
      </c>
      <c r="CJ78" s="2" t="s">
        <v>986</v>
      </c>
      <c r="CK78" s="2" t="s">
        <v>284</v>
      </c>
      <c r="CL78" s="9" t="str">
        <f>HYPERLINK(".\links\PFAM\AGAP004751-PA-PFAM.txt","Adaptin_N, Adaptin N terminal region")</f>
        <v>Adaptin_N, Adaptin N terminal region</v>
      </c>
      <c r="CM78" s="15">
        <v>2.8000000000000001E-2</v>
      </c>
      <c r="CN78" s="2">
        <v>43.2</v>
      </c>
      <c r="CO78" s="2" t="s">
        <v>987</v>
      </c>
      <c r="CP78" s="9" t="str">
        <f>HYPERLINK(".\links\SMART\AGAP004751-PA-SMART.txt","SAM_PNT, SAM / Pointed domain")</f>
        <v>SAM_PNT, SAM / Pointed domain</v>
      </c>
      <c r="CQ78" s="15">
        <v>0.69</v>
      </c>
      <c r="CR78" s="2">
        <v>41.5</v>
      </c>
      <c r="CS78" s="2" t="s">
        <v>988</v>
      </c>
      <c r="CT78" s="2" t="s">
        <v>982</v>
      </c>
      <c r="CU78" s="2" t="s">
        <v>982</v>
      </c>
      <c r="CV78" s="2" t="s">
        <v>982</v>
      </c>
      <c r="CW78" s="2" t="str">
        <f>HYPERLINK(".\links\pep\AGAP004751-PA-pep.txt","AGAP004751-PA")</f>
        <v>AGAP004751-PA</v>
      </c>
      <c r="CX78" s="2" t="s">
        <v>95</v>
      </c>
      <c r="CY78" s="2">
        <v>1290</v>
      </c>
      <c r="CZ78" s="2" t="s">
        <v>113</v>
      </c>
      <c r="DA78" s="2" t="s">
        <v>989</v>
      </c>
      <c r="DB78" s="2">
        <v>0</v>
      </c>
      <c r="DC78" s="2">
        <v>2</v>
      </c>
      <c r="DD78" s="2" t="str">
        <f>HYPERLINK("https://www.kegg.jp/kegg-bin/search_pathway_text?map=aga&amp;keyword=AGAP004751&amp;mode=1&amp;viewImage=true","AGAP004751")</f>
        <v>AGAP004751</v>
      </c>
      <c r="DE78" s="2" t="s">
        <v>979</v>
      </c>
      <c r="DF78" s="2" t="s">
        <v>980</v>
      </c>
      <c r="DG78" s="2" t="s">
        <v>94</v>
      </c>
      <c r="DH78" s="2" t="str">
        <f>HYPERLINK("https://vectorbase.org/vectorbase/app/record/gene/AGAP004751","AGAP004751-RA")</f>
        <v>AGAP004751-RA</v>
      </c>
      <c r="DI78" s="2" t="s">
        <v>90</v>
      </c>
      <c r="DJ78" s="2">
        <v>3952</v>
      </c>
      <c r="DK78" s="2" t="str">
        <f>HYPERLINK(".\links\netoglyc\AGAP004751-PA-netoglyc.txt","1")</f>
        <v>1</v>
      </c>
      <c r="DL78" s="2">
        <v>13.8</v>
      </c>
      <c r="DM78" s="2">
        <v>2.5</v>
      </c>
      <c r="DN78" s="2">
        <v>2.6</v>
      </c>
      <c r="DO78" s="2" t="s">
        <v>104</v>
      </c>
      <c r="DP78" s="2" t="s">
        <v>102</v>
      </c>
      <c r="DQ78" s="2" t="str">
        <f>HYPERLINK(".\links\Sigp\AGAP004751-PA-SigP.txt","CYT")</f>
        <v>CYT</v>
      </c>
      <c r="DR78" s="2" t="s">
        <v>102</v>
      </c>
      <c r="DS78" s="2">
        <v>147.09399999999999</v>
      </c>
      <c r="DT78" s="2">
        <v>5.9</v>
      </c>
      <c r="DU78" s="2" t="s">
        <v>102</v>
      </c>
      <c r="DV78" s="2" t="s">
        <v>102</v>
      </c>
      <c r="DW78" s="2" t="s">
        <v>482</v>
      </c>
      <c r="DX78" s="2">
        <v>1290</v>
      </c>
      <c r="DY78" s="12">
        <v>0</v>
      </c>
      <c r="DZ78" s="2" t="s">
        <v>102</v>
      </c>
      <c r="EA78" s="2" t="s">
        <v>102</v>
      </c>
      <c r="EB78" s="2" t="s">
        <v>102</v>
      </c>
      <c r="EC78" s="2" t="str">
        <f>HYPERLINK(".\links\gpi\AGAP004751-PA-gpi.txt","Y-NoSP")</f>
        <v>Y-NoSP</v>
      </c>
      <c r="ED78" s="2">
        <v>0.28000000000000003</v>
      </c>
      <c r="EF78" s="2">
        <v>32</v>
      </c>
      <c r="EG78" s="2" t="str">
        <f>HYPERLINK(".\links\pep\AGAP004751-PA-sulf.txt","2")</f>
        <v>2</v>
      </c>
      <c r="EH78" s="2" t="s">
        <v>102</v>
      </c>
      <c r="EI78" s="2">
        <v>13.7984496124031</v>
      </c>
      <c r="EJ78" s="2">
        <v>2.5581395348837201</v>
      </c>
      <c r="EK78" s="2">
        <v>2.4806201550387601</v>
      </c>
      <c r="EL78" s="2">
        <v>5.0387596899224798</v>
      </c>
      <c r="EM78" s="2">
        <v>1</v>
      </c>
      <c r="EN78" s="2">
        <v>1</v>
      </c>
      <c r="EO78" s="2">
        <v>1</v>
      </c>
      <c r="EP78" s="2" t="s">
        <v>102</v>
      </c>
      <c r="EQ78" s="2" t="s">
        <v>102</v>
      </c>
      <c r="ER78" s="2" t="s">
        <v>102</v>
      </c>
      <c r="ES78" s="2" t="s">
        <v>102</v>
      </c>
      <c r="ET78" s="2" t="str">
        <f>HYPERLINK(".\links\REFSEQ-INVERTEBRATE\AGAP004751-PA-REFSEQ-INVERTEBRATE.txt","condensin-2 complex subunit D3 isoform X1")</f>
        <v>condensin-2 complex subunit D3 isoform X1</v>
      </c>
      <c r="EU78" s="2" t="str">
        <f>HYPERLINK("http://www.ncbi.nlm.nih.gov/sutils/blink.cgi?pid=XP_035912589.1","0.0")</f>
        <v>0.0</v>
      </c>
      <c r="EV78" s="2" t="str">
        <f>HYPERLINK("http://www.ncbi.nlm.nih.gov/protein/XP_035912589.1","XP_035912589.1")</f>
        <v>XP_035912589.1</v>
      </c>
      <c r="EW78" s="2">
        <v>77</v>
      </c>
      <c r="EX78" s="2">
        <v>86</v>
      </c>
      <c r="EY78" s="2">
        <v>101</v>
      </c>
      <c r="EZ78" s="2" t="s">
        <v>370</v>
      </c>
    </row>
    <row r="79" spans="1:156" x14ac:dyDescent="0.25">
      <c r="A79" s="2" t="s">
        <v>990</v>
      </c>
      <c r="B79" s="2">
        <v>0.38683468695804601</v>
      </c>
      <c r="C79" s="2">
        <f t="shared" si="1"/>
        <v>1.3075215159404732</v>
      </c>
      <c r="D79" s="2">
        <v>4.8444050678848196</v>
      </c>
      <c r="E79" s="2">
        <v>10.941969564182999</v>
      </c>
      <c r="F79" s="2">
        <v>9.40101815094284E-4</v>
      </c>
      <c r="G79" s="2">
        <v>3.1405774195776802E-2</v>
      </c>
      <c r="H79" s="2" t="s">
        <v>93</v>
      </c>
      <c r="I79" s="2" t="s">
        <v>94</v>
      </c>
      <c r="J79" s="2" t="str">
        <f>HYPERLINK("https://vectorbase.org/vectorbase/app/record/gene/AGAP005769","AGAP005769-RA")</f>
        <v>AGAP005769-RA</v>
      </c>
      <c r="K79" s="2" t="str">
        <f>HYPERLINK(".\links\pep\AGAP005769-PA-pep.txt","AGAP005769-PA")</f>
        <v>AGAP005769-PA</v>
      </c>
      <c r="L79" s="12" t="s">
        <v>95</v>
      </c>
      <c r="M79" s="2">
        <v>223</v>
      </c>
      <c r="N79" s="2">
        <v>0</v>
      </c>
      <c r="O79" s="2">
        <v>2</v>
      </c>
      <c r="P79" s="2" t="s">
        <v>102</v>
      </c>
      <c r="Q79" s="9" t="s">
        <v>991</v>
      </c>
      <c r="R79" s="2" t="s">
        <v>196</v>
      </c>
      <c r="S79" s="2" t="str">
        <f>HYPERLINK(".\links\REFSEQ-INVERTEBRATE\AGAP005769-PA-REFSEQ-INVERTEBRATE.txt","REFSEQ-INVERTEBRATE")</f>
        <v>REFSEQ-INVERTEBRATE</v>
      </c>
      <c r="T79" s="2">
        <v>0</v>
      </c>
      <c r="U79" s="2">
        <v>100</v>
      </c>
      <c r="V79" s="2" t="s">
        <v>991</v>
      </c>
      <c r="W79" s="10" t="s">
        <v>992</v>
      </c>
      <c r="X79" s="2" t="s">
        <v>101</v>
      </c>
      <c r="Y79" s="2" t="str">
        <f>HYPERLINK(".\links\UNIPROTKB\AGAP005769-PA-UNIPROTKB.txt","UNIPROTKB")</f>
        <v>UNIPROTKB</v>
      </c>
      <c r="Z79" s="15">
        <v>2E-90</v>
      </c>
      <c r="AA79" s="2">
        <v>99</v>
      </c>
      <c r="AB79" s="13" t="s">
        <v>102</v>
      </c>
      <c r="AC79" s="13" t="str">
        <f>HYPERLINK(".\links\Sigp\AGAP005769-PA-SigP.txt","CYT")</f>
        <v>CYT</v>
      </c>
      <c r="AD79" s="2" t="s">
        <v>102</v>
      </c>
      <c r="AE79" s="2">
        <v>25.181999999999999</v>
      </c>
      <c r="AF79" s="2">
        <v>8.7200000000000006</v>
      </c>
      <c r="AG79" s="2" t="s">
        <v>102</v>
      </c>
      <c r="AH79" s="2" t="s">
        <v>102</v>
      </c>
      <c r="AI79" s="2" t="s">
        <v>823</v>
      </c>
      <c r="AJ79" s="13">
        <v>0</v>
      </c>
      <c r="AK79" s="2" t="s">
        <v>102</v>
      </c>
      <c r="AL79" s="2" t="s">
        <v>102</v>
      </c>
      <c r="AM79" s="2" t="s">
        <v>102</v>
      </c>
      <c r="AN79" s="13" t="str">
        <f>HYPERLINK(".\links\gpi\AGAP005769-PA-gpi.txt","N")</f>
        <v>N</v>
      </c>
      <c r="AO79" s="14" t="str">
        <f>HYPERLINK(".\links\netoglyc\AGAP005769-PA-netoglyc.txt","3")</f>
        <v>3</v>
      </c>
      <c r="AP79" s="13">
        <v>13.5</v>
      </c>
      <c r="AQ79" s="2">
        <v>4</v>
      </c>
      <c r="AR79" s="2">
        <v>5.8</v>
      </c>
      <c r="AS79" s="2" t="s">
        <v>104</v>
      </c>
      <c r="AT79" s="9" t="str">
        <f>HYPERLINK(".\links\NR-LIGHT\AGAP005769-PA-NR-LIGHT.txt","AGAP005769-PA")</f>
        <v>AGAP005769-PA</v>
      </c>
      <c r="AU79" s="2" t="str">
        <f>HYPERLINK("http://www.ncbi.nlm.nih.gov/sutils/blink.cgi?pid=XP_315784.2","1E-124")</f>
        <v>1E-124</v>
      </c>
      <c r="AV79" s="2" t="str">
        <f>HYPERLINK("http://www.ncbi.nlm.nih.gov/protein/XP_315784.2","XP_315784.2")</f>
        <v>XP_315784.2</v>
      </c>
      <c r="AW79" s="2">
        <v>100</v>
      </c>
      <c r="AX79" s="2">
        <v>100</v>
      </c>
      <c r="AY79" s="2">
        <v>100</v>
      </c>
      <c r="AZ79" s="2" t="s">
        <v>105</v>
      </c>
      <c r="BA79" s="9" t="str">
        <f>HYPERLINK(".\links\REFSEQ-INVERTEBRATE\AGAP005769-PA-REFSEQ-INVERTEBRATE.txt","AGAP005769-PA")</f>
        <v>AGAP005769-PA</v>
      </c>
      <c r="BB79" s="2" t="str">
        <f>HYPERLINK("http://www.ncbi.nlm.nih.gov/sutils/blink.cgi?pid=XP_315784.2","1E-124")</f>
        <v>1E-124</v>
      </c>
      <c r="BC79" s="2" t="str">
        <f>HYPERLINK("http://www.ncbi.nlm.nih.gov/protein/XP_315784.2","XP_315784.2")</f>
        <v>XP_315784.2</v>
      </c>
      <c r="BD79" s="2">
        <v>100</v>
      </c>
      <c r="BE79" s="2">
        <v>100</v>
      </c>
      <c r="BF79" s="2">
        <v>100</v>
      </c>
      <c r="BG79" s="2" t="s">
        <v>105</v>
      </c>
      <c r="BH79" s="9" t="str">
        <f>HYPERLINK(".\links\REFSEQ-PROTOZOA\AGAP005769-PA-REFSEQ-PROTOZOA.txt","hypothetical protein SARC_01515")</f>
        <v>hypothetical protein SARC_01515</v>
      </c>
      <c r="BI79" s="2" t="str">
        <f>HYPERLINK("http://www.ncbi.nlm.nih.gov/sutils/blink.cgi?pid=XP_014160223.1","6E-028")</f>
        <v>6E-028</v>
      </c>
      <c r="BJ79" s="2" t="str">
        <f>HYPERLINK("http://www.ncbi.nlm.nih.gov/protein/XP_014160223.1","XP_014160223.1")</f>
        <v>XP_014160223.1</v>
      </c>
      <c r="BK79" s="2">
        <v>37</v>
      </c>
      <c r="BL79" s="2">
        <v>52</v>
      </c>
      <c r="BM79" s="2">
        <v>101</v>
      </c>
      <c r="BN79" s="2" t="s">
        <v>393</v>
      </c>
      <c r="BO79" s="9" t="str">
        <f>HYPERLINK(".\links\SWISSP\AGAP005769-PA-SWISSP.txt","UPF0428 protein CG16865")</f>
        <v>UPF0428 protein CG16865</v>
      </c>
      <c r="BP79" s="2" t="str">
        <f>HYPERLINK("http://www.uniprot.org/uniprot/Q9V412","5E-076")</f>
        <v>5E-076</v>
      </c>
      <c r="BQ79" s="2" t="str">
        <f>HYPERLINK("http://www.uniprot.org/uniprot/Q9V412#expression","Q9V412")</f>
        <v>Q9V412</v>
      </c>
      <c r="BR79" s="2">
        <v>60</v>
      </c>
      <c r="BS79" s="2">
        <v>76</v>
      </c>
      <c r="BT79" s="2">
        <v>100</v>
      </c>
      <c r="BU79" s="2" t="s">
        <v>107</v>
      </c>
      <c r="BV79" s="9" t="str">
        <f>HYPERLINK(".\links\FLYBASE\AGAP005769-PA-FLYBASE.txt","FBpp0304016")</f>
        <v>FBpp0304016</v>
      </c>
      <c r="BW79" s="2" t="str">
        <f>HYPERLINK("http://flybase.org/reports/FBgn0028919#alliance_summary_container","2E-91")</f>
        <v>2E-91</v>
      </c>
      <c r="BX79" s="2">
        <v>247</v>
      </c>
      <c r="BY79" s="2">
        <v>60</v>
      </c>
      <c r="BZ79" s="2">
        <v>76</v>
      </c>
      <c r="CA79" s="2">
        <v>100</v>
      </c>
      <c r="CB79" s="9" t="str">
        <f>HYPERLINK(".\links\CDD\AGAP005769-PA-CDD.txt","Chaperone_protein_DnaK, chaperone protein DnaK")</f>
        <v>Chaperone_protein_DnaK, chaperone protein DnaK</v>
      </c>
      <c r="CC79" s="15">
        <v>6.9000000000000006E-2</v>
      </c>
      <c r="CD79" s="2">
        <v>14.8</v>
      </c>
      <c r="CE79" s="2" t="s">
        <v>993</v>
      </c>
      <c r="CF79" s="2" t="s">
        <v>994</v>
      </c>
      <c r="CG79" s="9" t="str">
        <f>HYPERLINK(".\links\KOG\AGAP005769-PA-KOG.txt","Uncharacterized conserved protein")</f>
        <v>Uncharacterized conserved protein</v>
      </c>
      <c r="CH79" s="15">
        <v>1.9999999999999998E-71</v>
      </c>
      <c r="CI79" s="2">
        <v>105.2</v>
      </c>
      <c r="CJ79" s="2" t="s">
        <v>995</v>
      </c>
      <c r="CK79" s="2" t="s">
        <v>284</v>
      </c>
      <c r="CL79" s="9" t="str">
        <f>HYPERLINK(".\links\PFAM\AGAP005769-PA-PFAM.txt","Cas9_PI, PAM-interacting domain of CRISPR-associated endonuclease Cas9")</f>
        <v>Cas9_PI, PAM-interacting domain of CRISPR-associated endonuclease Cas9</v>
      </c>
      <c r="CM79" s="15">
        <v>2.7</v>
      </c>
      <c r="CN79" s="2">
        <v>12.2</v>
      </c>
      <c r="CO79" s="2" t="s">
        <v>996</v>
      </c>
      <c r="CP79" s="9" t="str">
        <f>HYPERLINK(".\links\SMART\AGAP005769-PA-SMART.txt","RL11, Ribosomal protein L11/L12")</f>
        <v>RL11, Ribosomal protein L11/L12</v>
      </c>
      <c r="CQ79" s="15">
        <v>4</v>
      </c>
      <c r="CR79" s="2">
        <v>17.399999999999999</v>
      </c>
      <c r="CS79" s="2" t="s">
        <v>997</v>
      </c>
      <c r="CT79" s="2" t="s">
        <v>991</v>
      </c>
      <c r="CU79" s="2" t="s">
        <v>991</v>
      </c>
      <c r="CV79" s="2" t="s">
        <v>991</v>
      </c>
      <c r="CW79" s="2" t="str">
        <f>HYPERLINK(".\links\pep\AGAP005769-PA-pep.txt","AGAP005769-PA")</f>
        <v>AGAP005769-PA</v>
      </c>
      <c r="CX79" s="2" t="s">
        <v>95</v>
      </c>
      <c r="CY79" s="2">
        <v>223</v>
      </c>
      <c r="CZ79" s="2" t="s">
        <v>113</v>
      </c>
      <c r="DA79" s="2" t="s">
        <v>998</v>
      </c>
      <c r="DB79" s="2">
        <v>0</v>
      </c>
      <c r="DC79" s="2">
        <v>2</v>
      </c>
      <c r="DD79" s="2" t="str">
        <f>HYPERLINK("https://www.kegg.jp/kegg-bin/search_pathway_text?map=aga&amp;keyword=AGAP005769&amp;mode=1&amp;viewImage=true","AGAP005769")</f>
        <v>AGAP005769</v>
      </c>
      <c r="DE79" s="2" t="s">
        <v>990</v>
      </c>
      <c r="DF79" s="2" t="s">
        <v>93</v>
      </c>
      <c r="DG79" s="2" t="s">
        <v>94</v>
      </c>
      <c r="DH79" s="2" t="str">
        <f>HYPERLINK("https://vectorbase.org/vectorbase/app/record/gene/AGAP005769","AGAP005769-RA")</f>
        <v>AGAP005769-RA</v>
      </c>
      <c r="DI79" s="2" t="s">
        <v>90</v>
      </c>
      <c r="DJ79" s="2">
        <v>829</v>
      </c>
      <c r="DK79" s="2" t="str">
        <f>HYPERLINK(".\links\netoglyc\AGAP005769-PA-netoglyc.txt","3")</f>
        <v>3</v>
      </c>
      <c r="DL79" s="2">
        <v>13.5</v>
      </c>
      <c r="DM79" s="2">
        <v>4</v>
      </c>
      <c r="DN79" s="2">
        <v>5.8</v>
      </c>
      <c r="DO79" s="2" t="s">
        <v>104</v>
      </c>
      <c r="DP79" s="2" t="s">
        <v>102</v>
      </c>
      <c r="DQ79" s="2" t="str">
        <f>HYPERLINK(".\links\Sigp\AGAP005769-PA-SigP.txt","CYT")</f>
        <v>CYT</v>
      </c>
      <c r="DR79" s="2" t="s">
        <v>102</v>
      </c>
      <c r="DS79" s="2">
        <v>25.181999999999999</v>
      </c>
      <c r="DT79" s="2">
        <v>8.7200000000000006</v>
      </c>
      <c r="DU79" s="2" t="s">
        <v>102</v>
      </c>
      <c r="DV79" s="2" t="s">
        <v>102</v>
      </c>
      <c r="DW79" s="2" t="s">
        <v>823</v>
      </c>
      <c r="DX79" s="2">
        <v>223</v>
      </c>
      <c r="DY79" s="12">
        <v>0</v>
      </c>
      <c r="DZ79" s="2" t="s">
        <v>102</v>
      </c>
      <c r="EA79" s="2" t="s">
        <v>102</v>
      </c>
      <c r="EB79" s="2" t="s">
        <v>102</v>
      </c>
      <c r="EC79" s="2" t="str">
        <f>HYPERLINK(".\links\gpi\AGAP005769-PA-gpi.txt","N")</f>
        <v>N</v>
      </c>
      <c r="ED79" s="2">
        <v>0.28000000000000003</v>
      </c>
      <c r="EF79" s="2">
        <v>7</v>
      </c>
      <c r="EG79" s="2" t="s">
        <v>102</v>
      </c>
      <c r="EH79" s="2" t="s">
        <v>102</v>
      </c>
      <c r="EI79" s="2">
        <v>13.452914798206301</v>
      </c>
      <c r="EJ79" s="2">
        <v>5.8295964125560502</v>
      </c>
      <c r="EK79" s="2">
        <v>4.03587443946188</v>
      </c>
      <c r="EL79" s="2">
        <v>9.8654708520179408</v>
      </c>
      <c r="EM79" s="2" t="s">
        <v>102</v>
      </c>
      <c r="EN79" s="2">
        <v>1</v>
      </c>
      <c r="EO79" s="2">
        <v>1</v>
      </c>
      <c r="EP79" s="2" t="s">
        <v>102</v>
      </c>
      <c r="EQ79" s="2" t="s">
        <v>102</v>
      </c>
      <c r="ER79" s="2" t="s">
        <v>102</v>
      </c>
      <c r="ES79" s="2" t="s">
        <v>102</v>
      </c>
      <c r="ET79" s="2" t="str">
        <f>HYPERLINK(".\links\REFSEQ-INVERTEBRATE\AGAP005769-PA-REFSEQ-INVERTEBRATE.txt","AGAP005769-PA")</f>
        <v>AGAP005769-PA</v>
      </c>
      <c r="EU79" s="2" t="str">
        <f>HYPERLINK("http://www.ncbi.nlm.nih.gov/sutils/blink.cgi?pid=XP_315784.2","1E-164")</f>
        <v>1E-164</v>
      </c>
      <c r="EV79" s="2" t="str">
        <f>HYPERLINK("http://www.ncbi.nlm.nih.gov/protein/XP_315784.2","XP_315784.2")</f>
        <v>XP_315784.2</v>
      </c>
      <c r="EW79" s="2">
        <v>100</v>
      </c>
      <c r="EX79" s="2">
        <v>100</v>
      </c>
      <c r="EY79" s="2">
        <v>100</v>
      </c>
      <c r="EZ79" s="2" t="s">
        <v>105</v>
      </c>
    </row>
    <row r="80" spans="1:156" x14ac:dyDescent="0.25">
      <c r="A80" s="2" t="s">
        <v>999</v>
      </c>
      <c r="B80" s="2">
        <v>0.38530685032518602</v>
      </c>
      <c r="C80" s="2">
        <f t="shared" si="1"/>
        <v>1.3061375631297865</v>
      </c>
      <c r="D80" s="2">
        <v>5.8554609738524999</v>
      </c>
      <c r="E80" s="2">
        <v>13.8273290312748</v>
      </c>
      <c r="F80" s="2">
        <v>2.0040003664859699E-4</v>
      </c>
      <c r="G80" s="2">
        <v>1.58805039928742E-2</v>
      </c>
      <c r="H80" s="2" t="s">
        <v>93</v>
      </c>
      <c r="I80" s="2" t="s">
        <v>94</v>
      </c>
      <c r="J80" s="2" t="str">
        <f>HYPERLINK("https://vectorbase.org/vectorbase/app/record/gene/AGAP029374","AGAP029374-RA")</f>
        <v>AGAP029374-RA</v>
      </c>
      <c r="K80" s="2" t="str">
        <f>HYPERLINK(".\links\pep\AGAP029374-PA-pep.txt","AGAP029374-PA")</f>
        <v>AGAP029374-PA</v>
      </c>
      <c r="L80" s="12" t="s">
        <v>95</v>
      </c>
      <c r="M80" s="2">
        <v>802</v>
      </c>
      <c r="N80" s="2">
        <v>0</v>
      </c>
      <c r="O80" s="2">
        <v>4</v>
      </c>
      <c r="P80" s="2" t="s">
        <v>102</v>
      </c>
      <c r="Q80" s="9" t="s">
        <v>1000</v>
      </c>
      <c r="R80" s="2" t="s">
        <v>196</v>
      </c>
      <c r="S80" s="2" t="str">
        <f>HYPERLINK(".\links\REFSEQ-INVERTEBRATE\AGAP029374-PA-REFSEQ-INVERTEBRATE.txt","REFSEQ-INVERTEBRATE")</f>
        <v>REFSEQ-INVERTEBRATE</v>
      </c>
      <c r="T80" s="2">
        <v>6.0000000000000002E-45</v>
      </c>
      <c r="U80" s="2">
        <v>102.5</v>
      </c>
      <c r="V80" s="2" t="s">
        <v>1001</v>
      </c>
      <c r="W80" s="10" t="s">
        <v>1002</v>
      </c>
      <c r="X80" s="2" t="s">
        <v>196</v>
      </c>
      <c r="Y80" s="2" t="str">
        <f>HYPERLINK(".\links\ARTHORPODA\AGAP029374-PA-ARTHORPODA.txt","ARTHORPODA")</f>
        <v>ARTHORPODA</v>
      </c>
      <c r="Z80" s="15">
        <v>0</v>
      </c>
      <c r="AA80" s="2">
        <v>100</v>
      </c>
      <c r="AB80" s="13" t="s">
        <v>102</v>
      </c>
      <c r="AC80" s="13" t="str">
        <f>HYPERLINK(".\links\Sigp\AGAP029374-PA-SigP.txt","CYT")</f>
        <v>CYT</v>
      </c>
      <c r="AD80" s="2" t="s">
        <v>102</v>
      </c>
      <c r="AE80" s="2">
        <v>91.36</v>
      </c>
      <c r="AF80" s="2">
        <v>5.82</v>
      </c>
      <c r="AG80" s="2" t="s">
        <v>102</v>
      </c>
      <c r="AH80" s="2" t="s">
        <v>102</v>
      </c>
      <c r="AI80" s="2" t="s">
        <v>124</v>
      </c>
      <c r="AJ80" s="13">
        <v>0</v>
      </c>
      <c r="AK80" s="2" t="s">
        <v>102</v>
      </c>
      <c r="AL80" s="2" t="s">
        <v>102</v>
      </c>
      <c r="AM80" s="2" t="s">
        <v>102</v>
      </c>
      <c r="AN80" s="9" t="str">
        <f>HYPERLINK(".\links\gpi\AGAP029374-PA-gpi.txt","N")</f>
        <v>N</v>
      </c>
      <c r="AO80" s="14" t="str">
        <f>HYPERLINK(".\links\netoglyc\AGAP029374-PA-netoglyc.txt","1")</f>
        <v>1</v>
      </c>
      <c r="AP80" s="13">
        <v>12.5</v>
      </c>
      <c r="AQ80" s="2">
        <v>4</v>
      </c>
      <c r="AR80" s="2">
        <v>5.2</v>
      </c>
      <c r="AS80" s="2" t="s">
        <v>104</v>
      </c>
      <c r="AT80" s="9" t="str">
        <f>HYPERLINK(".\links\NR-LIGHT\AGAP029374-PA-NR-LIGHT.txt","AGAP006928-PA, partial")</f>
        <v>AGAP006928-PA, partial</v>
      </c>
      <c r="AU80" s="2" t="str">
        <f>HYPERLINK("http://www.ncbi.nlm.nih.gov/sutils/blink.cgi?pid=XP_308832.3","6E-045")</f>
        <v>6E-045</v>
      </c>
      <c r="AV80" s="2" t="str">
        <f>HYPERLINK("http://www.ncbi.nlm.nih.gov/protein/XP_308832.3","XP_308832.3")</f>
        <v>XP_308832.3</v>
      </c>
      <c r="AW80" s="2">
        <v>72</v>
      </c>
      <c r="AX80" s="2">
        <v>83</v>
      </c>
      <c r="AY80" s="2">
        <v>103</v>
      </c>
      <c r="AZ80" s="2" t="s">
        <v>105</v>
      </c>
      <c r="BA80" s="9" t="str">
        <f>HYPERLINK(".\links\REFSEQ-INVERTEBRATE\AGAP029374-PA-REFSEQ-INVERTEBRATE.txt","AGAP006928-PA, partial")</f>
        <v>AGAP006928-PA, partial</v>
      </c>
      <c r="BB80" s="2" t="str">
        <f>HYPERLINK("http://www.ncbi.nlm.nih.gov/sutils/blink.cgi?pid=XP_308832.3","6E-045")</f>
        <v>6E-045</v>
      </c>
      <c r="BC80" s="2" t="str">
        <f>HYPERLINK("http://www.ncbi.nlm.nih.gov/protein/XP_308832.3","XP_308832.3")</f>
        <v>XP_308832.3</v>
      </c>
      <c r="BD80" s="2">
        <v>72</v>
      </c>
      <c r="BE80" s="2">
        <v>83</v>
      </c>
      <c r="BF80" s="2">
        <v>103</v>
      </c>
      <c r="BG80" s="2" t="s">
        <v>105</v>
      </c>
      <c r="BH80" s="9" t="str">
        <f>HYPERLINK(".\links\REFSEQ-PROTOZOA\AGAP029374-PA-REFSEQ-PROTOZOA.txt","liver stage antigen 3")</f>
        <v>liver stage antigen 3</v>
      </c>
      <c r="BI80" s="2" t="str">
        <f>HYPERLINK("http://www.ncbi.nlm.nih.gov/sutils/blink.cgi?pid=XP_001349701.1","0.005")</f>
        <v>0.005</v>
      </c>
      <c r="BJ80" s="2" t="str">
        <f>HYPERLINK("http://www.ncbi.nlm.nih.gov/protein/XP_001349701.1","XP_001349701.1")</f>
        <v>XP_001349701.1</v>
      </c>
      <c r="BK80" s="2">
        <v>20</v>
      </c>
      <c r="BL80" s="2">
        <v>47</v>
      </c>
      <c r="BM80" s="2">
        <v>13</v>
      </c>
      <c r="BN80" s="2" t="s">
        <v>869</v>
      </c>
      <c r="BO80" s="9" t="str">
        <f>HYPERLINK(".\links\SWISSP\AGAP029374-PA-SWISSP.txt","rRNA-processing protein EBP2")</f>
        <v>rRNA-processing protein EBP2</v>
      </c>
      <c r="BP80" s="2" t="str">
        <f>HYPERLINK("http://www.uniprot.org/uniprot/P36049","0.077")</f>
        <v>0.077</v>
      </c>
      <c r="BQ80" s="2" t="str">
        <f>HYPERLINK("http://www.uniprot.org/uniprot/P36049#expression","P36049")</f>
        <v>P36049</v>
      </c>
      <c r="BR80" s="2">
        <v>26</v>
      </c>
      <c r="BS80" s="2">
        <v>43</v>
      </c>
      <c r="BT80" s="2">
        <v>34</v>
      </c>
      <c r="BU80" s="2" t="s">
        <v>1003</v>
      </c>
      <c r="BV80" s="9" t="str">
        <f>HYPERLINK(".\links\FLYBASE\AGAP029374-PA-FLYBASE.txt","FBpp0074052")</f>
        <v>FBpp0074052</v>
      </c>
      <c r="BW80" s="2" t="str">
        <f>HYPERLINK("http://flybase.org/reports/FBgn0026575#alliance_summary_container","0.40")</f>
        <v>0.40</v>
      </c>
      <c r="BX80" s="2">
        <v>1901</v>
      </c>
      <c r="BY80" s="2">
        <v>26</v>
      </c>
      <c r="BZ80" s="2">
        <v>46</v>
      </c>
      <c r="CA80" s="2">
        <v>4</v>
      </c>
      <c r="CB80" s="9" t="str">
        <f>HYPERLINK(".\links\CDD\AGAP029374-PA-CDD.txt","zf-AD, Zinc-finger associated domain (zf-AD)")</f>
        <v>zf-AD, Zinc-finger associated domain (zf-AD)</v>
      </c>
      <c r="CC80" s="15">
        <v>1.9999999999999999E-7</v>
      </c>
      <c r="CD80" s="2">
        <v>98.6</v>
      </c>
      <c r="CE80" s="2" t="s">
        <v>684</v>
      </c>
      <c r="CF80" s="2" t="s">
        <v>1004</v>
      </c>
      <c r="CG80" s="9" t="str">
        <f>HYPERLINK(".\links\KOG\AGAP029374-PA-KOG.txt","Inositol-polyphosphate 4-phosphatase")</f>
        <v>Inositol-polyphosphate 4-phosphatase</v>
      </c>
      <c r="CH80" s="15">
        <v>1</v>
      </c>
      <c r="CI80" s="2">
        <v>13</v>
      </c>
      <c r="CJ80" s="2" t="s">
        <v>1005</v>
      </c>
      <c r="CK80" s="2" t="s">
        <v>173</v>
      </c>
      <c r="CL80" s="9" t="str">
        <f>HYPERLINK(".\links\PFAM\AGAP029374-PA-PFAM.txt","zf-AD, Zinc-finger associated domain (zf-AD)")</f>
        <v>zf-AD, Zinc-finger associated domain (zf-AD)</v>
      </c>
      <c r="CM80" s="15">
        <v>6.9999999999999999E-6</v>
      </c>
      <c r="CN80" s="2">
        <v>100</v>
      </c>
      <c r="CO80" s="2" t="s">
        <v>687</v>
      </c>
      <c r="CP80" s="9" t="str">
        <f>HYPERLINK(".\links\SMART\AGAP029374-PA-SMART.txt","zf-AD, Zinc-finger associated domain (zf-AD)")</f>
        <v>zf-AD, Zinc-finger associated domain (zf-AD)</v>
      </c>
      <c r="CQ80" s="15">
        <v>1.0000000000000001E-9</v>
      </c>
      <c r="CR80" s="2">
        <v>98.6</v>
      </c>
      <c r="CS80" s="2" t="s">
        <v>684</v>
      </c>
      <c r="CT80" s="2" t="s">
        <v>1001</v>
      </c>
      <c r="CU80" s="2" t="s">
        <v>1001</v>
      </c>
      <c r="CV80" s="2" t="s">
        <v>1001</v>
      </c>
      <c r="CW80" s="2" t="str">
        <f>HYPERLINK(".\links\pep\AGAP029374-PA-pep.txt","AGAP029374-PA")</f>
        <v>AGAP029374-PA</v>
      </c>
      <c r="CX80" s="2" t="s">
        <v>95</v>
      </c>
      <c r="CY80" s="2">
        <v>819</v>
      </c>
      <c r="CZ80" s="2" t="s">
        <v>113</v>
      </c>
      <c r="DA80" s="2" t="s">
        <v>1006</v>
      </c>
      <c r="DB80" s="2">
        <v>0</v>
      </c>
      <c r="DC80" s="2">
        <v>4</v>
      </c>
      <c r="DD80" s="2" t="str">
        <f>HYPERLINK("https://www.kegg.jp/kegg-bin/search_pathway_text?map=aga&amp;keyword=AGAP029374&amp;mode=1&amp;viewImage=true","AGAP029374")</f>
        <v>AGAP029374</v>
      </c>
      <c r="DE80" s="2" t="s">
        <v>999</v>
      </c>
      <c r="DF80" s="2" t="s">
        <v>93</v>
      </c>
      <c r="DG80" s="2" t="s">
        <v>94</v>
      </c>
      <c r="DH80" s="2" t="str">
        <f>HYPERLINK("https://vectorbase.org/vectorbase/app/record/gene/AGAP029374","AGAP029374-RA")</f>
        <v>AGAP029374-RA</v>
      </c>
      <c r="DI80" s="2" t="s">
        <v>135</v>
      </c>
      <c r="DJ80" s="2">
        <v>2632</v>
      </c>
      <c r="DK80" s="2" t="str">
        <f>HYPERLINK(".\links\netoglyc\AGAP029374-PA-netoglyc.txt","0")</f>
        <v>0</v>
      </c>
      <c r="DL80" s="2">
        <v>12.2</v>
      </c>
      <c r="DM80" s="2">
        <v>4</v>
      </c>
      <c r="DN80" s="2">
        <v>5.0999999999999996</v>
      </c>
      <c r="DO80" s="2" t="s">
        <v>104</v>
      </c>
      <c r="DP80" s="2" t="s">
        <v>1007</v>
      </c>
      <c r="DQ80" s="2" t="str">
        <f>HYPERLINK(".\links\Sigp\AGAP029374-PA-SigP.txt","CYT")</f>
        <v>CYT</v>
      </c>
      <c r="DR80" s="2" t="s">
        <v>102</v>
      </c>
      <c r="DS80" s="2">
        <v>93.471999999999994</v>
      </c>
      <c r="DT80" s="2">
        <v>5.85</v>
      </c>
      <c r="DU80" s="2" t="s">
        <v>102</v>
      </c>
      <c r="DV80" s="2" t="s">
        <v>102</v>
      </c>
      <c r="DW80" s="2" t="s">
        <v>583</v>
      </c>
      <c r="DX80" s="2">
        <v>819</v>
      </c>
      <c r="DY80" s="12">
        <v>0</v>
      </c>
      <c r="DZ80" s="2" t="s">
        <v>102</v>
      </c>
      <c r="EA80" s="2" t="s">
        <v>102</v>
      </c>
      <c r="EB80" s="2" t="s">
        <v>102</v>
      </c>
      <c r="EC80" s="2" t="str">
        <f>HYPERLINK(".\links\gpi\AGAP029374-PA-gpi.txt","Y-NoSP")</f>
        <v>Y-NoSP</v>
      </c>
      <c r="ED80" s="2">
        <v>0.22</v>
      </c>
      <c r="EF80" s="2">
        <v>17</v>
      </c>
      <c r="EG80" s="2" t="s">
        <v>102</v>
      </c>
      <c r="EH80" s="2" t="s">
        <v>102</v>
      </c>
      <c r="EI80" s="2">
        <v>12.2100122100122</v>
      </c>
      <c r="EJ80" s="2">
        <v>5.1282051282051304</v>
      </c>
      <c r="EK80" s="2">
        <v>4.0293040293040301</v>
      </c>
      <c r="EL80" s="2">
        <v>9.1575091575091605</v>
      </c>
      <c r="EM80" s="2">
        <v>1</v>
      </c>
      <c r="EN80" s="2">
        <v>1</v>
      </c>
      <c r="EO80" s="2">
        <v>1</v>
      </c>
      <c r="EP80" s="2" t="s">
        <v>102</v>
      </c>
      <c r="EQ80" s="2" t="s">
        <v>102</v>
      </c>
      <c r="ER80" s="2" t="s">
        <v>102</v>
      </c>
      <c r="ES80" s="2" t="s">
        <v>102</v>
      </c>
      <c r="ET80" s="2" t="str">
        <f>HYPERLINK(".\links\REFSEQ-INVERTEBRATE\AGAP029374-PA-REFSEQ-INVERTEBRATE.txt","AGAP006928-PA, partial")</f>
        <v>AGAP006928-PA, partial</v>
      </c>
      <c r="EU80" s="2" t="str">
        <f>HYPERLINK("http://www.ncbi.nlm.nih.gov/sutils/blink.cgi?pid=XP_308832.3","4E-56")</f>
        <v>4E-56</v>
      </c>
      <c r="EV80" s="2" t="str">
        <f>HYPERLINK("http://www.ncbi.nlm.nih.gov/protein/XP_308832.3","XP_308832.3")</f>
        <v>XP_308832.3</v>
      </c>
      <c r="EW80" s="2">
        <v>72</v>
      </c>
      <c r="EX80" s="2">
        <v>83</v>
      </c>
      <c r="EY80" s="2">
        <v>103</v>
      </c>
      <c r="EZ80" s="2" t="s">
        <v>105</v>
      </c>
    </row>
    <row r="81" spans="1:156" x14ac:dyDescent="0.25">
      <c r="A81" s="2" t="s">
        <v>1008</v>
      </c>
      <c r="B81" s="2">
        <v>0.38513855978035999</v>
      </c>
      <c r="C81" s="2">
        <f t="shared" si="1"/>
        <v>1.3059852109167964</v>
      </c>
      <c r="D81" s="2">
        <v>5.2781485901140899</v>
      </c>
      <c r="E81" s="2">
        <v>13.938490366208599</v>
      </c>
      <c r="F81" s="2">
        <v>1.8889063210829199E-4</v>
      </c>
      <c r="G81" s="2">
        <v>1.52739026539341E-2</v>
      </c>
      <c r="H81" s="2" t="s">
        <v>1009</v>
      </c>
      <c r="I81" s="2" t="s">
        <v>94</v>
      </c>
      <c r="J81" s="2" t="str">
        <f>HYPERLINK("https://vectorbase.org/vectorbase/app/record/gene/AGAP008393","AGAP008393-RA")</f>
        <v>AGAP008393-RA</v>
      </c>
      <c r="K81" s="2" t="str">
        <f>HYPERLINK(".\links\pep\AGAP008393-PA-pep.txt","AGAP008393-PA")</f>
        <v>AGAP008393-PA</v>
      </c>
      <c r="L81" s="12" t="s">
        <v>95</v>
      </c>
      <c r="M81" s="2">
        <v>127</v>
      </c>
      <c r="N81" s="2">
        <v>0</v>
      </c>
      <c r="O81" s="2">
        <v>1</v>
      </c>
      <c r="P81" s="2" t="s">
        <v>1010</v>
      </c>
      <c r="Q81" s="9" t="s">
        <v>1011</v>
      </c>
      <c r="R81" s="2" t="s">
        <v>420</v>
      </c>
      <c r="S81" s="2" t="str">
        <f>HYPERLINK(".\links\KOG\AGAP008393-PA-KOG.txt","KOG")</f>
        <v>KOG</v>
      </c>
      <c r="T81" s="2">
        <v>2E-50</v>
      </c>
      <c r="U81" s="2">
        <v>101.7</v>
      </c>
      <c r="V81" s="2" t="s">
        <v>1012</v>
      </c>
      <c r="W81" s="10" t="s">
        <v>1013</v>
      </c>
      <c r="X81" s="2" t="s">
        <v>420</v>
      </c>
      <c r="Y81" s="2" t="str">
        <f>HYPERLINK(".\links\REFSEQVERTEBRATE95\AGAP008393-PA-REFSEQVERTEBRATE95.txt","REFSEQVERTEBRATE95")</f>
        <v>REFSEQVERTEBRATE95</v>
      </c>
      <c r="Z81" s="15">
        <v>4E-73</v>
      </c>
      <c r="AA81" s="2">
        <v>99</v>
      </c>
      <c r="AB81" s="13" t="s">
        <v>102</v>
      </c>
      <c r="AC81" s="13" t="str">
        <f>HYPERLINK(".\links\Sigp\AGAP008393-PA-SigP.txt","CYT")</f>
        <v>CYT</v>
      </c>
      <c r="AD81" s="2" t="s">
        <v>102</v>
      </c>
      <c r="AE81" s="2">
        <v>14.895</v>
      </c>
      <c r="AF81" s="2">
        <v>5.17</v>
      </c>
      <c r="AG81" s="2" t="s">
        <v>102</v>
      </c>
      <c r="AH81" s="2" t="s">
        <v>102</v>
      </c>
      <c r="AI81" s="2" t="s">
        <v>211</v>
      </c>
      <c r="AJ81" s="13">
        <v>0</v>
      </c>
      <c r="AK81" s="2" t="s">
        <v>102</v>
      </c>
      <c r="AL81" s="2" t="s">
        <v>102</v>
      </c>
      <c r="AM81" s="2" t="s">
        <v>102</v>
      </c>
      <c r="AN81" s="13" t="str">
        <f>HYPERLINK(".\links\gpi\AGAP008393-PA-gpi.txt","N")</f>
        <v>N</v>
      </c>
      <c r="AO81" s="14" t="str">
        <f>HYPERLINK(".\links\netoglyc\AGAP008393-PA-netoglyc.txt","2")</f>
        <v>2</v>
      </c>
      <c r="AP81" s="13">
        <v>8.6999999999999993</v>
      </c>
      <c r="AQ81" s="2">
        <v>2.4</v>
      </c>
      <c r="AR81" s="2">
        <v>4.7</v>
      </c>
      <c r="AS81" s="2" t="s">
        <v>104</v>
      </c>
      <c r="AT81" s="9" t="str">
        <f>HYPERLINK(".\links\NR-LIGHT\AGAP008393-PA-NR-LIGHT.txt","AGAP008393-PA, partial")</f>
        <v>AGAP008393-PA, partial</v>
      </c>
      <c r="AU81" s="2" t="str">
        <f>HYPERLINK("http://www.ncbi.nlm.nih.gov/sutils/blink.cgi?pid=XP_317057.2","3E-074")</f>
        <v>3E-074</v>
      </c>
      <c r="AV81" s="2" t="str">
        <f>HYPERLINK("http://www.ncbi.nlm.nih.gov/protein/XP_317057.2","XP_317057.2")</f>
        <v>XP_317057.2</v>
      </c>
      <c r="AW81" s="2">
        <v>100</v>
      </c>
      <c r="AX81" s="2">
        <v>100</v>
      </c>
      <c r="AY81" s="2">
        <v>99</v>
      </c>
      <c r="AZ81" s="2" t="s">
        <v>105</v>
      </c>
      <c r="BA81" s="9" t="str">
        <f>HYPERLINK(".\links\REFSEQ-INVERTEBRATE\AGAP008393-PA-REFSEQ-INVERTEBRATE.txt","AGAP008393-PA, partial")</f>
        <v>AGAP008393-PA, partial</v>
      </c>
      <c r="BB81" s="2" t="str">
        <f>HYPERLINK("http://www.ncbi.nlm.nih.gov/sutils/blink.cgi?pid=XP_317057.2","3E-074")</f>
        <v>3E-074</v>
      </c>
      <c r="BC81" s="2" t="str">
        <f>HYPERLINK("http://www.ncbi.nlm.nih.gov/protein/XP_317057.2","XP_317057.2")</f>
        <v>XP_317057.2</v>
      </c>
      <c r="BD81" s="2">
        <v>100</v>
      </c>
      <c r="BE81" s="2">
        <v>100</v>
      </c>
      <c r="BF81" s="2">
        <v>99</v>
      </c>
      <c r="BG81" s="2" t="s">
        <v>105</v>
      </c>
      <c r="BH81" s="9" t="str">
        <f>HYPERLINK(".\links\REFSEQ-PROTOZOA\AGAP008393-PA-REFSEQ-PROTOZOA.txt","RNA polymerase II core subunit")</f>
        <v>RNA polymerase II core subunit</v>
      </c>
      <c r="BI81" s="2" t="str">
        <f>HYPERLINK("http://www.ncbi.nlm.nih.gov/sutils/blink.cgi?pid=XP_003291110.1","3E-030")</f>
        <v>3E-030</v>
      </c>
      <c r="BJ81" s="2" t="str">
        <f>HYPERLINK("http://www.ncbi.nlm.nih.gov/protein/XP_003291110.1","XP_003291110.1")</f>
        <v>XP_003291110.1</v>
      </c>
      <c r="BK81" s="2">
        <v>53</v>
      </c>
      <c r="BL81" s="2">
        <v>68</v>
      </c>
      <c r="BM81" s="2">
        <v>101</v>
      </c>
      <c r="BN81" s="2" t="s">
        <v>337</v>
      </c>
      <c r="BO81" s="9" t="str">
        <f>HYPERLINK(".\links\SWISSP\AGAP008393-PA-SWISSP.txt","DNA-directed RNA polymerase II subunit RPB9")</f>
        <v>DNA-directed RNA polymerase II subunit RPB9</v>
      </c>
      <c r="BP81" s="2" t="str">
        <f>HYPERLINK("http://www.uniprot.org/uniprot/P36958","1E-070")</f>
        <v>1E-070</v>
      </c>
      <c r="BQ81" s="2" t="str">
        <f>HYPERLINK("http://www.uniprot.org/uniprot/P36958#expression","P36958")</f>
        <v>P36958</v>
      </c>
      <c r="BR81" s="2">
        <v>94</v>
      </c>
      <c r="BS81" s="2">
        <v>97</v>
      </c>
      <c r="BT81" s="2">
        <v>98</v>
      </c>
      <c r="BU81" s="2" t="s">
        <v>107</v>
      </c>
      <c r="BV81" s="9" t="str">
        <f>HYPERLINK(".\links\FLYBASE\AGAP008393-PA-FLYBASE.txt","FBpp0312065")</f>
        <v>FBpp0312065</v>
      </c>
      <c r="BW81" s="2" t="str">
        <f>HYPERLINK("http://flybase.org/reports/FBgn0004855#alliance_summary_container","2E-89")</f>
        <v>2E-89</v>
      </c>
      <c r="BX81" s="2">
        <v>129</v>
      </c>
      <c r="BY81" s="2">
        <v>94</v>
      </c>
      <c r="BZ81" s="2">
        <v>97</v>
      </c>
      <c r="CA81" s="2">
        <v>98</v>
      </c>
      <c r="CB81" s="9" t="str">
        <f>HYPERLINK(".\links\CDD\AGAP008393-PA-CDD.txt","Zn-ribbon_RPB9, C-terminal zinc ribbon domain of RPB9 subunit of RNA polymerase II")</f>
        <v>Zn-ribbon_RPB9, C-terminal zinc ribbon domain of RPB9 subunit of RNA polymerase II</v>
      </c>
      <c r="CC81" s="15">
        <v>1.9999999999999999E-20</v>
      </c>
      <c r="CD81" s="2">
        <v>104.1</v>
      </c>
      <c r="CE81" s="2" t="s">
        <v>1014</v>
      </c>
      <c r="CF81" s="2" t="s">
        <v>1015</v>
      </c>
      <c r="CG81" s="9" t="str">
        <f>HYPERLINK(".\links\KOG\AGAP008393-PA-KOG.txt","RNA polymerase II subunit 9")</f>
        <v>RNA polymerase II subunit 9</v>
      </c>
      <c r="CH81" s="15">
        <v>2E-50</v>
      </c>
      <c r="CI81" s="2">
        <v>101.8</v>
      </c>
      <c r="CJ81" s="2" t="s">
        <v>1016</v>
      </c>
      <c r="CK81" s="2" t="s">
        <v>309</v>
      </c>
      <c r="CL81" s="9" t="str">
        <f>HYPERLINK(".\links\PFAM\AGAP008393-PA-PFAM.txt","TFIIS_C, Transcription factor S-II (TFIIS)")</f>
        <v>TFIIS_C, Transcription factor S-II (TFIIS)</v>
      </c>
      <c r="CM81" s="15">
        <v>2.0000000000000001E-10</v>
      </c>
      <c r="CN81" s="2">
        <v>105.1</v>
      </c>
      <c r="CO81" s="2" t="s">
        <v>1017</v>
      </c>
      <c r="CP81" s="9" t="str">
        <f>HYPERLINK(".\links\SMART\AGAP008393-PA-SMART.txt","RPOL9, RNA polymerase subunit 9")</f>
        <v>RPOL9, RNA polymerase subunit 9</v>
      </c>
      <c r="CQ81" s="15">
        <v>4E-14</v>
      </c>
      <c r="CR81" s="2">
        <v>103.8</v>
      </c>
      <c r="CS81" s="2" t="s">
        <v>1018</v>
      </c>
      <c r="CT81" s="2" t="s">
        <v>1012</v>
      </c>
      <c r="CU81" s="2" t="s">
        <v>1012</v>
      </c>
      <c r="CV81" s="2" t="s">
        <v>1012</v>
      </c>
      <c r="CW81" s="2" t="str">
        <f>HYPERLINK(".\links\pep\AGAP008393-PA-pep.txt","AGAP008393-PA")</f>
        <v>AGAP008393-PA</v>
      </c>
      <c r="CX81" s="2" t="s">
        <v>95</v>
      </c>
      <c r="CY81" s="2">
        <v>127</v>
      </c>
      <c r="CZ81" s="2" t="s">
        <v>113</v>
      </c>
      <c r="DA81" s="2" t="s">
        <v>1019</v>
      </c>
      <c r="DB81" s="2">
        <v>0</v>
      </c>
      <c r="DC81" s="2">
        <v>1</v>
      </c>
      <c r="DD81" s="2" t="str">
        <f>HYPERLINK("https://www.kegg.jp/kegg-bin/search_pathway_text?map=aga&amp;keyword=AGAP008393&amp;mode=1&amp;viewImage=true","AGAP008393")</f>
        <v>AGAP008393</v>
      </c>
      <c r="DE81" s="2" t="s">
        <v>1008</v>
      </c>
      <c r="DF81" s="2" t="s">
        <v>1009</v>
      </c>
      <c r="DG81" s="2" t="s">
        <v>94</v>
      </c>
      <c r="DH81" s="2" t="str">
        <f>HYPERLINK("https://vectorbase.org/vectorbase/app/record/gene/AGAP008393","AGAP008393-RA")</f>
        <v>AGAP008393-RA</v>
      </c>
      <c r="DI81" s="2" t="s">
        <v>135</v>
      </c>
      <c r="DJ81" s="2">
        <v>567</v>
      </c>
      <c r="DK81" s="2" t="str">
        <f>HYPERLINK(".\links\netoglyc\AGAP008393-PA-netoglyc.txt","2")</f>
        <v>2</v>
      </c>
      <c r="DL81" s="2">
        <v>8.6999999999999993</v>
      </c>
      <c r="DM81" s="2">
        <v>2.4</v>
      </c>
      <c r="DN81" s="2">
        <v>4.7</v>
      </c>
      <c r="DO81" s="2" t="s">
        <v>104</v>
      </c>
      <c r="DP81" s="2" t="s">
        <v>102</v>
      </c>
      <c r="DQ81" s="2" t="str">
        <f>HYPERLINK(".\links\Sigp\AGAP008393-PA-SigP.txt","CYT")</f>
        <v>CYT</v>
      </c>
      <c r="DR81" s="2" t="s">
        <v>102</v>
      </c>
      <c r="DS81" s="2">
        <v>14.895</v>
      </c>
      <c r="DT81" s="2">
        <v>5.17</v>
      </c>
      <c r="DU81" s="2" t="s">
        <v>102</v>
      </c>
      <c r="DV81" s="2" t="s">
        <v>102</v>
      </c>
      <c r="DW81" s="2" t="s">
        <v>211</v>
      </c>
      <c r="DX81" s="2">
        <v>127</v>
      </c>
      <c r="DY81" s="12">
        <v>0</v>
      </c>
      <c r="DZ81" s="2" t="s">
        <v>102</v>
      </c>
      <c r="EA81" s="2" t="s">
        <v>102</v>
      </c>
      <c r="EB81" s="2" t="s">
        <v>102</v>
      </c>
      <c r="EC81" s="2" t="str">
        <f>HYPERLINK(".\links\gpi\AGAP008393-PA-gpi.txt","N")</f>
        <v>N</v>
      </c>
      <c r="ED81" s="2">
        <v>0.39</v>
      </c>
      <c r="EE81" s="2" t="s">
        <v>1020</v>
      </c>
      <c r="EF81" s="2">
        <v>10</v>
      </c>
      <c r="EG81" s="2" t="s">
        <v>102</v>
      </c>
      <c r="EH81" s="2" t="s">
        <v>102</v>
      </c>
      <c r="EI81" s="2">
        <v>8.6614173228346498</v>
      </c>
      <c r="EJ81" s="2">
        <v>4.7244094488188999</v>
      </c>
      <c r="EK81" s="2">
        <v>2.36220472440945</v>
      </c>
      <c r="EL81" s="2">
        <v>7.0866141732283499</v>
      </c>
      <c r="EM81" s="2">
        <v>1</v>
      </c>
      <c r="EN81" s="2" t="s">
        <v>102</v>
      </c>
      <c r="EO81" s="2">
        <v>1</v>
      </c>
      <c r="EP81" s="2" t="s">
        <v>102</v>
      </c>
      <c r="EQ81" s="2" t="s">
        <v>102</v>
      </c>
      <c r="ER81" s="2" t="s">
        <v>102</v>
      </c>
      <c r="ES81" s="2" t="s">
        <v>102</v>
      </c>
      <c r="ET81" s="2" t="str">
        <f>HYPERLINK(".\links\REFSEQ-INVERTEBRATE\AGAP008393-PA-REFSEQ-INVERTEBRATE.txt","AGAP008393-PA, partial")</f>
        <v>AGAP008393-PA, partial</v>
      </c>
      <c r="EU81" s="2" t="str">
        <f>HYPERLINK("http://www.ncbi.nlm.nih.gov/sutils/blink.cgi?pid=XP_317057.2","1E-92")</f>
        <v>1E-92</v>
      </c>
      <c r="EV81" s="2" t="str">
        <f>HYPERLINK("http://www.ncbi.nlm.nih.gov/protein/XP_317057.2","XP_317057.2")</f>
        <v>XP_317057.2</v>
      </c>
      <c r="EW81" s="2">
        <v>100</v>
      </c>
      <c r="EX81" s="2">
        <v>100</v>
      </c>
      <c r="EY81" s="2">
        <v>99</v>
      </c>
      <c r="EZ81" s="2" t="s">
        <v>105</v>
      </c>
    </row>
    <row r="82" spans="1:156" x14ac:dyDescent="0.25">
      <c r="A82" s="2" t="s">
        <v>1021</v>
      </c>
      <c r="B82" s="2">
        <v>0.38508186443223102</v>
      </c>
      <c r="C82" s="2">
        <f t="shared" si="1"/>
        <v>1.3059338890301744</v>
      </c>
      <c r="D82" s="2">
        <v>5.2771140144353401</v>
      </c>
      <c r="E82" s="2">
        <v>15.973310926341499</v>
      </c>
      <c r="F82" s="2">
        <v>6.4241795474565406E-5</v>
      </c>
      <c r="G82" s="2">
        <v>8.7458876960918395E-3</v>
      </c>
      <c r="H82" s="2" t="s">
        <v>1022</v>
      </c>
      <c r="I82" s="2" t="s">
        <v>94</v>
      </c>
      <c r="J82" s="2" t="str">
        <f>HYPERLINK("https://vectorbase.org/vectorbase/app/record/gene/AGAP001233","AGAP001233-RA")</f>
        <v>AGAP001233-RA</v>
      </c>
      <c r="K82" s="2" t="str">
        <f>HYPERLINK(".\links\pep\AGAP001233-PA-pep.txt","AGAP001233-PA")</f>
        <v>AGAP001233-PA</v>
      </c>
      <c r="L82" s="12" t="s">
        <v>95</v>
      </c>
      <c r="M82" s="2">
        <v>447</v>
      </c>
      <c r="N82" s="2">
        <v>0</v>
      </c>
      <c r="O82" s="2">
        <v>2</v>
      </c>
      <c r="P82" s="2" t="s">
        <v>1023</v>
      </c>
      <c r="Q82" s="9" t="s">
        <v>1024</v>
      </c>
      <c r="R82" s="2" t="s">
        <v>771</v>
      </c>
      <c r="S82" s="2" t="str">
        <f>HYPERLINK(".\links\REFSEQ-INVERTEBRATE\AGAP001233-PA-REFSEQ-INVERTEBRATE.txt","REFSEQ-INVERTEBRATE")</f>
        <v>REFSEQ-INVERTEBRATE</v>
      </c>
      <c r="T82" s="2">
        <v>0</v>
      </c>
      <c r="U82" s="2">
        <v>100.4</v>
      </c>
      <c r="V82" s="2" t="s">
        <v>1025</v>
      </c>
      <c r="W82" s="10" t="s">
        <v>1026</v>
      </c>
      <c r="X82" s="2" t="s">
        <v>771</v>
      </c>
      <c r="Y82" s="2" t="str">
        <f>HYPERLINK(".\links\REFSEQ-INVERTEBRATE\AGAP001233-PA-REFSEQ-INVERTEBRATE.txt","REFSEQ-INVERTEBRATE")</f>
        <v>REFSEQ-INVERTEBRATE</v>
      </c>
      <c r="Z82" s="2">
        <v>0</v>
      </c>
      <c r="AA82" s="2">
        <v>99.5</v>
      </c>
      <c r="AB82" s="13" t="str">
        <f>HYPERLINK(".\links\pep\AGAP001233-PA-sulf.txt","3")</f>
        <v>3</v>
      </c>
      <c r="AC82" s="13" t="str">
        <f>HYPERLINK(".\links\Sigp\AGAP001233-PA-SigP.txt","CYT")</f>
        <v>CYT</v>
      </c>
      <c r="AD82" s="2" t="s">
        <v>102</v>
      </c>
      <c r="AE82" s="2">
        <v>51.323999999999998</v>
      </c>
      <c r="AF82" s="2">
        <v>6.26</v>
      </c>
      <c r="AG82" s="2" t="s">
        <v>102</v>
      </c>
      <c r="AH82" s="2" t="s">
        <v>102</v>
      </c>
      <c r="AI82" s="2" t="s">
        <v>611</v>
      </c>
      <c r="AJ82" s="13">
        <v>0</v>
      </c>
      <c r="AK82" s="2" t="s">
        <v>102</v>
      </c>
      <c r="AL82" s="2" t="s">
        <v>102</v>
      </c>
      <c r="AM82" s="2" t="s">
        <v>102</v>
      </c>
      <c r="AN82" s="13" t="str">
        <f>HYPERLINK(".\links\gpi\AGAP001233-PA-gpi.txt","N")</f>
        <v>N</v>
      </c>
      <c r="AO82" s="14" t="str">
        <f>HYPERLINK(".\links\netoglyc\AGAP001233-PA-netoglyc.txt","0")</f>
        <v>0</v>
      </c>
      <c r="AP82" s="13">
        <v>12.1</v>
      </c>
      <c r="AQ82" s="2">
        <v>3.8</v>
      </c>
      <c r="AR82" s="2">
        <v>2.5</v>
      </c>
      <c r="AS82" s="2" t="s">
        <v>104</v>
      </c>
      <c r="AT82" s="9" t="str">
        <f>HYPERLINK(".\links\NR-LIGHT\AGAP001233-PA-NR-LIGHT.txt","AGAP001233-PA")</f>
        <v>AGAP001233-PA</v>
      </c>
      <c r="AU82" s="2" t="str">
        <f>HYPERLINK("http://www.ncbi.nlm.nih.gov/sutils/blink.cgi?pid=XP_321923.5","0.0")</f>
        <v>0.0</v>
      </c>
      <c r="AV82" s="2" t="str">
        <f>HYPERLINK("http://www.ncbi.nlm.nih.gov/protein/XP_321923.5","XP_321923.5")</f>
        <v>XP_321923.5</v>
      </c>
      <c r="AW82" s="2">
        <v>100</v>
      </c>
      <c r="AX82" s="2">
        <v>100</v>
      </c>
      <c r="AY82" s="2">
        <v>100</v>
      </c>
      <c r="AZ82" s="2" t="s">
        <v>105</v>
      </c>
      <c r="BA82" s="9" t="str">
        <f>HYPERLINK(".\links\REFSEQ-INVERTEBRATE\AGAP001233-PA-REFSEQ-INVERTEBRATE.txt","AGAP001233-PA")</f>
        <v>AGAP001233-PA</v>
      </c>
      <c r="BB82" s="2" t="str">
        <f>HYPERLINK("http://www.ncbi.nlm.nih.gov/sutils/blink.cgi?pid=XP_321923.5","0.0")</f>
        <v>0.0</v>
      </c>
      <c r="BC82" s="2" t="str">
        <f>HYPERLINK("http://www.ncbi.nlm.nih.gov/protein/XP_321923.5","XP_321923.5")</f>
        <v>XP_321923.5</v>
      </c>
      <c r="BD82" s="2">
        <v>100</v>
      </c>
      <c r="BE82" s="2">
        <v>100</v>
      </c>
      <c r="BF82" s="2">
        <v>100</v>
      </c>
      <c r="BG82" s="2" t="s">
        <v>105</v>
      </c>
      <c r="BH82" s="9" t="str">
        <f>HYPERLINK(".\links\REFSEQ-PROTOZOA\AGAP001233-PA-REFSEQ-PROTOZOA.txt","hypothetical protein ACA1_189380")</f>
        <v>hypothetical protein ACA1_189380</v>
      </c>
      <c r="BI82" s="2" t="str">
        <f>HYPERLINK("http://www.ncbi.nlm.nih.gov/sutils/blink.cgi?pid=XP_004333296.1","2E-007")</f>
        <v>2E-007</v>
      </c>
      <c r="BJ82" s="2" t="str">
        <f>HYPERLINK("http://www.ncbi.nlm.nih.gov/protein/XP_004333296.1","XP_004333296.1")</f>
        <v>XP_004333296.1</v>
      </c>
      <c r="BK82" s="2">
        <v>23</v>
      </c>
      <c r="BL82" s="2">
        <v>39</v>
      </c>
      <c r="BM82" s="2">
        <v>48</v>
      </c>
      <c r="BN82" s="2" t="s">
        <v>600</v>
      </c>
      <c r="BO82" s="9" t="str">
        <f>HYPERLINK(".\links\SWISSP\AGAP001233-PA-SWISSP.txt","Vacuolar protein sorting-associated protein 16B")</f>
        <v>Vacuolar protein sorting-associated protein 16B</v>
      </c>
      <c r="BP82" s="2" t="str">
        <f>HYPERLINK("http://www.uniprot.org/uniprot/Q9VAG4","1E-070")</f>
        <v>1E-070</v>
      </c>
      <c r="BQ82" s="2" t="str">
        <f>HYPERLINK("http://www.uniprot.org/uniprot/Q9VAG4#expression","Q9VAG4")</f>
        <v>Q9VAG4</v>
      </c>
      <c r="BR82" s="2">
        <v>35</v>
      </c>
      <c r="BS82" s="2">
        <v>58</v>
      </c>
      <c r="BT82" s="2">
        <v>101</v>
      </c>
      <c r="BU82" s="2" t="s">
        <v>107</v>
      </c>
      <c r="BV82" s="9" t="str">
        <f>HYPERLINK(".\links\FLYBASE\AGAP001233-PA-FLYBASE.txt","FBpp0084899")</f>
        <v>FBpp0084899</v>
      </c>
      <c r="BW82" s="2" t="str">
        <f>HYPERLINK("http://flybase.org/reports/FBgn0039702#alliance_summary_container","2E-81")</f>
        <v>2E-81</v>
      </c>
      <c r="BX82" s="2">
        <v>447</v>
      </c>
      <c r="BY82" s="2">
        <v>35</v>
      </c>
      <c r="BZ82" s="2">
        <v>59</v>
      </c>
      <c r="CA82" s="2">
        <v>100</v>
      </c>
      <c r="CB82" s="9" t="str">
        <f>HYPERLINK(".\links\CDD\AGAP001233-PA-CDD.txt","FlgM, Negative regulator of flagellin synthesis (anti-sigma28 factor)")</f>
        <v>FlgM, Negative regulator of flagellin synthesis (anti-sigma28 factor)</v>
      </c>
      <c r="CC82" s="15">
        <v>2.5000000000000001E-2</v>
      </c>
      <c r="CD82" s="2">
        <v>57</v>
      </c>
      <c r="CE82" s="2" t="s">
        <v>1027</v>
      </c>
      <c r="CF82" s="2" t="s">
        <v>1028</v>
      </c>
      <c r="CG82" s="9" t="str">
        <f>HYPERLINK(".\links\KOG\AGAP001233-PA-KOG.txt","Golgi integral membrane protein")</f>
        <v>Golgi integral membrane protein</v>
      </c>
      <c r="CH82" s="15">
        <v>4.9999999999999998E-7</v>
      </c>
      <c r="CI82" s="2">
        <v>63.2</v>
      </c>
      <c r="CJ82" s="2" t="s">
        <v>1029</v>
      </c>
      <c r="CK82" s="2" t="s">
        <v>1030</v>
      </c>
      <c r="CL82" s="9" t="str">
        <f>HYPERLINK(".\links\PFAM\AGAP001233-PA-PFAM.txt","Thioredoxin_9, Thioredoxin")</f>
        <v>Thioredoxin_9, Thioredoxin</v>
      </c>
      <c r="CM82" s="15">
        <v>0.32</v>
      </c>
      <c r="CN82" s="2">
        <v>93</v>
      </c>
      <c r="CO82" s="2" t="s">
        <v>1031</v>
      </c>
      <c r="CP82" s="9" t="str">
        <f>HYPERLINK(".\links\SMART\AGAP001233-PA-SMART.txt","POL3Bc, DNA polymerase III beta subunit")</f>
        <v>POL3Bc, DNA polymerase III beta subunit</v>
      </c>
      <c r="CQ82" s="15">
        <v>1.4</v>
      </c>
      <c r="CR82" s="2">
        <v>10.1</v>
      </c>
      <c r="CS82" s="2" t="s">
        <v>1032</v>
      </c>
      <c r="CT82" s="2" t="s">
        <v>1025</v>
      </c>
      <c r="CU82" s="2" t="s">
        <v>1025</v>
      </c>
      <c r="CV82" s="2" t="s">
        <v>1025</v>
      </c>
      <c r="CW82" s="2" t="str">
        <f>HYPERLINK(".\links\pep\AGAP001233-PA-pep.txt","AGAP001233-PA")</f>
        <v>AGAP001233-PA</v>
      </c>
      <c r="CX82" s="2" t="s">
        <v>95</v>
      </c>
      <c r="CY82" s="2">
        <v>447</v>
      </c>
      <c r="CZ82" s="2" t="s">
        <v>113</v>
      </c>
      <c r="DA82" s="2" t="s">
        <v>1033</v>
      </c>
      <c r="DB82" s="2">
        <v>0</v>
      </c>
      <c r="DC82" s="2">
        <v>2</v>
      </c>
      <c r="DD82" s="2" t="str">
        <f>HYPERLINK("https://www.kegg.jp/kegg-bin/search_pathway_text?map=aga&amp;keyword=AGAP001233&amp;mode=1&amp;viewImage=true","AGAP001233")</f>
        <v>AGAP001233</v>
      </c>
      <c r="DE82" s="2" t="s">
        <v>1021</v>
      </c>
      <c r="DF82" s="2" t="s">
        <v>1022</v>
      </c>
      <c r="DG82" s="2" t="s">
        <v>94</v>
      </c>
      <c r="DH82" s="2" t="str">
        <f>HYPERLINK("https://vectorbase.org/vectorbase/app/record/gene/AGAP001233","AGAP001233-RA")</f>
        <v>AGAP001233-RA</v>
      </c>
      <c r="DI82" s="2" t="s">
        <v>115</v>
      </c>
      <c r="DJ82" s="2">
        <v>1453</v>
      </c>
      <c r="DK82" s="2" t="str">
        <f>HYPERLINK(".\links\netoglyc\AGAP001233-PA-netoglyc.txt","0")</f>
        <v>0</v>
      </c>
      <c r="DL82" s="2">
        <v>12.1</v>
      </c>
      <c r="DM82" s="2">
        <v>3.8</v>
      </c>
      <c r="DN82" s="2">
        <v>2.5</v>
      </c>
      <c r="DO82" s="2" t="s">
        <v>104</v>
      </c>
      <c r="DP82" s="2" t="s">
        <v>1034</v>
      </c>
      <c r="DQ82" s="2" t="str">
        <f>HYPERLINK(".\links\Sigp\AGAP001233-PA-SigP.txt","CYT")</f>
        <v>CYT</v>
      </c>
      <c r="DR82" s="2" t="s">
        <v>102</v>
      </c>
      <c r="DS82" s="2">
        <v>51.323999999999998</v>
      </c>
      <c r="DT82" s="2">
        <v>6.26</v>
      </c>
      <c r="DU82" s="2" t="s">
        <v>102</v>
      </c>
      <c r="DV82" s="2" t="s">
        <v>102</v>
      </c>
      <c r="DW82" s="2" t="s">
        <v>611</v>
      </c>
      <c r="DX82" s="2">
        <v>447</v>
      </c>
      <c r="DY82" s="12">
        <v>0</v>
      </c>
      <c r="DZ82" s="2" t="s">
        <v>102</v>
      </c>
      <c r="EA82" s="2" t="s">
        <v>102</v>
      </c>
      <c r="EB82" s="2" t="s">
        <v>102</v>
      </c>
      <c r="EC82" s="2" t="str">
        <f>HYPERLINK(".\links\gpi\AGAP001233-PA-gpi.txt","Y-NoSP")</f>
        <v>Y-NoSP</v>
      </c>
      <c r="ED82" s="2">
        <v>0.26</v>
      </c>
      <c r="EF82" s="2">
        <v>4</v>
      </c>
      <c r="EG82" s="2" t="str">
        <f>HYPERLINK(".\links\pep\AGAP001233-PA-sulf.txt","3")</f>
        <v>3</v>
      </c>
      <c r="EH82" s="2" t="s">
        <v>102</v>
      </c>
      <c r="EI82" s="2">
        <v>12.0805369127517</v>
      </c>
      <c r="EJ82" s="2">
        <v>2.46085011185682</v>
      </c>
      <c r="EK82" s="2">
        <v>3.8031319910514498</v>
      </c>
      <c r="EL82" s="2">
        <v>6.2639821029082796</v>
      </c>
      <c r="EM82" s="2" t="s">
        <v>102</v>
      </c>
      <c r="EN82" s="2">
        <v>1</v>
      </c>
      <c r="EO82" s="2">
        <v>2</v>
      </c>
      <c r="EP82" s="2" t="s">
        <v>102</v>
      </c>
      <c r="EQ82" s="2" t="s">
        <v>102</v>
      </c>
      <c r="ER82" s="2" t="s">
        <v>102</v>
      </c>
      <c r="ES82" s="2" t="s">
        <v>102</v>
      </c>
      <c r="ET82" s="2" t="str">
        <f>HYPERLINK(".\links\REFSEQ-INVERTEBRATE\AGAP001233-PA-REFSEQ-INVERTEBRATE.txt","AGAP001233-PA")</f>
        <v>AGAP001233-PA</v>
      </c>
      <c r="EU82" s="2" t="str">
        <f>HYPERLINK("http://www.ncbi.nlm.nih.gov/sutils/blink.cgi?pid=XP_321923.5","0.0")</f>
        <v>0.0</v>
      </c>
      <c r="EV82" s="2" t="str">
        <f>HYPERLINK("http://www.ncbi.nlm.nih.gov/protein/XP_321923.5","XP_321923.5")</f>
        <v>XP_321923.5</v>
      </c>
      <c r="EW82" s="2">
        <v>100</v>
      </c>
      <c r="EX82" s="2">
        <v>100</v>
      </c>
      <c r="EY82" s="2">
        <v>100</v>
      </c>
      <c r="EZ82" s="2" t="s">
        <v>105</v>
      </c>
    </row>
    <row r="83" spans="1:156" x14ac:dyDescent="0.25">
      <c r="A83" s="2" t="s">
        <v>1035</v>
      </c>
      <c r="B83" s="2">
        <v>0.38488719940112998</v>
      </c>
      <c r="C83" s="2">
        <f t="shared" si="1"/>
        <v>1.3057576892765408</v>
      </c>
      <c r="D83" s="2">
        <v>8.6650128155751496</v>
      </c>
      <c r="E83" s="2">
        <v>11.369589006959799</v>
      </c>
      <c r="F83" s="2">
        <v>7.4656395552382803E-4</v>
      </c>
      <c r="G83" s="2">
        <v>2.94295511267493E-2</v>
      </c>
      <c r="H83" s="2" t="s">
        <v>1036</v>
      </c>
      <c r="I83" s="2" t="s">
        <v>94</v>
      </c>
      <c r="J83" s="2" t="str">
        <f>HYPERLINK("https://vectorbase.org/vectorbase/app/record/gene/AGAP001104","AGAP001104-RA")</f>
        <v>AGAP001104-RA</v>
      </c>
      <c r="K83" s="2" t="str">
        <f>HYPERLINK(".\links\pep\AGAP001104-PA-pep.txt","AGAP001104-PA")</f>
        <v>AGAP001104-PA</v>
      </c>
      <c r="L83" s="12" t="s">
        <v>95</v>
      </c>
      <c r="M83" s="2">
        <v>1095</v>
      </c>
      <c r="N83" s="2">
        <v>0</v>
      </c>
      <c r="O83" s="2">
        <v>3</v>
      </c>
      <c r="P83" s="2" t="s">
        <v>1037</v>
      </c>
      <c r="Q83" s="9" t="s">
        <v>1038</v>
      </c>
      <c r="R83" s="2" t="s">
        <v>388</v>
      </c>
      <c r="S83" s="2" t="str">
        <f>HYPERLINK(".\links\KOG\AGAP001104-PA-KOG.txt","KOG")</f>
        <v>KOG</v>
      </c>
      <c r="T83" s="2">
        <v>6.9999999999999999E-50</v>
      </c>
      <c r="U83" s="2">
        <v>85</v>
      </c>
      <c r="V83" s="2" t="s">
        <v>1039</v>
      </c>
      <c r="W83" s="10" t="s">
        <v>1040</v>
      </c>
      <c r="X83" s="2" t="s">
        <v>388</v>
      </c>
      <c r="Y83" s="2" t="str">
        <f>HYPERLINK(".\links\ARTHORPODA\AGAP001104-PA-ARTHORPODA.txt","ARTHORPODA")</f>
        <v>ARTHORPODA</v>
      </c>
      <c r="Z83" s="2">
        <v>0</v>
      </c>
      <c r="AA83" s="2">
        <v>100</v>
      </c>
      <c r="AB83" s="13" t="str">
        <f>HYPERLINK(".\links\pep\AGAP001104-PA-sulf.txt","1")</f>
        <v>1</v>
      </c>
      <c r="AC83" s="13" t="str">
        <f>HYPERLINK(".\links\Sigp\AGAP001104-PA-SigP.txt","CYT")</f>
        <v>CYT</v>
      </c>
      <c r="AD83" s="2" t="s">
        <v>102</v>
      </c>
      <c r="AE83" s="2">
        <v>126.56399999999999</v>
      </c>
      <c r="AF83" s="2">
        <v>6.21</v>
      </c>
      <c r="AG83" s="2" t="s">
        <v>102</v>
      </c>
      <c r="AH83" s="2" t="s">
        <v>102</v>
      </c>
      <c r="AI83" s="2" t="s">
        <v>211</v>
      </c>
      <c r="AJ83" s="13">
        <v>0</v>
      </c>
      <c r="AK83" s="2" t="s">
        <v>102</v>
      </c>
      <c r="AL83" s="2" t="s">
        <v>102</v>
      </c>
      <c r="AM83" s="2" t="s">
        <v>102</v>
      </c>
      <c r="AN83" s="13" t="str">
        <f>HYPERLINK(".\links\gpi\AGAP001104-PA-gpi.txt","N")</f>
        <v>N</v>
      </c>
      <c r="AO83" s="14" t="str">
        <f>HYPERLINK(".\links\netoglyc\AGAP001104-PA-netoglyc.txt","0")</f>
        <v>0</v>
      </c>
      <c r="AP83" s="13">
        <v>13.9</v>
      </c>
      <c r="AQ83" s="2">
        <v>3.3</v>
      </c>
      <c r="AR83" s="2">
        <v>3.7</v>
      </c>
      <c r="AS83" s="2" t="s">
        <v>104</v>
      </c>
      <c r="AT83" s="9" t="str">
        <f>HYPERLINK(".\links\NR-LIGHT\AGAP001104-PA-NR-LIGHT.txt","AGAP001104-PA")</f>
        <v>AGAP001104-PA</v>
      </c>
      <c r="AU83" s="2" t="str">
        <f>HYPERLINK("http://www.ncbi.nlm.nih.gov/sutils/blink.cgi?pid=XP_322063.5","0.0")</f>
        <v>0.0</v>
      </c>
      <c r="AV83" s="2" t="str">
        <f>HYPERLINK("http://www.ncbi.nlm.nih.gov/protein/XP_322063.5","XP_322063.5")</f>
        <v>XP_322063.5</v>
      </c>
      <c r="AW83" s="2">
        <v>95</v>
      </c>
      <c r="AX83" s="2">
        <v>95</v>
      </c>
      <c r="AY83" s="2">
        <v>102</v>
      </c>
      <c r="AZ83" s="2" t="s">
        <v>105</v>
      </c>
      <c r="BA83" s="9" t="str">
        <f>HYPERLINK(".\links\REFSEQ-INVERTEBRATE\AGAP001104-PA-REFSEQ-INVERTEBRATE.txt","AGAP001104-PA")</f>
        <v>AGAP001104-PA</v>
      </c>
      <c r="BB83" s="2" t="str">
        <f>HYPERLINK("http://www.ncbi.nlm.nih.gov/sutils/blink.cgi?pid=XP_322063.5","0.0")</f>
        <v>0.0</v>
      </c>
      <c r="BC83" s="2" t="str">
        <f>HYPERLINK("http://www.ncbi.nlm.nih.gov/protein/XP_322063.5","XP_322063.5")</f>
        <v>XP_322063.5</v>
      </c>
      <c r="BD83" s="2">
        <v>95</v>
      </c>
      <c r="BE83" s="2">
        <v>95</v>
      </c>
      <c r="BF83" s="2">
        <v>102</v>
      </c>
      <c r="BG83" s="2" t="s">
        <v>105</v>
      </c>
      <c r="BH83" s="9" t="str">
        <f>HYPERLINK(".\links\REFSEQ-PROTOZOA\AGAP001104-PA-REFSEQ-PROTOZOA.txt","hypothetical protein PTSG_12901")</f>
        <v>hypothetical protein PTSG_12901</v>
      </c>
      <c r="BI83" s="2" t="str">
        <f>HYPERLINK("http://www.ncbi.nlm.nih.gov/sutils/blink.cgi?pid=XP_004990010.1","5E-047")</f>
        <v>5E-047</v>
      </c>
      <c r="BJ83" s="2" t="str">
        <f>HYPERLINK("http://www.ncbi.nlm.nih.gov/protein/XP_004990010.1","XP_004990010.1")</f>
        <v>XP_004990010.1</v>
      </c>
      <c r="BK83" s="2">
        <v>24</v>
      </c>
      <c r="BL83" s="2">
        <v>42</v>
      </c>
      <c r="BM83" s="2">
        <v>66</v>
      </c>
      <c r="BN83" s="2" t="s">
        <v>435</v>
      </c>
      <c r="BO83" s="9" t="str">
        <f>HYPERLINK(".\links\SWISSP\AGAP001104-PA-SWISSP.txt","Chromatin assembly factor 1 subunit A-A")</f>
        <v>Chromatin assembly factor 1 subunit A-A</v>
      </c>
      <c r="BP83" s="2" t="str">
        <f>HYPERLINK("http://www.uniprot.org/uniprot/Q98TA5","1E-067")</f>
        <v>1E-067</v>
      </c>
      <c r="BQ83" s="2" t="str">
        <f>HYPERLINK("http://www.uniprot.org/uniprot/Q98TA5#expression","Q98TA5")</f>
        <v>Q98TA5</v>
      </c>
      <c r="BR83" s="2">
        <v>27</v>
      </c>
      <c r="BS83" s="2">
        <v>46</v>
      </c>
      <c r="BT83" s="2">
        <v>96</v>
      </c>
      <c r="BU83" s="2" t="s">
        <v>625</v>
      </c>
      <c r="BV83" s="9" t="str">
        <f>HYPERLINK(".\links\FLYBASE\AGAP001104-PA-FLYBASE.txt","FBpp0071172")</f>
        <v>FBpp0071172</v>
      </c>
      <c r="BW83" s="2" t="str">
        <f>HYPERLINK("http://flybase.org/reports/FBgn0030054#alliance_summary_container","6E-87")</f>
        <v>6E-87</v>
      </c>
      <c r="BX83" s="2">
        <v>1183</v>
      </c>
      <c r="BY83" s="2">
        <v>34</v>
      </c>
      <c r="BZ83" s="2">
        <v>50</v>
      </c>
      <c r="CA83" s="2">
        <v>65</v>
      </c>
      <c r="CB83" s="9" t="str">
        <f>HYPERLINK(".\links\CDD\AGAP001104-PA-CDD.txt","CAF1A, Chromatin assembly factor 1 subunit A")</f>
        <v>CAF1A, Chromatin assembly factor 1 subunit A</v>
      </c>
      <c r="CC83" s="15">
        <v>5.9999999999999998E-21</v>
      </c>
      <c r="CD83" s="2">
        <v>102.7</v>
      </c>
      <c r="CE83" s="2" t="s">
        <v>1041</v>
      </c>
      <c r="CF83" s="2" t="s">
        <v>1042</v>
      </c>
      <c r="CG83" s="9" t="str">
        <f>HYPERLINK(".\links\KOG\AGAP001104-PA-KOG.txt","Chromatin assembly factor-I")</f>
        <v>Chromatin assembly factor-I</v>
      </c>
      <c r="CH83" s="15">
        <v>6.9999999999999999E-50</v>
      </c>
      <c r="CI83" s="2">
        <v>85.7</v>
      </c>
      <c r="CJ83" s="2" t="s">
        <v>1043</v>
      </c>
      <c r="CK83" s="2" t="s">
        <v>398</v>
      </c>
      <c r="CL83" s="9" t="str">
        <f>HYPERLINK(".\links\PFAM\AGAP001104-PA-PFAM.txt","CAF1A, Chromatin assembly factor 1 subunit A")</f>
        <v>CAF1A, Chromatin assembly factor 1 subunit A</v>
      </c>
      <c r="CM83" s="15">
        <v>9.9999999999999991E-22</v>
      </c>
      <c r="CN83" s="2">
        <v>102.7</v>
      </c>
      <c r="CO83" s="2" t="s">
        <v>1041</v>
      </c>
      <c r="CP83" s="9" t="str">
        <f>HYPERLINK(".\links\SMART\AGAP001104-PA-SMART.txt","TOPEUc, DNA Topoisomerase I (eukaryota)")</f>
        <v>TOPEUc, DNA Topoisomerase I (eukaryota)</v>
      </c>
      <c r="CQ83" s="15">
        <v>1E-4</v>
      </c>
      <c r="CR83" s="2">
        <v>20.5</v>
      </c>
      <c r="CS83" s="2" t="s">
        <v>709</v>
      </c>
      <c r="CT83" s="2" t="s">
        <v>1039</v>
      </c>
      <c r="CU83" s="2" t="s">
        <v>1039</v>
      </c>
      <c r="CV83" s="2" t="s">
        <v>1039</v>
      </c>
      <c r="CW83" s="2" t="str">
        <f>HYPERLINK(".\links\pep\AGAP001104-PA-pep.txt","AGAP001104-PA")</f>
        <v>AGAP001104-PA</v>
      </c>
      <c r="CX83" s="2" t="s">
        <v>95</v>
      </c>
      <c r="CY83" s="2">
        <v>1095</v>
      </c>
      <c r="CZ83" s="2" t="s">
        <v>113</v>
      </c>
      <c r="DA83" s="2" t="s">
        <v>1044</v>
      </c>
      <c r="DB83" s="2">
        <v>0</v>
      </c>
      <c r="DC83" s="2">
        <v>3</v>
      </c>
      <c r="DD83" s="2" t="str">
        <f>HYPERLINK("https://www.kegg.jp/kegg-bin/search_pathway_text?map=aga&amp;keyword=AGAP001104&amp;mode=1&amp;viewImage=true","AGAP001104")</f>
        <v>AGAP001104</v>
      </c>
      <c r="DE83" s="2" t="s">
        <v>1035</v>
      </c>
      <c r="DF83" s="2" t="s">
        <v>1036</v>
      </c>
      <c r="DG83" s="2" t="s">
        <v>94</v>
      </c>
      <c r="DH83" s="2" t="str">
        <f>HYPERLINK("https://vectorbase.org/vectorbase/app/record/gene/AGAP001104","AGAP001104-RA")</f>
        <v>AGAP001104-RA</v>
      </c>
      <c r="DI83" s="2" t="s">
        <v>118</v>
      </c>
      <c r="DJ83" s="2">
        <v>3703</v>
      </c>
      <c r="DK83" s="2" t="str">
        <f>HYPERLINK(".\links\netoglyc\AGAP001104-PA-netoglyc.txt","0")</f>
        <v>0</v>
      </c>
      <c r="DL83" s="2">
        <v>13.9</v>
      </c>
      <c r="DM83" s="2">
        <v>3.3</v>
      </c>
      <c r="DN83" s="2">
        <v>3.7</v>
      </c>
      <c r="DO83" s="2" t="s">
        <v>104</v>
      </c>
      <c r="DP83" s="2" t="s">
        <v>102</v>
      </c>
      <c r="DQ83" s="2" t="str">
        <f>HYPERLINK(".\links\Sigp\AGAP001104-PA-SigP.txt","CYT")</f>
        <v>CYT</v>
      </c>
      <c r="DR83" s="2" t="s">
        <v>102</v>
      </c>
      <c r="DS83" s="2">
        <v>126.56399999999999</v>
      </c>
      <c r="DT83" s="2">
        <v>6.21</v>
      </c>
      <c r="DU83" s="2" t="s">
        <v>102</v>
      </c>
      <c r="DV83" s="2" t="s">
        <v>102</v>
      </c>
      <c r="DW83" s="2" t="s">
        <v>211</v>
      </c>
      <c r="DX83" s="2">
        <v>1095</v>
      </c>
      <c r="DY83" s="12">
        <v>0</v>
      </c>
      <c r="DZ83" s="2" t="s">
        <v>102</v>
      </c>
      <c r="EA83" s="2" t="s">
        <v>102</v>
      </c>
      <c r="EB83" s="2" t="s">
        <v>102</v>
      </c>
      <c r="EC83" s="2" t="str">
        <f>HYPERLINK(".\links\gpi\AGAP001104-PA-gpi.txt","N")</f>
        <v>N</v>
      </c>
      <c r="ED83" s="2">
        <v>0.35</v>
      </c>
      <c r="EF83" s="2">
        <v>16</v>
      </c>
      <c r="EG83" s="2" t="str">
        <f>HYPERLINK(".\links\pep\AGAP001104-PA-sulf.txt","1")</f>
        <v>1</v>
      </c>
      <c r="EH83" s="2" t="s">
        <v>102</v>
      </c>
      <c r="EI83" s="2">
        <v>13.881278538812801</v>
      </c>
      <c r="EJ83" s="2">
        <v>3.7442922374429202</v>
      </c>
      <c r="EK83" s="2">
        <v>3.2876712328767099</v>
      </c>
      <c r="EL83" s="2">
        <v>7.0319634703196403</v>
      </c>
      <c r="EM83" s="2" t="s">
        <v>102</v>
      </c>
      <c r="EN83" s="2">
        <v>3</v>
      </c>
      <c r="EO83" s="2">
        <v>3</v>
      </c>
      <c r="EP83" s="2" t="s">
        <v>102</v>
      </c>
      <c r="EQ83" s="2" t="s">
        <v>102</v>
      </c>
      <c r="ER83" s="2" t="s">
        <v>102</v>
      </c>
      <c r="ES83" s="2" t="s">
        <v>102</v>
      </c>
      <c r="ET83" s="2" t="str">
        <f>HYPERLINK(".\links\REFSEQ-INVERTEBRATE\AGAP001104-PA-REFSEQ-INVERTEBRATE.txt","AGAP001104-PA")</f>
        <v>AGAP001104-PA</v>
      </c>
      <c r="EU83" s="2" t="str">
        <f>HYPERLINK("http://www.ncbi.nlm.nih.gov/sutils/blink.cgi?pid=XP_322063.5","0.0")</f>
        <v>0.0</v>
      </c>
      <c r="EV83" s="2" t="str">
        <f>HYPERLINK("http://www.ncbi.nlm.nih.gov/protein/XP_322063.5","XP_322063.5")</f>
        <v>XP_322063.5</v>
      </c>
      <c r="EW83" s="2">
        <v>95</v>
      </c>
      <c r="EX83" s="2">
        <v>95</v>
      </c>
      <c r="EY83" s="2">
        <v>102</v>
      </c>
      <c r="EZ83" s="2" t="s">
        <v>105</v>
      </c>
    </row>
    <row r="84" spans="1:156" x14ac:dyDescent="0.25">
      <c r="A84" s="2" t="s">
        <v>1045</v>
      </c>
      <c r="B84" s="2">
        <v>0.38477659079438098</v>
      </c>
      <c r="C84" s="2">
        <f t="shared" si="1"/>
        <v>1.3056575832261952</v>
      </c>
      <c r="D84" s="2">
        <v>6.5306754641137701</v>
      </c>
      <c r="E84" s="2">
        <v>20.643062567492599</v>
      </c>
      <c r="F84" s="2">
        <v>5.5337333303628101E-6</v>
      </c>
      <c r="G84" s="2">
        <v>2.87026010372239E-3</v>
      </c>
      <c r="H84" s="2" t="s">
        <v>93</v>
      </c>
      <c r="I84" s="2" t="s">
        <v>94</v>
      </c>
      <c r="J84" s="2" t="str">
        <f>HYPERLINK("https://vectorbase.org/vectorbase/app/record/gene/AGAP028685","AGAP028685-RA")</f>
        <v>AGAP028685-RA</v>
      </c>
      <c r="K84" s="2" t="str">
        <f>HYPERLINK(".\links\pep\AGAP028685-PA-pep.txt","AGAP028685-PA")</f>
        <v>AGAP028685-PA</v>
      </c>
      <c r="L84" s="12" t="s">
        <v>95</v>
      </c>
      <c r="M84" s="2">
        <v>824</v>
      </c>
      <c r="N84" s="2">
        <v>0</v>
      </c>
      <c r="O84" s="2">
        <v>7</v>
      </c>
      <c r="P84" s="2" t="s">
        <v>102</v>
      </c>
      <c r="Q84" s="9" t="s">
        <v>607</v>
      </c>
      <c r="R84" s="2" t="s">
        <v>608</v>
      </c>
      <c r="V84" s="2" t="s">
        <v>1046</v>
      </c>
      <c r="W84" s="10" t="s">
        <v>607</v>
      </c>
      <c r="X84" s="2" t="s">
        <v>608</v>
      </c>
      <c r="Z84" s="15"/>
      <c r="AB84" s="13" t="str">
        <f>HYPERLINK(".\links\pep\AGAP028685-PA-sulf.txt","2")</f>
        <v>2</v>
      </c>
      <c r="AC84" s="13" t="str">
        <f>HYPERLINK(".\links\Sigp\AGAP028685-PA-SigP.txt","CYT")</f>
        <v>CYT</v>
      </c>
      <c r="AD84" s="2" t="s">
        <v>102</v>
      </c>
      <c r="AE84" s="2">
        <v>92.986000000000004</v>
      </c>
      <c r="AF84" s="2">
        <v>5.2</v>
      </c>
      <c r="AG84" s="2" t="s">
        <v>102</v>
      </c>
      <c r="AH84" s="2" t="s">
        <v>102</v>
      </c>
      <c r="AI84" s="2" t="s">
        <v>1047</v>
      </c>
      <c r="AJ84" s="13">
        <v>0</v>
      </c>
      <c r="AK84" s="2" t="s">
        <v>102</v>
      </c>
      <c r="AL84" s="2" t="s">
        <v>102</v>
      </c>
      <c r="AM84" s="2" t="s">
        <v>102</v>
      </c>
      <c r="AN84" s="9" t="str">
        <f>HYPERLINK(".\links\gpi\AGAP028685-PA-gpi.txt","N")</f>
        <v>N</v>
      </c>
      <c r="AO84" s="14" t="str">
        <f>HYPERLINK(".\links\netoglyc\AGAP028685-PA-netoglyc.txt","0")</f>
        <v>0</v>
      </c>
      <c r="AP84" s="13">
        <v>14.4</v>
      </c>
      <c r="AQ84" s="2">
        <v>3.5</v>
      </c>
      <c r="AR84" s="2">
        <v>5.6</v>
      </c>
      <c r="AS84" s="2" t="s">
        <v>104</v>
      </c>
      <c r="AT84" s="9" t="str">
        <f>HYPERLINK(".\links\NR-LIGHT\AGAP028685-PA-NR-LIGHT.txt","AGAP011075-PA, partial")</f>
        <v>AGAP011075-PA, partial</v>
      </c>
      <c r="AU84" s="2" t="str">
        <f>HYPERLINK("http://www.ncbi.nlm.nih.gov/sutils/blink.cgi?pid=XP_001688198.1","1E-047")</f>
        <v>1E-047</v>
      </c>
      <c r="AV84" s="2" t="str">
        <f>HYPERLINK("http://www.ncbi.nlm.nih.gov/protein/XP_001688198.1","XP_001688198.1")</f>
        <v>XP_001688198.1</v>
      </c>
      <c r="AW84" s="2">
        <v>62</v>
      </c>
      <c r="AX84" s="2">
        <v>71</v>
      </c>
      <c r="AY84" s="2">
        <v>40</v>
      </c>
      <c r="AZ84" s="2" t="s">
        <v>105</v>
      </c>
      <c r="BA84" s="9" t="str">
        <f>HYPERLINK(".\links\REFSEQ-INVERTEBRATE\AGAP028685-PA-REFSEQ-INVERTEBRATE.txt","AGAP011075-PA, partial")</f>
        <v>AGAP011075-PA, partial</v>
      </c>
      <c r="BB84" s="2" t="str">
        <f>HYPERLINK("http://www.ncbi.nlm.nih.gov/sutils/blink.cgi?pid=XP_001688198.1","1E-047")</f>
        <v>1E-047</v>
      </c>
      <c r="BC84" s="2" t="str">
        <f>HYPERLINK("http://www.ncbi.nlm.nih.gov/protein/XP_001688198.1","XP_001688198.1")</f>
        <v>XP_001688198.1</v>
      </c>
      <c r="BD84" s="2">
        <v>62</v>
      </c>
      <c r="BE84" s="2">
        <v>71</v>
      </c>
      <c r="BF84" s="2">
        <v>40</v>
      </c>
      <c r="BG84" s="2" t="s">
        <v>105</v>
      </c>
      <c r="BH84" s="9" t="str">
        <f>HYPERLINK(".\links\REFSEQ-PROTOZOA\AGAP028685-PA-REFSEQ-PROTOZOA.txt","leucine-rich repeat protein")</f>
        <v>leucine-rich repeat protein</v>
      </c>
      <c r="BI84" s="2" t="str">
        <f>HYPERLINK("http://www.ncbi.nlm.nih.gov/sutils/blink.cgi?pid=XP_016653020.1","6E-007")</f>
        <v>6E-007</v>
      </c>
      <c r="BJ84" s="2" t="str">
        <f>HYPERLINK("http://www.ncbi.nlm.nih.gov/protein/XP_016653020.1","XP_016653020.1")</f>
        <v>XP_016653020.1</v>
      </c>
      <c r="BK84" s="2">
        <v>20</v>
      </c>
      <c r="BL84" s="2">
        <v>41</v>
      </c>
      <c r="BM84" s="2">
        <v>23</v>
      </c>
      <c r="BN84" s="2" t="s">
        <v>1048</v>
      </c>
      <c r="BO84" s="9" t="str">
        <f>HYPERLINK(".\links\SWISSP\AGAP028685-PA-SWISSP.txt","Nucleolar transcription factor 1-B")</f>
        <v>Nucleolar transcription factor 1-B</v>
      </c>
      <c r="BP84" s="2" t="str">
        <f>HYPERLINK("http://www.uniprot.org/uniprot/P25980","0.001")</f>
        <v>0.001</v>
      </c>
      <c r="BQ84" s="2" t="str">
        <f>HYPERLINK("http://www.uniprot.org/uniprot/P25980#expression","P25980")</f>
        <v>P25980</v>
      </c>
      <c r="BR84" s="2">
        <v>23</v>
      </c>
      <c r="BS84" s="2">
        <v>36</v>
      </c>
      <c r="BT84" s="2">
        <v>37</v>
      </c>
      <c r="BU84" s="2" t="s">
        <v>625</v>
      </c>
      <c r="BV84" s="9" t="str">
        <f>HYPERLINK(".\links\FLYBASE\AGAP028685-PA-FLYBASE.txt","FBpp0308791")</f>
        <v>FBpp0308791</v>
      </c>
      <c r="BW84" s="2" t="str">
        <f>HYPERLINK("http://flybase.org/reports/FBgn0029799#alliance_summary_container","0.14")</f>
        <v>0.14</v>
      </c>
      <c r="BX84" s="2">
        <v>259</v>
      </c>
      <c r="BY84" s="2">
        <v>26</v>
      </c>
      <c r="BZ84" s="2">
        <v>50</v>
      </c>
      <c r="CA84" s="2">
        <v>34</v>
      </c>
      <c r="CB84" s="9" t="str">
        <f>HYPERLINK(".\links\CDD\AGAP028685-PA-CDD.txt","DUF4806, Domain of unknown function (DUF4806)")</f>
        <v>DUF4806, Domain of unknown function (DUF4806)</v>
      </c>
      <c r="CC84" s="15">
        <v>3.0000000000000001E-6</v>
      </c>
      <c r="CD84" s="2">
        <v>96.5</v>
      </c>
      <c r="CE84" s="2" t="s">
        <v>613</v>
      </c>
      <c r="CF84" s="2" t="s">
        <v>1049</v>
      </c>
      <c r="CG84" s="9" t="str">
        <f>HYPERLINK(".\links\KOG\AGAP028685-PA-KOG.txt","nuclear protein interacting with cellular and viral transcription factors")</f>
        <v>nuclear protein interacting with cellular and viral transcription factors</v>
      </c>
      <c r="CH84" s="15">
        <v>6.0999999999999999E-2</v>
      </c>
      <c r="CI84" s="2">
        <v>18.100000000000001</v>
      </c>
      <c r="CJ84" s="2" t="s">
        <v>1050</v>
      </c>
      <c r="CK84" s="2" t="s">
        <v>1051</v>
      </c>
      <c r="CL84" s="9" t="str">
        <f>HYPERLINK(".\links\PFAM\AGAP028685-PA-PFAM.txt","DUF4806, Domain of unknown function (DUF4806)")</f>
        <v>DUF4806, Domain of unknown function (DUF4806)</v>
      </c>
      <c r="CM84" s="15">
        <v>5.9999999999999997E-7</v>
      </c>
      <c r="CN84" s="2">
        <v>96.5</v>
      </c>
      <c r="CO84" s="2" t="s">
        <v>613</v>
      </c>
      <c r="CP84" s="9" t="str">
        <f>HYPERLINK(".\links\SMART\AGAP028685-PA-SMART.txt","BRO1, BRO1-like domain")</f>
        <v>BRO1, BRO1-like domain</v>
      </c>
      <c r="CQ84" s="15">
        <v>1.4E-2</v>
      </c>
      <c r="CR84" s="2">
        <v>23.1</v>
      </c>
      <c r="CS84" s="2" t="s">
        <v>1052</v>
      </c>
      <c r="CT84" s="2" t="s">
        <v>1046</v>
      </c>
      <c r="CU84" s="2" t="s">
        <v>1046</v>
      </c>
      <c r="CV84" s="2" t="s">
        <v>1046</v>
      </c>
      <c r="CW84" s="2" t="str">
        <f>HYPERLINK(".\links\pep\AGAP028685-PA-pep.txt","AGAP028685-PA")</f>
        <v>AGAP028685-PA</v>
      </c>
      <c r="CX84" s="2" t="s">
        <v>95</v>
      </c>
      <c r="CY84" s="2">
        <v>824</v>
      </c>
      <c r="CZ84" s="2" t="s">
        <v>113</v>
      </c>
      <c r="DA84" s="2" t="s">
        <v>1053</v>
      </c>
      <c r="DB84" s="2">
        <v>0</v>
      </c>
      <c r="DC84" s="2">
        <v>7</v>
      </c>
      <c r="DD84" s="2" t="str">
        <f>HYPERLINK("https://www.kegg.jp/kegg-bin/search_pathway_text?map=aga&amp;keyword=AGAP028685&amp;mode=1&amp;viewImage=true","AGAP028685")</f>
        <v>AGAP028685</v>
      </c>
      <c r="DE84" s="2" t="s">
        <v>1045</v>
      </c>
      <c r="DF84" s="2" t="s">
        <v>93</v>
      </c>
      <c r="DG84" s="2" t="s">
        <v>94</v>
      </c>
      <c r="DH84" s="2" t="str">
        <f>HYPERLINK("https://vectorbase.org/vectorbase/app/record/gene/AGAP028685","AGAP028685-RA")</f>
        <v>AGAP028685-RA</v>
      </c>
      <c r="DI84" s="2" t="s">
        <v>90</v>
      </c>
      <c r="DJ84" s="2">
        <v>2899</v>
      </c>
      <c r="DK84" s="2" t="str">
        <f>HYPERLINK(".\links\netoglyc\AGAP028685-PA-netoglyc.txt","0")</f>
        <v>0</v>
      </c>
      <c r="DL84" s="2">
        <v>14.4</v>
      </c>
      <c r="DM84" s="2">
        <v>3.5</v>
      </c>
      <c r="DN84" s="2">
        <v>5.6</v>
      </c>
      <c r="DO84" s="2" t="s">
        <v>104</v>
      </c>
      <c r="DP84" s="2" t="s">
        <v>102</v>
      </c>
      <c r="DQ84" s="2" t="str">
        <f>HYPERLINK(".\links\Sigp\AGAP028685-PA-SigP.txt","CYT")</f>
        <v>CYT</v>
      </c>
      <c r="DR84" s="2" t="s">
        <v>102</v>
      </c>
      <c r="DS84" s="2">
        <v>92.986000000000004</v>
      </c>
      <c r="DT84" s="2">
        <v>5.2</v>
      </c>
      <c r="DU84" s="2" t="s">
        <v>102</v>
      </c>
      <c r="DV84" s="2" t="s">
        <v>102</v>
      </c>
      <c r="DW84" s="2" t="s">
        <v>1047</v>
      </c>
      <c r="DX84" s="2">
        <v>824</v>
      </c>
      <c r="DY84" s="12">
        <v>0</v>
      </c>
      <c r="DZ84" s="2" t="s">
        <v>102</v>
      </c>
      <c r="EA84" s="2" t="s">
        <v>102</v>
      </c>
      <c r="EB84" s="2" t="s">
        <v>102</v>
      </c>
      <c r="EC84" s="2" t="str">
        <f>HYPERLINK(".\links\gpi\AGAP028685-PA-gpi.txt","N")</f>
        <v>N</v>
      </c>
      <c r="ED84" s="2">
        <v>0.25</v>
      </c>
      <c r="EF84" s="2">
        <v>8</v>
      </c>
      <c r="EG84" s="2" t="str">
        <f>HYPERLINK(".\links\pep\AGAP028685-PA-sulf.txt","2")</f>
        <v>2</v>
      </c>
      <c r="EH84" s="2" t="s">
        <v>102</v>
      </c>
      <c r="EI84" s="2">
        <v>14.441747572815499</v>
      </c>
      <c r="EJ84" s="2">
        <v>5.5825242718446599</v>
      </c>
      <c r="EK84" s="2">
        <v>3.5194174757281602</v>
      </c>
      <c r="EL84" s="2">
        <v>9.1019417475728197</v>
      </c>
      <c r="EM84" s="2" t="s">
        <v>102</v>
      </c>
      <c r="EN84" s="2">
        <v>1</v>
      </c>
      <c r="EO84" s="2">
        <v>1</v>
      </c>
      <c r="EP84" s="2" t="s">
        <v>102</v>
      </c>
      <c r="EQ84" s="2" t="s">
        <v>102</v>
      </c>
      <c r="ER84" s="2" t="s">
        <v>102</v>
      </c>
      <c r="ES84" s="2" t="s">
        <v>102</v>
      </c>
      <c r="ET84" s="2" t="str">
        <f>HYPERLINK(".\links\REFSEQ-INVERTEBRATE\AGAP028685-PA-REFSEQ-INVERTEBRATE.txt","AGAP011075-PA, partial")</f>
        <v>AGAP011075-PA, partial</v>
      </c>
      <c r="EU84" s="2" t="str">
        <f>HYPERLINK("http://www.ncbi.nlm.nih.gov/sutils/blink.cgi?pid=XP_001688198.1","9E-54")</f>
        <v>9E-54</v>
      </c>
      <c r="EV84" s="2" t="str">
        <f>HYPERLINK("http://www.ncbi.nlm.nih.gov/protein/XP_001688198.1","XP_001688198.1")</f>
        <v>XP_001688198.1</v>
      </c>
      <c r="EW84" s="2">
        <v>97</v>
      </c>
      <c r="EX84" s="2">
        <v>100</v>
      </c>
      <c r="EY84" s="2">
        <v>21</v>
      </c>
      <c r="EZ84" s="2" t="s">
        <v>105</v>
      </c>
    </row>
    <row r="85" spans="1:156" x14ac:dyDescent="0.25">
      <c r="A85" s="2" t="s">
        <v>1054</v>
      </c>
      <c r="B85" s="2">
        <v>0.38455082735330398</v>
      </c>
      <c r="C85" s="2">
        <f t="shared" si="1"/>
        <v>1.3054532803916761</v>
      </c>
      <c r="D85" s="2">
        <v>6.1579038128907397</v>
      </c>
      <c r="E85" s="2">
        <v>17.395926822757598</v>
      </c>
      <c r="F85" s="2">
        <v>3.0347561697516501E-5</v>
      </c>
      <c r="G85" s="2">
        <v>6.7971641029324001E-3</v>
      </c>
      <c r="H85" s="2" t="s">
        <v>93</v>
      </c>
      <c r="I85" s="2" t="s">
        <v>94</v>
      </c>
      <c r="J85" s="2" t="str">
        <f>HYPERLINK("https://vectorbase.org/vectorbase/app/record/gene/AGAP004226","AGAP004226-RA")</f>
        <v>AGAP004226-RA</v>
      </c>
      <c r="K85" s="2" t="str">
        <f>HYPERLINK(".\links\pep\AGAP004226-PA-pep.txt","AGAP004226-PA")</f>
        <v>AGAP004226-PA</v>
      </c>
      <c r="L85" s="12" t="s">
        <v>95</v>
      </c>
      <c r="M85" s="2">
        <v>403</v>
      </c>
      <c r="N85" s="2">
        <v>0</v>
      </c>
      <c r="O85" s="2">
        <v>0</v>
      </c>
      <c r="P85" s="2" t="s">
        <v>102</v>
      </c>
      <c r="Q85" s="9" t="s">
        <v>1055</v>
      </c>
      <c r="R85" s="2" t="s">
        <v>355</v>
      </c>
      <c r="S85" s="2" t="str">
        <f>HYPERLINK(".\links\REFSEQ-INVERTEBRATE\AGAP004226-PA-REFSEQ-INVERTEBRATE.txt","REFSEQ-INVERTEBRATE")</f>
        <v>REFSEQ-INVERTEBRATE</v>
      </c>
      <c r="T85" s="2">
        <v>0</v>
      </c>
      <c r="U85" s="2">
        <v>102.5</v>
      </c>
      <c r="V85" s="2" t="s">
        <v>1056</v>
      </c>
      <c r="W85" s="10" t="s">
        <v>1057</v>
      </c>
      <c r="X85" s="2" t="s">
        <v>355</v>
      </c>
      <c r="Y85" s="2" t="str">
        <f>HYPERLINK(".\links\REFSEQ-INVERTEBRATE\AGAP004226-PA-REFSEQ-INVERTEBRATE.txt","REFSEQ-INVERTEBRATE")</f>
        <v>REFSEQ-INVERTEBRATE</v>
      </c>
      <c r="Z85" s="2">
        <v>0</v>
      </c>
      <c r="AA85" s="2">
        <v>101.2</v>
      </c>
      <c r="AB85" s="13" t="s">
        <v>102</v>
      </c>
      <c r="AC85" s="13" t="str">
        <f>HYPERLINK(".\links\Sigp\AGAP004226-PA-SigP.txt","CYT")</f>
        <v>CYT</v>
      </c>
      <c r="AD85" s="2" t="s">
        <v>102</v>
      </c>
      <c r="AE85" s="2">
        <v>46.04</v>
      </c>
      <c r="AF85" s="2">
        <v>5.62</v>
      </c>
      <c r="AG85" s="2" t="s">
        <v>102</v>
      </c>
      <c r="AH85" s="2" t="s">
        <v>102</v>
      </c>
      <c r="AI85" s="2" t="s">
        <v>211</v>
      </c>
      <c r="AJ85" s="13">
        <v>0</v>
      </c>
      <c r="AK85" s="2" t="s">
        <v>102</v>
      </c>
      <c r="AL85" s="2" t="s">
        <v>102</v>
      </c>
      <c r="AM85" s="2" t="s">
        <v>102</v>
      </c>
      <c r="AN85" s="13" t="str">
        <f>HYPERLINK(".\links\gpi\AGAP004226-PA-gpi.txt","N")</f>
        <v>N</v>
      </c>
      <c r="AO85" s="14" t="str">
        <f>HYPERLINK(".\links\netoglyc\AGAP004226-PA-netoglyc.txt","0")</f>
        <v>0</v>
      </c>
      <c r="AP85" s="13">
        <v>15.6</v>
      </c>
      <c r="AQ85" s="2">
        <v>2.7</v>
      </c>
      <c r="AR85" s="2">
        <v>0.2</v>
      </c>
      <c r="AS85" s="2" t="s">
        <v>104</v>
      </c>
      <c r="AT85" s="9" t="str">
        <f>HYPERLINK(".\links\NR-LIGHT\AGAP004226-PA-NR-LIGHT.txt","AGAP004226-PA")</f>
        <v>AGAP004226-PA</v>
      </c>
      <c r="AU85" s="2" t="str">
        <f>HYPERLINK("http://www.ncbi.nlm.nih.gov/sutils/blink.cgi?pid=XP_313135.5","0.0")</f>
        <v>0.0</v>
      </c>
      <c r="AV85" s="2" t="str">
        <f>HYPERLINK("http://www.ncbi.nlm.nih.gov/protein/XP_313135.5","XP_313135.5")</f>
        <v>XP_313135.5</v>
      </c>
      <c r="AW85" s="2">
        <v>100</v>
      </c>
      <c r="AX85" s="2">
        <v>100</v>
      </c>
      <c r="AY85" s="2">
        <v>100</v>
      </c>
      <c r="AZ85" s="2" t="s">
        <v>105</v>
      </c>
      <c r="BA85" s="9" t="str">
        <f>HYPERLINK(".\links\REFSEQ-INVERTEBRATE\AGAP004226-PA-REFSEQ-INVERTEBRATE.txt","AGAP004226-PA")</f>
        <v>AGAP004226-PA</v>
      </c>
      <c r="BB85" s="2" t="str">
        <f>HYPERLINK("http://www.ncbi.nlm.nih.gov/sutils/blink.cgi?pid=XP_313135.5","0.0")</f>
        <v>0.0</v>
      </c>
      <c r="BC85" s="2" t="str">
        <f>HYPERLINK("http://www.ncbi.nlm.nih.gov/protein/XP_313135.5","XP_313135.5")</f>
        <v>XP_313135.5</v>
      </c>
      <c r="BD85" s="2">
        <v>100</v>
      </c>
      <c r="BE85" s="2">
        <v>100</v>
      </c>
      <c r="BF85" s="2">
        <v>100</v>
      </c>
      <c r="BG85" s="2" t="s">
        <v>105</v>
      </c>
      <c r="BH85" s="9" t="str">
        <f>HYPERLINK(".\links\REFSEQ-PROTOZOA\AGAP004226-PA-REFSEQ-PROTOZOA.txt","hypothetical protein DDB_G0285439")</f>
        <v>hypothetical protein DDB_G0285439</v>
      </c>
      <c r="BI85" s="2" t="str">
        <f>HYPERLINK("http://www.ncbi.nlm.nih.gov/sutils/blink.cgi?pid=XP_638053.1","3E-019")</f>
        <v>3E-019</v>
      </c>
      <c r="BJ85" s="2" t="str">
        <f>HYPERLINK("http://www.ncbi.nlm.nih.gov/protein/XP_638053.1","XP_638053.1")</f>
        <v>XP_638053.1</v>
      </c>
      <c r="BK85" s="2">
        <v>22</v>
      </c>
      <c r="BL85" s="2">
        <v>42</v>
      </c>
      <c r="BM85" s="2">
        <v>52</v>
      </c>
      <c r="BN85" s="2" t="s">
        <v>612</v>
      </c>
      <c r="BO85" s="9" t="str">
        <f>HYPERLINK(".\links\SWISSP\AGAP004226-PA-SWISSP.txt","Protein phosphatase 1 regulatory subunit 21")</f>
        <v>Protein phosphatase 1 regulatory subunit 21</v>
      </c>
      <c r="BP85" s="2" t="str">
        <f>HYPERLINK("http://www.uniprot.org/uniprot/Q6IR70","3E-025")</f>
        <v>3E-025</v>
      </c>
      <c r="BQ85" s="2" t="str">
        <f>HYPERLINK("http://www.uniprot.org/uniprot/Q6IR70#expression","Q6IR70")</f>
        <v>Q6IR70</v>
      </c>
      <c r="BR85" s="2">
        <v>43</v>
      </c>
      <c r="BS85" s="2">
        <v>58</v>
      </c>
      <c r="BT85" s="2">
        <v>23</v>
      </c>
      <c r="BU85" s="2" t="s">
        <v>625</v>
      </c>
      <c r="BV85" s="9" t="str">
        <f>HYPERLINK(".\links\FLYBASE\AGAP004226-PA-FLYBASE.txt","FBpp0084028")</f>
        <v>FBpp0084028</v>
      </c>
      <c r="BW85" s="2" t="str">
        <f>HYPERLINK("http://flybase.org/reports/FBgn0039204#alliance_summary_container","7E-83")</f>
        <v>7E-83</v>
      </c>
      <c r="BX85" s="2">
        <v>406</v>
      </c>
      <c r="BY85" s="2">
        <v>42</v>
      </c>
      <c r="BZ85" s="2">
        <v>57</v>
      </c>
      <c r="CA85" s="2">
        <v>103</v>
      </c>
      <c r="CB85" s="9" t="str">
        <f>HYPERLINK(".\links\CDD\AGAP004226-PA-CDD.txt","KLRAQ, Predicted coiled-coil domain-containing protein")</f>
        <v>KLRAQ, Predicted coiled-coil domain-containing protein</v>
      </c>
      <c r="CC85" s="15">
        <v>2.0000000000000001E-22</v>
      </c>
      <c r="CD85" s="2">
        <v>108.1</v>
      </c>
      <c r="CE85" s="2" t="s">
        <v>1058</v>
      </c>
      <c r="CF85" s="2" t="s">
        <v>1059</v>
      </c>
      <c r="CG85" s="9" t="str">
        <f>HYPERLINK(".\links\KOG\AGAP004226-PA-KOG.txt","Uncharacterized conserved protein")</f>
        <v>Uncharacterized conserved protein</v>
      </c>
      <c r="CH85" s="15">
        <v>2E-16</v>
      </c>
      <c r="CI85" s="2">
        <v>23.7</v>
      </c>
      <c r="CJ85" s="2" t="s">
        <v>1060</v>
      </c>
      <c r="CK85" s="2" t="s">
        <v>284</v>
      </c>
      <c r="CL85" s="9" t="str">
        <f>HYPERLINK(".\links\PFAM\AGAP004226-PA-PFAM.txt","KLRAQ, Predicted coiled-coil domain-containing protein")</f>
        <v>KLRAQ, Predicted coiled-coil domain-containing protein</v>
      </c>
      <c r="CM85" s="15">
        <v>3E-23</v>
      </c>
      <c r="CN85" s="2">
        <v>108.1</v>
      </c>
      <c r="CO85" s="2" t="s">
        <v>1058</v>
      </c>
      <c r="CP85" s="9" t="str">
        <f>HYPERLINK(".\links\SMART\AGAP004226-PA-SMART.txt","Spc7, Spc7 kinetochore protein")</f>
        <v>Spc7, Spc7 kinetochore protein</v>
      </c>
      <c r="CQ85" s="15">
        <v>5.8999999999999997E-2</v>
      </c>
      <c r="CR85" s="2">
        <v>41.3</v>
      </c>
      <c r="CS85" s="2" t="s">
        <v>1061</v>
      </c>
      <c r="CT85" s="2" t="s">
        <v>1056</v>
      </c>
      <c r="CU85" s="2" t="s">
        <v>1056</v>
      </c>
      <c r="CV85" s="2" t="s">
        <v>1056</v>
      </c>
      <c r="CW85" s="2" t="str">
        <f>HYPERLINK(".\links\pep\AGAP004226-PA-pep.txt","AGAP004226-PA")</f>
        <v>AGAP004226-PA</v>
      </c>
      <c r="CX85" s="2" t="s">
        <v>95</v>
      </c>
      <c r="CY85" s="2">
        <v>403</v>
      </c>
      <c r="CZ85" s="2" t="s">
        <v>113</v>
      </c>
      <c r="DA85" s="2" t="s">
        <v>1062</v>
      </c>
      <c r="DB85" s="2">
        <v>0</v>
      </c>
      <c r="DC85" s="2">
        <v>0</v>
      </c>
      <c r="DD85" s="2" t="str">
        <f>HYPERLINK("https://www.kegg.jp/kegg-bin/search_pathway_text?map=aga&amp;keyword=AGAP004226&amp;mode=1&amp;viewImage=true","AGAP004226")</f>
        <v>AGAP004226</v>
      </c>
      <c r="DE85" s="2" t="s">
        <v>1054</v>
      </c>
      <c r="DF85" s="2" t="s">
        <v>93</v>
      </c>
      <c r="DG85" s="2" t="s">
        <v>94</v>
      </c>
      <c r="DH85" s="2" t="str">
        <f>HYPERLINK("https://vectorbase.org/vectorbase/app/record/gene/AGAP004226","AGAP004226-RA")</f>
        <v>AGAP004226-RA</v>
      </c>
      <c r="DI85" s="2" t="s">
        <v>115</v>
      </c>
      <c r="DJ85" s="2">
        <v>1732</v>
      </c>
      <c r="DK85" s="2" t="str">
        <f>HYPERLINK(".\links\netoglyc\AGAP004226-PA-netoglyc.txt","0")</f>
        <v>0</v>
      </c>
      <c r="DL85" s="2">
        <v>15.6</v>
      </c>
      <c r="DM85" s="2">
        <v>2.7</v>
      </c>
      <c r="DN85" s="2">
        <v>0.2</v>
      </c>
      <c r="DO85" s="2" t="s">
        <v>104</v>
      </c>
      <c r="DP85" s="2" t="s">
        <v>102</v>
      </c>
      <c r="DQ85" s="2" t="str">
        <f>HYPERLINK(".\links\Sigp\AGAP004226-PA-SigP.txt","CYT")</f>
        <v>CYT</v>
      </c>
      <c r="DR85" s="2" t="s">
        <v>102</v>
      </c>
      <c r="DS85" s="2">
        <v>46.04</v>
      </c>
      <c r="DT85" s="2">
        <v>5.62</v>
      </c>
      <c r="DU85" s="2" t="s">
        <v>102</v>
      </c>
      <c r="DV85" s="2" t="s">
        <v>102</v>
      </c>
      <c r="DW85" s="2" t="s">
        <v>211</v>
      </c>
      <c r="DX85" s="2">
        <v>403</v>
      </c>
      <c r="DY85" s="12">
        <v>0</v>
      </c>
      <c r="DZ85" s="2" t="s">
        <v>102</v>
      </c>
      <c r="EA85" s="2" t="s">
        <v>102</v>
      </c>
      <c r="EB85" s="2" t="s">
        <v>102</v>
      </c>
      <c r="EC85" s="2" t="str">
        <f>HYPERLINK(".\links\gpi\AGAP004226-PA-gpi.txt","Y-NoSP")</f>
        <v>Y-NoSP</v>
      </c>
      <c r="ED85" s="2">
        <v>0.4</v>
      </c>
      <c r="EF85" s="2">
        <v>3</v>
      </c>
      <c r="EG85" s="2" t="s">
        <v>102</v>
      </c>
      <c r="EH85" s="2" t="s">
        <v>102</v>
      </c>
      <c r="EI85" s="2">
        <v>15.632754342431801</v>
      </c>
      <c r="EJ85" s="2">
        <v>0.24813895781637699</v>
      </c>
      <c r="EK85" s="2">
        <v>2.7295285359801502</v>
      </c>
      <c r="EL85" s="2">
        <v>2.9776674937965302</v>
      </c>
      <c r="EM85" s="2" t="s">
        <v>102</v>
      </c>
      <c r="EN85" s="2" t="s">
        <v>102</v>
      </c>
      <c r="EO85" s="2" t="s">
        <v>102</v>
      </c>
      <c r="EP85" s="2" t="s">
        <v>102</v>
      </c>
      <c r="EQ85" s="2" t="s">
        <v>102</v>
      </c>
      <c r="ER85" s="2" t="s">
        <v>102</v>
      </c>
      <c r="ES85" s="2" t="s">
        <v>102</v>
      </c>
      <c r="ET85" s="2" t="str">
        <f>HYPERLINK(".\links\REFSEQ-INVERTEBRATE\AGAP004226-PA-REFSEQ-INVERTEBRATE.txt","AGAP004226-PA")</f>
        <v>AGAP004226-PA</v>
      </c>
      <c r="EU85" s="2" t="str">
        <f>HYPERLINK("http://www.ncbi.nlm.nih.gov/sutils/blink.cgi?pid=XP_313135.5","0.0")</f>
        <v>0.0</v>
      </c>
      <c r="EV85" s="2" t="str">
        <f>HYPERLINK("http://www.ncbi.nlm.nih.gov/protein/XP_313135.5","XP_313135.5")</f>
        <v>XP_313135.5</v>
      </c>
      <c r="EW85" s="2">
        <v>100</v>
      </c>
      <c r="EX85" s="2">
        <v>100</v>
      </c>
      <c r="EY85" s="2">
        <v>100</v>
      </c>
      <c r="EZ85" s="2" t="s">
        <v>105</v>
      </c>
    </row>
    <row r="86" spans="1:156" x14ac:dyDescent="0.25">
      <c r="A86" s="2" t="s">
        <v>1063</v>
      </c>
      <c r="B86" s="2">
        <v>0.38440377758078598</v>
      </c>
      <c r="C86" s="2">
        <f t="shared" si="1"/>
        <v>1.305320226059677</v>
      </c>
      <c r="D86" s="2">
        <v>5.8915299019530698</v>
      </c>
      <c r="E86" s="2">
        <v>12.193267201295001</v>
      </c>
      <c r="F86" s="2">
        <v>4.7962306656717298E-4</v>
      </c>
      <c r="G86" s="2">
        <v>2.5141943196912198E-2</v>
      </c>
      <c r="H86" s="2" t="s">
        <v>1064</v>
      </c>
      <c r="I86" s="2" t="s">
        <v>94</v>
      </c>
      <c r="J86" s="2" t="str">
        <f>HYPERLINK("https://vectorbase.org/vectorbase/app/record/gene/AGAP004412","AGAP004412-RA")</f>
        <v>AGAP004412-RA</v>
      </c>
      <c r="K86" s="2" t="str">
        <f>HYPERLINK(".\links\pep\AGAP004412-PA-pep.txt","AGAP004412-PA")</f>
        <v>AGAP004412-PA</v>
      </c>
      <c r="L86" s="12" t="s">
        <v>95</v>
      </c>
      <c r="M86" s="2">
        <v>286</v>
      </c>
      <c r="N86" s="2">
        <v>0</v>
      </c>
      <c r="O86" s="2">
        <v>2</v>
      </c>
      <c r="P86" s="2" t="s">
        <v>1065</v>
      </c>
      <c r="Q86" s="9" t="s">
        <v>1066</v>
      </c>
      <c r="R86" s="2" t="s">
        <v>672</v>
      </c>
      <c r="S86" s="2" t="str">
        <f>HYPERLINK(".\links\KOG\AGAP004412-PA-KOG.txt","KOG")</f>
        <v>KOG</v>
      </c>
      <c r="T86" s="2">
        <v>0</v>
      </c>
      <c r="U86" s="2">
        <v>102.9</v>
      </c>
      <c r="V86" s="2" t="s">
        <v>1067</v>
      </c>
      <c r="W86" s="10" t="s">
        <v>1068</v>
      </c>
      <c r="X86" s="2" t="s">
        <v>672</v>
      </c>
      <c r="Y86" s="2" t="str">
        <f>HYPERLINK(".\links\COG\AGAP004412-PA-COG.txt","COG")</f>
        <v>COG</v>
      </c>
      <c r="Z86" s="15">
        <v>2E-66</v>
      </c>
      <c r="AA86" s="2">
        <v>110.3</v>
      </c>
      <c r="AB86" s="13" t="s">
        <v>102</v>
      </c>
      <c r="AC86" s="13" t="str">
        <f>HYPERLINK(".\links\Sigp\AGAP004412-PA-SigP.txt","CYT")</f>
        <v>CYT</v>
      </c>
      <c r="AD86" s="2" t="s">
        <v>102</v>
      </c>
      <c r="AE86" s="2">
        <v>32.152999999999999</v>
      </c>
      <c r="AF86" s="2">
        <v>5.14</v>
      </c>
      <c r="AG86" s="2" t="s">
        <v>102</v>
      </c>
      <c r="AH86" s="2" t="s">
        <v>102</v>
      </c>
      <c r="AI86" s="2" t="s">
        <v>482</v>
      </c>
      <c r="AJ86" s="13">
        <v>0</v>
      </c>
      <c r="AK86" s="2" t="s">
        <v>102</v>
      </c>
      <c r="AL86" s="2" t="s">
        <v>102</v>
      </c>
      <c r="AM86" s="2" t="s">
        <v>102</v>
      </c>
      <c r="AN86" s="13" t="str">
        <f>HYPERLINK(".\links\gpi\AGAP004412-PA-gpi.txt","N")</f>
        <v>N</v>
      </c>
      <c r="AO86" s="14" t="str">
        <f>HYPERLINK(".\links\netoglyc\AGAP004412-PA-netoglyc.txt","0")</f>
        <v>0</v>
      </c>
      <c r="AP86" s="13">
        <v>9.8000000000000007</v>
      </c>
      <c r="AQ86" s="2">
        <v>7</v>
      </c>
      <c r="AR86" s="2">
        <v>4.2</v>
      </c>
      <c r="AS86" s="2" t="s">
        <v>104</v>
      </c>
      <c r="AT86" s="9" t="str">
        <f>HYPERLINK(".\links\NR-LIGHT\AGAP004412-PA-NR-LIGHT.txt","AGAP004412-PA")</f>
        <v>AGAP004412-PA</v>
      </c>
      <c r="AU86" s="2" t="str">
        <f>HYPERLINK("http://www.ncbi.nlm.nih.gov/sutils/blink.cgi?pid=XP_313697.4","1E-162")</f>
        <v>1E-162</v>
      </c>
      <c r="AV86" s="2" t="str">
        <f>HYPERLINK("http://www.ncbi.nlm.nih.gov/protein/XP_313697.4","XP_313697.4")</f>
        <v>XP_313697.4</v>
      </c>
      <c r="AW86" s="2">
        <v>100</v>
      </c>
      <c r="AX86" s="2">
        <v>100</v>
      </c>
      <c r="AY86" s="2">
        <v>100</v>
      </c>
      <c r="AZ86" s="2" t="s">
        <v>105</v>
      </c>
      <c r="BA86" s="9" t="str">
        <f>HYPERLINK(".\links\REFSEQ-INVERTEBRATE\AGAP004412-PA-REFSEQ-INVERTEBRATE.txt","AGAP004412-PA")</f>
        <v>AGAP004412-PA</v>
      </c>
      <c r="BB86" s="2" t="str">
        <f>HYPERLINK("http://www.ncbi.nlm.nih.gov/sutils/blink.cgi?pid=XP_313697.4","1E-162")</f>
        <v>1E-162</v>
      </c>
      <c r="BC86" s="2" t="str">
        <f>HYPERLINK("http://www.ncbi.nlm.nih.gov/protein/XP_313697.4","XP_313697.4")</f>
        <v>XP_313697.4</v>
      </c>
      <c r="BD86" s="2">
        <v>100</v>
      </c>
      <c r="BE86" s="2">
        <v>100</v>
      </c>
      <c r="BF86" s="2">
        <v>100</v>
      </c>
      <c r="BG86" s="2" t="s">
        <v>105</v>
      </c>
      <c r="BH86" s="9" t="str">
        <f>HYPERLINK(".\links\REFSEQ-PROTOZOA\AGAP004412-PA-REFSEQ-PROTOZOA.txt","diphthine synthase")</f>
        <v>diphthine synthase</v>
      </c>
      <c r="BI86" s="2" t="str">
        <f>HYPERLINK("http://www.ncbi.nlm.nih.gov/sutils/blink.cgi?pid=XP_004348184.1","3E-084")</f>
        <v>3E-084</v>
      </c>
      <c r="BJ86" s="2" t="str">
        <f>HYPERLINK("http://www.ncbi.nlm.nih.gov/protein/XP_004348184.1","XP_004348184.1")</f>
        <v>XP_004348184.1</v>
      </c>
      <c r="BK86" s="2">
        <v>55</v>
      </c>
      <c r="BL86" s="2">
        <v>74</v>
      </c>
      <c r="BM86" s="2">
        <v>98</v>
      </c>
      <c r="BN86" s="2" t="s">
        <v>106</v>
      </c>
      <c r="BO86" s="9" t="str">
        <f>HYPERLINK(".\links\SWISSP\AGAP004412-PA-SWISSP.txt","Diphthine methyl ester synthase")</f>
        <v>Diphthine methyl ester synthase</v>
      </c>
      <c r="BP86" s="2" t="str">
        <f>HYPERLINK("http://www.uniprot.org/uniprot/Q9H2P9","2E-095")</f>
        <v>2E-095</v>
      </c>
      <c r="BQ86" s="2" t="str">
        <f>HYPERLINK("http://www.uniprot.org/uniprot/Q9H2P9#expression","Q9H2P9")</f>
        <v>Q9H2P9</v>
      </c>
      <c r="BR86" s="2">
        <v>62</v>
      </c>
      <c r="BS86" s="2">
        <v>78</v>
      </c>
      <c r="BT86" s="2">
        <v>98</v>
      </c>
      <c r="BU86" s="2" t="s">
        <v>127</v>
      </c>
      <c r="BV86" s="9" t="str">
        <f>HYPERLINK(".\links\FLYBASE\AGAP004412-PA-FLYBASE.txt","FBpp0083673")</f>
        <v>FBpp0083673</v>
      </c>
      <c r="BW86" s="2" t="str">
        <f>HYPERLINK("http://flybase.org/reports/FBgn0024558#alliance_summary_container","1E-139")</f>
        <v>1E-139</v>
      </c>
      <c r="BX86" s="2">
        <v>281</v>
      </c>
      <c r="BY86" s="2">
        <v>68</v>
      </c>
      <c r="BZ86" s="2">
        <v>79</v>
      </c>
      <c r="CA86" s="2">
        <v>99</v>
      </c>
      <c r="CB86" s="9" t="str">
        <f>HYPERLINK(".\links\CDD\AGAP004412-PA-CDD.txt","PTZ00175, diphthine synthase")</f>
        <v>PTZ00175, diphthine synthase</v>
      </c>
      <c r="CC86" s="15">
        <v>9.9999999999999999E-119</v>
      </c>
      <c r="CD86" s="2">
        <v>103.3</v>
      </c>
      <c r="CE86" s="2" t="s">
        <v>1069</v>
      </c>
      <c r="CF86" s="2" t="s">
        <v>1070</v>
      </c>
      <c r="CG86" s="9" t="str">
        <f>HYPERLINK(".\links\KOG\AGAP004412-PA-KOG.txt","Diphthine synthase")</f>
        <v>Diphthine synthase</v>
      </c>
      <c r="CH86" s="15">
        <v>9.9999999999999999E-119</v>
      </c>
      <c r="CI86" s="2">
        <v>102.9</v>
      </c>
      <c r="CJ86" s="2" t="s">
        <v>1071</v>
      </c>
      <c r="CK86" s="2" t="s">
        <v>678</v>
      </c>
      <c r="CL86" s="9" t="str">
        <f>HYPERLINK(".\links\PFAM\AGAP004412-PA-PFAM.txt","TP_methylase, Tetrapyrrole (Corrin/Porphyrin) Methylases")</f>
        <v>TP_methylase, Tetrapyrrole (Corrin/Porphyrin) Methylases</v>
      </c>
      <c r="CM86" s="15">
        <v>7.0000000000000007E-21</v>
      </c>
      <c r="CN86" s="2">
        <v>92.3</v>
      </c>
      <c r="CO86" s="2" t="s">
        <v>1072</v>
      </c>
      <c r="CP86" s="9" t="str">
        <f>HYPERLINK(".\links\SMART\AGAP004412-PA-SMART.txt","LIGANc, Ligase N family")</f>
        <v>LIGANc, Ligase N family</v>
      </c>
      <c r="CQ86" s="15">
        <v>0.2</v>
      </c>
      <c r="CR86" s="2">
        <v>9.5</v>
      </c>
      <c r="CS86" s="2" t="s">
        <v>1073</v>
      </c>
      <c r="CT86" s="2" t="s">
        <v>1067</v>
      </c>
      <c r="CU86" s="2" t="s">
        <v>1067</v>
      </c>
      <c r="CV86" s="2" t="s">
        <v>1067</v>
      </c>
      <c r="CW86" s="2" t="str">
        <f>HYPERLINK(".\links\pep\AGAP004412-PA-pep.txt","AGAP004412-PA")</f>
        <v>AGAP004412-PA</v>
      </c>
      <c r="CX86" s="2" t="s">
        <v>95</v>
      </c>
      <c r="CY86" s="2">
        <v>286</v>
      </c>
      <c r="CZ86" s="2" t="s">
        <v>113</v>
      </c>
      <c r="DA86" s="2" t="s">
        <v>1074</v>
      </c>
      <c r="DB86" s="2">
        <v>0</v>
      </c>
      <c r="DC86" s="2">
        <v>2</v>
      </c>
      <c r="DD86" s="2" t="str">
        <f>HYPERLINK("https://www.kegg.jp/kegg-bin/search_pathway_text?map=aga&amp;keyword=AGAP004412&amp;mode=1&amp;viewImage=true","AGAP004412")</f>
        <v>AGAP004412</v>
      </c>
      <c r="DE86" s="2" t="s">
        <v>1063</v>
      </c>
      <c r="DF86" s="2" t="s">
        <v>1064</v>
      </c>
      <c r="DG86" s="2" t="s">
        <v>94</v>
      </c>
      <c r="DH86" s="2" t="str">
        <f>HYPERLINK("https://vectorbase.org/vectorbase/app/record/gene/AGAP004412","AGAP004412-RA")</f>
        <v>AGAP004412-RA</v>
      </c>
      <c r="DI86" s="2" t="s">
        <v>90</v>
      </c>
      <c r="DJ86" s="2">
        <v>1013</v>
      </c>
      <c r="DK86" s="2" t="str">
        <f>HYPERLINK(".\links\netoglyc\AGAP004412-PA-netoglyc.txt","0")</f>
        <v>0</v>
      </c>
      <c r="DL86" s="2">
        <v>9.8000000000000007</v>
      </c>
      <c r="DM86" s="2">
        <v>7</v>
      </c>
      <c r="DN86" s="2">
        <v>4.2</v>
      </c>
      <c r="DO86" s="2" t="s">
        <v>104</v>
      </c>
      <c r="DP86" s="2" t="s">
        <v>102</v>
      </c>
      <c r="DQ86" s="2" t="str">
        <f>HYPERLINK(".\links\Sigp\AGAP004412-PA-SigP.txt","CYT")</f>
        <v>CYT</v>
      </c>
      <c r="DR86" s="2" t="s">
        <v>102</v>
      </c>
      <c r="DS86" s="2">
        <v>32.152999999999999</v>
      </c>
      <c r="DT86" s="2">
        <v>5.14</v>
      </c>
      <c r="DU86" s="2" t="s">
        <v>102</v>
      </c>
      <c r="DV86" s="2" t="s">
        <v>102</v>
      </c>
      <c r="DW86" s="2" t="s">
        <v>482</v>
      </c>
      <c r="DX86" s="2">
        <v>286</v>
      </c>
      <c r="DY86" s="12">
        <v>0</v>
      </c>
      <c r="DZ86" s="2" t="s">
        <v>102</v>
      </c>
      <c r="EA86" s="2" t="s">
        <v>102</v>
      </c>
      <c r="EB86" s="2" t="s">
        <v>102</v>
      </c>
      <c r="EC86" s="2" t="str">
        <f>HYPERLINK(".\links\gpi\AGAP004412-PA-gpi.txt","N")</f>
        <v>N</v>
      </c>
      <c r="ED86" s="2">
        <v>0.24</v>
      </c>
      <c r="EF86" s="2">
        <v>7</v>
      </c>
      <c r="EG86" s="2" t="s">
        <v>102</v>
      </c>
      <c r="EH86" s="2" t="s">
        <v>102</v>
      </c>
      <c r="EI86" s="2">
        <v>9.79020979020979</v>
      </c>
      <c r="EJ86" s="2">
        <v>4.1958041958042003</v>
      </c>
      <c r="EK86" s="2">
        <v>6.9930069930069898</v>
      </c>
      <c r="EL86" s="2">
        <v>11.188811188811201</v>
      </c>
      <c r="EM86" s="2" t="s">
        <v>102</v>
      </c>
      <c r="EN86" s="2">
        <v>2</v>
      </c>
      <c r="EO86" s="2">
        <v>2</v>
      </c>
      <c r="EP86" s="2" t="s">
        <v>102</v>
      </c>
      <c r="EQ86" s="2" t="s">
        <v>102</v>
      </c>
      <c r="ER86" s="2" t="s">
        <v>102</v>
      </c>
      <c r="ES86" s="2" t="s">
        <v>102</v>
      </c>
      <c r="ET86" s="2" t="str">
        <f>HYPERLINK(".\links\REFSEQ-INVERTEBRATE\AGAP004412-PA-REFSEQ-INVERTEBRATE.txt","AGAP004412-PA")</f>
        <v>AGAP004412-PA</v>
      </c>
      <c r="EU86" s="2" t="str">
        <f>HYPERLINK("http://www.ncbi.nlm.nih.gov/sutils/blink.cgi?pid=XP_313697.4","0.0")</f>
        <v>0.0</v>
      </c>
      <c r="EV86" s="2" t="str">
        <f>HYPERLINK("http://www.ncbi.nlm.nih.gov/protein/XP_313697.4","XP_313697.4")</f>
        <v>XP_313697.4</v>
      </c>
      <c r="EW86" s="2">
        <v>100</v>
      </c>
      <c r="EX86" s="2">
        <v>100</v>
      </c>
      <c r="EY86" s="2">
        <v>100</v>
      </c>
      <c r="EZ86" s="2" t="s">
        <v>105</v>
      </c>
    </row>
    <row r="87" spans="1:156" x14ac:dyDescent="0.25">
      <c r="A87" s="2" t="s">
        <v>1075</v>
      </c>
      <c r="B87" s="2">
        <v>0.38438712663059699</v>
      </c>
      <c r="C87" s="2">
        <f t="shared" si="1"/>
        <v>1.3053051607159818</v>
      </c>
      <c r="D87" s="2">
        <v>5.6550168506771801</v>
      </c>
      <c r="E87" s="2">
        <v>18.661102231732301</v>
      </c>
      <c r="F87" s="2">
        <v>1.5613543958792798E-5</v>
      </c>
      <c r="G87" s="2">
        <v>5.1290491904634498E-3</v>
      </c>
      <c r="H87" s="2" t="s">
        <v>1076</v>
      </c>
      <c r="I87" s="2" t="s">
        <v>94</v>
      </c>
      <c r="J87" s="2" t="str">
        <f>HYPERLINK("https://vectorbase.org/vectorbase/app/record/gene/AGAP009322","AGAP009322-RA")</f>
        <v>AGAP009322-RA</v>
      </c>
      <c r="K87" s="2" t="str">
        <f>HYPERLINK(".\links\pep\AGAP009322-PA-pep.txt","AGAP009322-PA")</f>
        <v>AGAP009322-PA</v>
      </c>
      <c r="L87" s="12" t="s">
        <v>95</v>
      </c>
      <c r="M87" s="2">
        <v>216</v>
      </c>
      <c r="N87" s="2">
        <v>0</v>
      </c>
      <c r="O87" s="2">
        <v>0</v>
      </c>
      <c r="P87" s="2" t="s">
        <v>1077</v>
      </c>
      <c r="Q87" s="9" t="s">
        <v>1078</v>
      </c>
      <c r="R87" s="2" t="s">
        <v>1079</v>
      </c>
      <c r="S87" s="2" t="str">
        <f>HYPERLINK(".\links\KOG\AGAP009322-PA-KOG.txt","KOG")</f>
        <v>KOG</v>
      </c>
      <c r="T87" s="2">
        <v>3.9999999999999999E-48</v>
      </c>
      <c r="U87" s="2">
        <v>99</v>
      </c>
      <c r="V87" s="2" t="s">
        <v>1080</v>
      </c>
      <c r="W87" s="10" t="s">
        <v>1081</v>
      </c>
      <c r="X87" s="2" t="s">
        <v>1079</v>
      </c>
      <c r="Y87" s="2" t="str">
        <f>HYPERLINK(".\links\REFSEQVERTEBRATE95\AGAP009322-PA-REFSEQVERTEBRATE95.txt","REFSEQVERTEBRATE95")</f>
        <v>REFSEQVERTEBRATE95</v>
      </c>
      <c r="Z87" s="15">
        <v>1E-58</v>
      </c>
      <c r="AA87" s="2">
        <v>97</v>
      </c>
      <c r="AB87" s="13" t="s">
        <v>102</v>
      </c>
      <c r="AC87" s="13" t="str">
        <f>HYPERLINK(".\links\Sigp\AGAP009322-PA-SigP.txt","CYT")</f>
        <v>CYT</v>
      </c>
      <c r="AD87" s="2" t="s">
        <v>102</v>
      </c>
      <c r="AE87" s="2">
        <v>25.067</v>
      </c>
      <c r="AF87" s="2">
        <v>5.07</v>
      </c>
      <c r="AG87" s="2" t="s">
        <v>102</v>
      </c>
      <c r="AH87" s="2" t="s">
        <v>102</v>
      </c>
      <c r="AI87" s="2" t="s">
        <v>1082</v>
      </c>
      <c r="AJ87" s="13" t="str">
        <f>HYPERLINK(".\links\tmhmm\AGAP009322-PA-tmhmm.txt","1")</f>
        <v>1</v>
      </c>
      <c r="AK87" s="2">
        <v>8.8000000000000007</v>
      </c>
      <c r="AL87" s="2">
        <v>1.4</v>
      </c>
      <c r="AM87" s="2">
        <v>89.8</v>
      </c>
      <c r="AN87" s="13" t="str">
        <f>HYPERLINK(".\links\gpi\AGAP009322-PA-gpi.txt","N")</f>
        <v>N</v>
      </c>
      <c r="AO87" s="14" t="str">
        <f>HYPERLINK(".\links\netoglyc\AGAP009322-PA-netoglyc.txt","0")</f>
        <v>0</v>
      </c>
      <c r="AP87" s="13">
        <v>13</v>
      </c>
      <c r="AQ87" s="2">
        <v>3.2</v>
      </c>
      <c r="AR87" s="2">
        <v>0.5</v>
      </c>
      <c r="AS87" s="2" t="s">
        <v>104</v>
      </c>
      <c r="AT87" s="9" t="str">
        <f>HYPERLINK(".\links\NR-LIGHT\AGAP009322-PA-NR-LIGHT.txt","AGAP009322-PA")</f>
        <v>AGAP009322-PA</v>
      </c>
      <c r="AU87" s="2" t="str">
        <f>HYPERLINK("http://www.ncbi.nlm.nih.gov/sutils/blink.cgi?pid=XP_309991.2","1E-114")</f>
        <v>1E-114</v>
      </c>
      <c r="AV87" s="2" t="str">
        <f>HYPERLINK("http://www.ncbi.nlm.nih.gov/protein/XP_309991.2","XP_309991.2")</f>
        <v>XP_309991.2</v>
      </c>
      <c r="AW87" s="2">
        <v>100</v>
      </c>
      <c r="AX87" s="2">
        <v>100</v>
      </c>
      <c r="AY87" s="2">
        <v>100</v>
      </c>
      <c r="AZ87" s="2" t="s">
        <v>105</v>
      </c>
      <c r="BA87" s="9" t="str">
        <f>HYPERLINK(".\links\REFSEQ-INVERTEBRATE\AGAP009322-PA-REFSEQ-INVERTEBRATE.txt","AGAP009322-PA")</f>
        <v>AGAP009322-PA</v>
      </c>
      <c r="BB87" s="2" t="str">
        <f>HYPERLINK("http://www.ncbi.nlm.nih.gov/sutils/blink.cgi?pid=XP_309991.2","1E-114")</f>
        <v>1E-114</v>
      </c>
      <c r="BC87" s="2" t="str">
        <f>HYPERLINK("http://www.ncbi.nlm.nih.gov/protein/XP_309991.2","XP_309991.2")</f>
        <v>XP_309991.2</v>
      </c>
      <c r="BD87" s="2">
        <v>100</v>
      </c>
      <c r="BE87" s="2">
        <v>100</v>
      </c>
      <c r="BF87" s="2">
        <v>100</v>
      </c>
      <c r="BG87" s="2" t="s">
        <v>105</v>
      </c>
      <c r="BH87" s="9" t="str">
        <f>HYPERLINK(".\links\REFSEQ-PROTOZOA\AGAP009322-PA-REFSEQ-PROTOZOA.txt","hypothetical protein PTSG_00192")</f>
        <v>hypothetical protein PTSG_00192</v>
      </c>
      <c r="BI87" s="2" t="str">
        <f>HYPERLINK("http://www.ncbi.nlm.nih.gov/sutils/blink.cgi?pid=XP_004998742.1","2E-028")</f>
        <v>2E-028</v>
      </c>
      <c r="BJ87" s="2" t="str">
        <f>HYPERLINK("http://www.ncbi.nlm.nih.gov/protein/XP_004998742.1","XP_004998742.1")</f>
        <v>XP_004998742.1</v>
      </c>
      <c r="BK87" s="2">
        <v>33</v>
      </c>
      <c r="BL87" s="2">
        <v>58</v>
      </c>
      <c r="BM87" s="2">
        <v>98</v>
      </c>
      <c r="BN87" s="2" t="s">
        <v>435</v>
      </c>
      <c r="BO87" s="9" t="str">
        <f>HYPERLINK(".\links\SWISSP\AGAP009322-PA-SWISSP.txt","Vesicle transport through interaction with t-SNAREs homolog 1A")</f>
        <v>Vesicle transport through interaction with t-SNAREs homolog 1A</v>
      </c>
      <c r="BP87" s="2" t="str">
        <f>HYPERLINK("http://www.uniprot.org/uniprot/Q96AJ9","5E-045")</f>
        <v>5E-045</v>
      </c>
      <c r="BQ87" s="2" t="str">
        <f>HYPERLINK("http://www.uniprot.org/uniprot/Q96AJ9#expression","Q96AJ9")</f>
        <v>Q96AJ9</v>
      </c>
      <c r="BR87" s="2">
        <v>42</v>
      </c>
      <c r="BS87" s="2">
        <v>69</v>
      </c>
      <c r="BT87" s="2">
        <v>97</v>
      </c>
      <c r="BU87" s="2" t="s">
        <v>127</v>
      </c>
      <c r="BV87" s="9" t="str">
        <f>HYPERLINK(".\links\FLYBASE\AGAP009322-PA-FLYBASE.txt","FBpp0072503")</f>
        <v>FBpp0072503</v>
      </c>
      <c r="BW87" s="2" t="str">
        <f>HYPERLINK("http://flybase.org/reports/FBgn0260862#alliance_summary_container","4E-65")</f>
        <v>4E-65</v>
      </c>
      <c r="BX87" s="2">
        <v>230</v>
      </c>
      <c r="BY87" s="2">
        <v>47</v>
      </c>
      <c r="BZ87" s="2">
        <v>69</v>
      </c>
      <c r="CA87" s="2">
        <v>96</v>
      </c>
      <c r="CB87" s="9" t="str">
        <f>HYPERLINK(".\links\CDD\AGAP009322-PA-CDD.txt","SNARE_Vti1a, SNARE motif of Vti1b-like")</f>
        <v>SNARE_Vti1a, SNARE motif of Vti1b-like</v>
      </c>
      <c r="CC87" s="15">
        <v>2.9999999999999999E-19</v>
      </c>
      <c r="CD87" s="2">
        <v>100</v>
      </c>
      <c r="CE87" s="2" t="s">
        <v>1083</v>
      </c>
      <c r="CF87" s="2" t="s">
        <v>1084</v>
      </c>
      <c r="CG87" s="9" t="str">
        <f>HYPERLINK(".\links\KOG\AGAP009322-PA-KOG.txt","V-SNARE")</f>
        <v>V-SNARE</v>
      </c>
      <c r="CH87" s="15">
        <v>3.9999999999999999E-48</v>
      </c>
      <c r="CI87" s="2">
        <v>99.1</v>
      </c>
      <c r="CJ87" s="2" t="s">
        <v>1085</v>
      </c>
      <c r="CK87" s="2" t="s">
        <v>154</v>
      </c>
      <c r="CL87" s="9" t="str">
        <f>HYPERLINK(".\links\PFAM\AGAP009322-PA-PFAM.txt","V-SNARE, Vesicle transport v-SNARE protein N-terminus")</f>
        <v>V-SNARE, Vesicle transport v-SNARE protein N-terminus</v>
      </c>
      <c r="CM87" s="15">
        <v>2.0000000000000002E-15</v>
      </c>
      <c r="CN87" s="2">
        <v>100</v>
      </c>
      <c r="CO87" s="2" t="s">
        <v>1086</v>
      </c>
      <c r="CP87" s="9" t="str">
        <f>HYPERLINK(".\links\SMART\AGAP009322-PA-SMART.txt","t_SNARE, Helical region found in SNAREs")</f>
        <v>t_SNARE, Helical region found in SNAREs</v>
      </c>
      <c r="CQ87" s="15">
        <v>4.0000000000000002E-4</v>
      </c>
      <c r="CR87" s="2">
        <v>98.5</v>
      </c>
      <c r="CS87" s="2" t="s">
        <v>1087</v>
      </c>
      <c r="CT87" s="2" t="s">
        <v>1080</v>
      </c>
      <c r="CU87" s="2" t="s">
        <v>1080</v>
      </c>
      <c r="CV87" s="2" t="s">
        <v>1080</v>
      </c>
      <c r="CW87" s="2" t="str">
        <f>HYPERLINK(".\links\pep\AGAP009322-PA-pep.txt","AGAP009322-PA")</f>
        <v>AGAP009322-PA</v>
      </c>
      <c r="CX87" s="2" t="s">
        <v>95</v>
      </c>
      <c r="CY87" s="2">
        <v>216</v>
      </c>
      <c r="CZ87" s="2" t="s">
        <v>113</v>
      </c>
      <c r="DA87" s="2" t="s">
        <v>1088</v>
      </c>
      <c r="DB87" s="2">
        <v>0</v>
      </c>
      <c r="DC87" s="2">
        <v>0</v>
      </c>
      <c r="DD87" s="2" t="str">
        <f>HYPERLINK("https://www.kegg.jp/kegg-bin/search_pathway_text?map=aga&amp;keyword=AGAP009322&amp;mode=1&amp;viewImage=true","AGAP009322")</f>
        <v>AGAP009322</v>
      </c>
      <c r="DE87" s="2" t="s">
        <v>1075</v>
      </c>
      <c r="DF87" s="2" t="s">
        <v>1076</v>
      </c>
      <c r="DG87" s="2" t="s">
        <v>94</v>
      </c>
      <c r="DH87" s="2" t="str">
        <f>HYPERLINK("https://vectorbase.org/vectorbase/app/record/gene/AGAP009322","AGAP009322-RA")</f>
        <v>AGAP009322-RA</v>
      </c>
      <c r="DI87" s="2" t="s">
        <v>135</v>
      </c>
      <c r="DJ87" s="2">
        <v>1077</v>
      </c>
      <c r="DK87" s="2" t="str">
        <f>HYPERLINK(".\links\netoglyc\AGAP009322-PA-netoglyc.txt","0")</f>
        <v>0</v>
      </c>
      <c r="DL87" s="2">
        <v>13</v>
      </c>
      <c r="DM87" s="2">
        <v>3.2</v>
      </c>
      <c r="DN87" s="2">
        <v>0.5</v>
      </c>
      <c r="DO87" s="2" t="s">
        <v>104</v>
      </c>
      <c r="DP87" s="2" t="s">
        <v>102</v>
      </c>
      <c r="DQ87" s="2" t="str">
        <f>HYPERLINK(".\links\Sigp\AGAP009322-PA-SigP.txt","CYT")</f>
        <v>CYT</v>
      </c>
      <c r="DR87" s="2" t="s">
        <v>102</v>
      </c>
      <c r="DS87" s="2">
        <v>25.067</v>
      </c>
      <c r="DT87" s="2">
        <v>5.07</v>
      </c>
      <c r="DU87" s="2" t="s">
        <v>102</v>
      </c>
      <c r="DV87" s="2" t="s">
        <v>102</v>
      </c>
      <c r="DW87" s="2" t="s">
        <v>1082</v>
      </c>
      <c r="DX87" s="2">
        <v>216</v>
      </c>
      <c r="DY87" s="12" t="str">
        <f>HYPERLINK(".\links\tmhmm\AGAP009322-PA-tmhmm.txt","1")</f>
        <v>1</v>
      </c>
      <c r="DZ87" s="2">
        <v>8.8000000000000007</v>
      </c>
      <c r="EA87" s="2">
        <v>1.4</v>
      </c>
      <c r="EB87" s="2">
        <v>89.8</v>
      </c>
      <c r="EC87" s="2" t="str">
        <f>HYPERLINK(".\links\gpi\AGAP009322-PA-gpi.txt","Y-NoSP")</f>
        <v>Y-NoSP</v>
      </c>
      <c r="ED87" s="2">
        <v>0.37</v>
      </c>
      <c r="EF87" s="2">
        <v>1</v>
      </c>
      <c r="EG87" s="2" t="s">
        <v>102</v>
      </c>
      <c r="EH87" s="2" t="s">
        <v>102</v>
      </c>
      <c r="EI87" s="2">
        <v>12.962962962962999</v>
      </c>
      <c r="EJ87" s="2">
        <v>0.46296296296296302</v>
      </c>
      <c r="EK87" s="2">
        <v>3.24074074074074</v>
      </c>
      <c r="EL87" s="2">
        <v>3.7037037037037002</v>
      </c>
      <c r="EM87" s="2" t="s">
        <v>102</v>
      </c>
      <c r="EN87" s="2" t="s">
        <v>102</v>
      </c>
      <c r="EO87" s="2" t="s">
        <v>102</v>
      </c>
      <c r="EP87" s="2" t="s">
        <v>102</v>
      </c>
      <c r="EQ87" s="2" t="s">
        <v>102</v>
      </c>
      <c r="ER87" s="2" t="s">
        <v>102</v>
      </c>
      <c r="ES87" s="2" t="s">
        <v>102</v>
      </c>
      <c r="ET87" s="2" t="str">
        <f>HYPERLINK(".\links\REFSEQ-INVERTEBRATE\AGAP009322-PA-REFSEQ-INVERTEBRATE.txt","AGAP009322-PA")</f>
        <v>AGAP009322-PA</v>
      </c>
      <c r="EU87" s="2" t="str">
        <f>HYPERLINK("http://www.ncbi.nlm.nih.gov/sutils/blink.cgi?pid=XP_309991.2","1E-154")</f>
        <v>1E-154</v>
      </c>
      <c r="EV87" s="2" t="str">
        <f>HYPERLINK("http://www.ncbi.nlm.nih.gov/protein/XP_309991.2","XP_309991.2")</f>
        <v>XP_309991.2</v>
      </c>
      <c r="EW87" s="2">
        <v>100</v>
      </c>
      <c r="EX87" s="2">
        <v>100</v>
      </c>
      <c r="EY87" s="2">
        <v>100</v>
      </c>
      <c r="EZ87" s="2" t="s">
        <v>105</v>
      </c>
    </row>
    <row r="88" spans="1:156" x14ac:dyDescent="0.25">
      <c r="A88" s="2" t="s">
        <v>1089</v>
      </c>
      <c r="B88" s="2">
        <v>0.38402625287787101</v>
      </c>
      <c r="C88" s="2">
        <f t="shared" si="1"/>
        <v>1.3049786943114978</v>
      </c>
      <c r="D88" s="2">
        <v>5.2109416079628197</v>
      </c>
      <c r="E88" s="2">
        <v>12.2575668170015</v>
      </c>
      <c r="F88" s="2">
        <v>4.6337531881268299E-4</v>
      </c>
      <c r="G88" s="2">
        <v>2.4752630777388498E-2</v>
      </c>
      <c r="H88" s="2" t="s">
        <v>1090</v>
      </c>
      <c r="I88" s="2" t="s">
        <v>94</v>
      </c>
      <c r="J88" s="2" t="str">
        <f>HYPERLINK("https://vectorbase.org/vectorbase/app/record/gene/AGAP008693","AGAP008693-RA")</f>
        <v>AGAP008693-RA</v>
      </c>
      <c r="K88" s="2" t="str">
        <f>HYPERLINK(".\links\pep\AGAP008693-PA-pep.txt","AGAP008693-PA")</f>
        <v>AGAP008693-PA</v>
      </c>
      <c r="L88" s="12" t="s">
        <v>95</v>
      </c>
      <c r="M88" s="2">
        <v>125</v>
      </c>
      <c r="N88" s="2">
        <v>0</v>
      </c>
      <c r="O88" s="2">
        <v>1</v>
      </c>
      <c r="P88" s="2" t="s">
        <v>1091</v>
      </c>
      <c r="Q88" s="9" t="s">
        <v>1092</v>
      </c>
      <c r="R88" s="2" t="s">
        <v>164</v>
      </c>
      <c r="S88" s="2" t="str">
        <f>HYPERLINK(".\links\REFSEQ-INVERTEBRATE\AGAP008693-PA-REFSEQ-INVERTEBRATE.txt","REFSEQ-INVERTEBRATE")</f>
        <v>REFSEQ-INVERTEBRATE</v>
      </c>
      <c r="T88" s="2">
        <v>1.9999999999999999E-44</v>
      </c>
      <c r="U88" s="2">
        <v>99.1</v>
      </c>
      <c r="V88" s="2" t="s">
        <v>1093</v>
      </c>
      <c r="W88" s="10" t="s">
        <v>1094</v>
      </c>
      <c r="X88" s="2" t="s">
        <v>1095</v>
      </c>
      <c r="Y88" s="2" t="str">
        <f>HYPERLINK(".\links\REFSEQ-INVERTEBRATE\AGAP008693-PA-REFSEQ-INVERTEBRATE.txt","REFSEQ-INVERTEBRATE")</f>
        <v>REFSEQ-INVERTEBRATE</v>
      </c>
      <c r="Z88" s="15">
        <v>4.9999999999999999E-61</v>
      </c>
      <c r="AA88" s="2">
        <v>100.8</v>
      </c>
      <c r="AB88" s="13" t="s">
        <v>102</v>
      </c>
      <c r="AC88" s="13" t="str">
        <f>HYPERLINK(".\links\Sigp\AGAP008693-PA-SigP.txt","BL")</f>
        <v>BL</v>
      </c>
      <c r="AD88" s="2" t="s">
        <v>1096</v>
      </c>
      <c r="AE88" s="2">
        <v>13.625</v>
      </c>
      <c r="AF88" s="2">
        <v>4.72</v>
      </c>
      <c r="AG88" s="2">
        <v>7.7050000000000001</v>
      </c>
      <c r="AH88" s="2">
        <v>4.59</v>
      </c>
      <c r="AI88" s="2" t="s">
        <v>1097</v>
      </c>
      <c r="AJ88" s="13" t="str">
        <f>HYPERLINK(".\links\tmhmm\AGAP008693-PA-tmhmm.txt","4")</f>
        <v>4</v>
      </c>
      <c r="AK88" s="2">
        <v>70.400000000000006</v>
      </c>
      <c r="AL88" s="2">
        <v>20</v>
      </c>
      <c r="AM88" s="2">
        <v>9.6</v>
      </c>
      <c r="AN88" s="13" t="str">
        <f>HYPERLINK(".\links\gpi\AGAP008693-PA-gpi.txt","N")</f>
        <v>N</v>
      </c>
      <c r="AO88" s="14" t="str">
        <f>HYPERLINK(".\links\netoglyc\AGAP008693-PA-netoglyc.txt","0")</f>
        <v>0</v>
      </c>
      <c r="AP88" s="13">
        <v>11.2</v>
      </c>
      <c r="AQ88" s="2">
        <v>7.2</v>
      </c>
      <c r="AR88" s="2">
        <v>4.8</v>
      </c>
      <c r="AS88" s="2" t="s">
        <v>104</v>
      </c>
      <c r="AT88" s="9" t="str">
        <f>HYPERLINK(".\links\NR-LIGHT\AGAP008693-PA-NR-LIGHT.txt","AGAP008693-PA")</f>
        <v>AGAP008693-PA</v>
      </c>
      <c r="AU88" s="2" t="str">
        <f>HYPERLINK("http://www.ncbi.nlm.nih.gov/sutils/blink.cgi?pid=XP_001237600.2","5E-066")</f>
        <v>5E-066</v>
      </c>
      <c r="AV88" s="2" t="str">
        <f>HYPERLINK("http://www.ncbi.nlm.nih.gov/protein/XP_001237600.2","XP_001237600.2")</f>
        <v>XP_001237600.2</v>
      </c>
      <c r="AW88" s="2">
        <v>100</v>
      </c>
      <c r="AX88" s="2">
        <v>100</v>
      </c>
      <c r="AY88" s="2">
        <v>100</v>
      </c>
      <c r="AZ88" s="2" t="s">
        <v>105</v>
      </c>
      <c r="BA88" s="9" t="str">
        <f>HYPERLINK(".\links\REFSEQ-INVERTEBRATE\AGAP008693-PA-REFSEQ-INVERTEBRATE.txt","AGAP008693-PA")</f>
        <v>AGAP008693-PA</v>
      </c>
      <c r="BB88" s="2" t="str">
        <f>HYPERLINK("http://www.ncbi.nlm.nih.gov/sutils/blink.cgi?pid=XP_001237600.2","5E-066")</f>
        <v>5E-066</v>
      </c>
      <c r="BC88" s="2" t="str">
        <f>HYPERLINK("http://www.ncbi.nlm.nih.gov/protein/XP_001237600.2","XP_001237600.2")</f>
        <v>XP_001237600.2</v>
      </c>
      <c r="BD88" s="2">
        <v>100</v>
      </c>
      <c r="BE88" s="2">
        <v>100</v>
      </c>
      <c r="BF88" s="2">
        <v>100</v>
      </c>
      <c r="BG88" s="2" t="s">
        <v>105</v>
      </c>
      <c r="BH88" s="9" t="str">
        <f>HYPERLINK(".\links\REFSEQ-PROTOZOA\AGAP008693-PA-REFSEQ-PROTOZOA.txt","hypothetical protein PTSG_00130")</f>
        <v>hypothetical protein PTSG_00130</v>
      </c>
      <c r="BI88" s="2" t="str">
        <f>HYPERLINK("http://www.ncbi.nlm.nih.gov/sutils/blink.cgi?pid=XP_004998685.1","1E-016")</f>
        <v>1E-016</v>
      </c>
      <c r="BJ88" s="2" t="str">
        <f>HYPERLINK("http://www.ncbi.nlm.nih.gov/protein/XP_004998685.1","XP_004998685.1")</f>
        <v>XP_004998685.1</v>
      </c>
      <c r="BK88" s="2">
        <v>37</v>
      </c>
      <c r="BL88" s="2">
        <v>54</v>
      </c>
      <c r="BM88" s="2">
        <v>92</v>
      </c>
      <c r="BN88" s="2" t="s">
        <v>435</v>
      </c>
      <c r="BO88" s="9" t="str">
        <f>HYPERLINK(".\links\SWISSP\AGAP008693-PA-SWISSP.txt","Leptin receptor gene-related protein")</f>
        <v>Leptin receptor gene-related protein</v>
      </c>
      <c r="BP88" s="2" t="str">
        <f>HYPERLINK("http://www.uniprot.org/uniprot/Q5PSV5","1E-028")</f>
        <v>1E-028</v>
      </c>
      <c r="BQ88" s="2" t="str">
        <f>HYPERLINK("http://www.uniprot.org/uniprot/Q5PSV5#expression","Q5PSV5")</f>
        <v>Q5PSV5</v>
      </c>
      <c r="BR88" s="2">
        <v>46</v>
      </c>
      <c r="BS88" s="2">
        <v>65</v>
      </c>
      <c r="BT88" s="2">
        <v>95</v>
      </c>
      <c r="BU88" s="2" t="s">
        <v>1098</v>
      </c>
      <c r="BV88" s="9" t="str">
        <f>HYPERLINK(".\links\FLYBASE\AGAP008693-PA-FLYBASE.txt","FBpp0312189")</f>
        <v>FBpp0312189</v>
      </c>
      <c r="BW88" s="2" t="str">
        <f>HYPERLINK("http://flybase.org/reports/FBgn0050423#alliance_summary_container","1E-26")</f>
        <v>1E-26</v>
      </c>
      <c r="BX88" s="2">
        <v>126</v>
      </c>
      <c r="BY88" s="2">
        <v>47</v>
      </c>
      <c r="BZ88" s="2">
        <v>63</v>
      </c>
      <c r="CA88" s="2">
        <v>89</v>
      </c>
      <c r="CB88" s="9" t="str">
        <f>HYPERLINK(".\links\CDD\AGAP008693-PA-CDD.txt","Vps55, Vacuolar protein sorting 55")</f>
        <v>Vps55, Vacuolar protein sorting 55</v>
      </c>
      <c r="CC88" s="15">
        <v>9.9999999999999997E-29</v>
      </c>
      <c r="CD88" s="2">
        <v>101.7</v>
      </c>
      <c r="CE88" s="2" t="s">
        <v>1099</v>
      </c>
      <c r="CF88" s="2" t="s">
        <v>1100</v>
      </c>
      <c r="CG88" s="9" t="str">
        <f>HYPERLINK(".\links\KOG\AGAP008693-PA-KOG.txt","Leptin receptor gene-related protein")</f>
        <v>Leptin receptor gene-related protein</v>
      </c>
      <c r="CH88" s="15">
        <v>8.9999999999999994E-21</v>
      </c>
      <c r="CI88" s="2">
        <v>96.9</v>
      </c>
      <c r="CJ88" s="2" t="s">
        <v>1101</v>
      </c>
      <c r="CK88" s="2" t="s">
        <v>173</v>
      </c>
      <c r="CL88" s="9" t="str">
        <f>HYPERLINK(".\links\PFAM\AGAP008693-PA-PFAM.txt","Vps55, Vacuolar protein sorting 55")</f>
        <v>Vps55, Vacuolar protein sorting 55</v>
      </c>
      <c r="CM88" s="15">
        <v>3.9999999999999998E-29</v>
      </c>
      <c r="CN88" s="2">
        <v>101.7</v>
      </c>
      <c r="CO88" s="2" t="s">
        <v>1099</v>
      </c>
      <c r="CP88" s="9" t="str">
        <f>HYPERLINK(".\links\SMART\AGAP008693-PA-SMART.txt","FCD, This entry represents the C-terminal ligand binding domain of many members of the GntR family")</f>
        <v>FCD, This entry represents the C-terminal ligand binding domain of many members of the GntR family</v>
      </c>
      <c r="CQ88" s="15">
        <v>2.2000000000000002</v>
      </c>
      <c r="CR88" s="2">
        <v>13.8</v>
      </c>
      <c r="CS88" s="2" t="s">
        <v>1102</v>
      </c>
      <c r="CT88" s="2" t="s">
        <v>1093</v>
      </c>
      <c r="CU88" s="2" t="s">
        <v>1093</v>
      </c>
      <c r="CV88" s="2" t="s">
        <v>1093</v>
      </c>
      <c r="CW88" s="2" t="str">
        <f>HYPERLINK(".\links\pep\AGAP008693-PA-pep.txt","AGAP008693-PA")</f>
        <v>AGAP008693-PA</v>
      </c>
      <c r="CX88" s="2" t="s">
        <v>95</v>
      </c>
      <c r="CY88" s="2">
        <v>125</v>
      </c>
      <c r="CZ88" s="2" t="s">
        <v>113</v>
      </c>
      <c r="DA88" s="2" t="s">
        <v>1103</v>
      </c>
      <c r="DB88" s="2">
        <v>0</v>
      </c>
      <c r="DC88" s="2">
        <v>1</v>
      </c>
      <c r="DD88" s="2" t="str">
        <f>HYPERLINK("https://www.kegg.jp/kegg-bin/search_pathway_text?map=aga&amp;keyword=AGAP008693&amp;mode=1&amp;viewImage=true","AGAP008693")</f>
        <v>AGAP008693</v>
      </c>
      <c r="DE88" s="2" t="s">
        <v>1089</v>
      </c>
      <c r="DF88" s="2" t="s">
        <v>1090</v>
      </c>
      <c r="DG88" s="2" t="s">
        <v>94</v>
      </c>
      <c r="DH88" s="2" t="str">
        <f>HYPERLINK("https://vectorbase.org/vectorbase/app/record/gene/AGAP008693","AGAP008693-RA")</f>
        <v>AGAP008693-RA</v>
      </c>
      <c r="DI88" s="2" t="s">
        <v>90</v>
      </c>
      <c r="DJ88" s="2">
        <v>706</v>
      </c>
      <c r="DK88" s="2" t="str">
        <f>HYPERLINK(".\links\netoglyc\AGAP008693-PA-netoglyc.txt","0")</f>
        <v>0</v>
      </c>
      <c r="DL88" s="2">
        <v>11.2</v>
      </c>
      <c r="DM88" s="2">
        <v>7.2</v>
      </c>
      <c r="DN88" s="2">
        <v>4.8</v>
      </c>
      <c r="DO88" s="2" t="s">
        <v>104</v>
      </c>
      <c r="DP88" s="2" t="s">
        <v>102</v>
      </c>
      <c r="DQ88" s="2" t="str">
        <f>HYPERLINK(".\links\Sigp\AGAP008693-PA-SigP.txt","BL")</f>
        <v>BL</v>
      </c>
      <c r="DR88" s="2" t="s">
        <v>1096</v>
      </c>
      <c r="DS88" s="2">
        <v>13.625</v>
      </c>
      <c r="DT88" s="2">
        <v>4.72</v>
      </c>
      <c r="DU88" s="2">
        <v>7.7050000000000001</v>
      </c>
      <c r="DV88" s="2">
        <v>4.59</v>
      </c>
      <c r="DW88" s="2" t="s">
        <v>1097</v>
      </c>
      <c r="DX88" s="2">
        <v>125</v>
      </c>
      <c r="DY88" s="12" t="str">
        <f>HYPERLINK(".\links\tmhmm\AGAP008693-PA-tmhmm.txt","4")</f>
        <v>4</v>
      </c>
      <c r="DZ88" s="2">
        <v>70.400000000000006</v>
      </c>
      <c r="EA88" s="2">
        <v>20</v>
      </c>
      <c r="EB88" s="2">
        <v>9.6</v>
      </c>
      <c r="EC88" s="2" t="str">
        <f>HYPERLINK(".\links\gpi\AGAP008693-PA-gpi.txt","Y-NoSP")</f>
        <v>Y-NoSP</v>
      </c>
      <c r="ED88" s="2">
        <v>0.52</v>
      </c>
      <c r="EE88" s="2" t="s">
        <v>1104</v>
      </c>
      <c r="EF88" s="2">
        <v>3</v>
      </c>
      <c r="EG88" s="2" t="s">
        <v>102</v>
      </c>
      <c r="EH88" s="2" t="s">
        <v>102</v>
      </c>
      <c r="EI88" s="2">
        <v>11.2</v>
      </c>
      <c r="EJ88" s="2">
        <v>4.8</v>
      </c>
      <c r="EK88" s="2">
        <v>7.2</v>
      </c>
      <c r="EL88" s="2">
        <v>12</v>
      </c>
      <c r="EM88" s="2" t="s">
        <v>102</v>
      </c>
      <c r="EN88" s="2">
        <v>1</v>
      </c>
      <c r="EO88" s="2">
        <v>1</v>
      </c>
      <c r="EP88" s="2" t="s">
        <v>102</v>
      </c>
      <c r="EQ88" s="2" t="s">
        <v>102</v>
      </c>
      <c r="ER88" s="2" t="s">
        <v>102</v>
      </c>
      <c r="ES88" s="2" t="s">
        <v>102</v>
      </c>
      <c r="ET88" s="2" t="str">
        <f>HYPERLINK(".\links\REFSEQ-INVERTEBRATE\AGAP008693-PA-REFSEQ-INVERTEBRATE.txt","AGAP008693-PA")</f>
        <v>AGAP008693-PA</v>
      </c>
      <c r="EU88" s="2" t="str">
        <f>HYPERLINK("http://www.ncbi.nlm.nih.gov/sutils/blink.cgi?pid=XP_001237600.2","3E-85")</f>
        <v>3E-85</v>
      </c>
      <c r="EV88" s="2" t="str">
        <f>HYPERLINK("http://www.ncbi.nlm.nih.gov/protein/XP_001237600.2","XP_001237600.2")</f>
        <v>XP_001237600.2</v>
      </c>
      <c r="EW88" s="2">
        <v>100</v>
      </c>
      <c r="EX88" s="2">
        <v>100</v>
      </c>
      <c r="EY88" s="2">
        <v>100</v>
      </c>
      <c r="EZ88" s="2" t="s">
        <v>105</v>
      </c>
    </row>
    <row r="89" spans="1:156" x14ac:dyDescent="0.25">
      <c r="A89" s="2" t="s">
        <v>1105</v>
      </c>
      <c r="B89" s="2">
        <v>0.38308777434503699</v>
      </c>
      <c r="C89" s="2">
        <f t="shared" si="1"/>
        <v>1.3041300768227715</v>
      </c>
      <c r="D89" s="2">
        <v>7.2715440923128103</v>
      </c>
      <c r="E89" s="2">
        <v>11.4334303021641</v>
      </c>
      <c r="F89" s="2">
        <v>7.2134388427966495E-4</v>
      </c>
      <c r="G89" s="2">
        <v>2.9060416152416502E-2</v>
      </c>
      <c r="H89" s="2" t="s">
        <v>1106</v>
      </c>
      <c r="I89" s="2" t="s">
        <v>94</v>
      </c>
      <c r="J89" s="2" t="str">
        <f>HYPERLINK("https://vectorbase.org/vectorbase/app/record/gene/AGAP004704","AGAP004704-RA")</f>
        <v>AGAP004704-RA</v>
      </c>
      <c r="K89" s="2" t="str">
        <f>HYPERLINK(".\links\pep\AGAP004704-PA-pep.txt","AGAP004704-PA")</f>
        <v>AGAP004704-PA</v>
      </c>
      <c r="L89" s="12" t="s">
        <v>95</v>
      </c>
      <c r="M89" s="2">
        <v>481</v>
      </c>
      <c r="N89" s="2">
        <v>0</v>
      </c>
      <c r="O89" s="2">
        <v>3</v>
      </c>
      <c r="P89" s="2" t="s">
        <v>1107</v>
      </c>
      <c r="Q89" s="9" t="s">
        <v>1108</v>
      </c>
      <c r="R89" s="2" t="s">
        <v>196</v>
      </c>
      <c r="S89" s="2" t="str">
        <f>HYPERLINK(".\links\REFSEQ-INVERTEBRATE\AGAP004704-PA-REFSEQ-INVERTEBRATE.txt","REFSEQ-INVERTEBRATE")</f>
        <v>REFSEQ-INVERTEBRATE</v>
      </c>
      <c r="T89" s="2">
        <v>0</v>
      </c>
      <c r="U89" s="2">
        <v>100</v>
      </c>
      <c r="V89" s="2" t="s">
        <v>1108</v>
      </c>
      <c r="W89" s="10" t="s">
        <v>1109</v>
      </c>
      <c r="X89" s="2" t="s">
        <v>781</v>
      </c>
      <c r="Y89" s="2" t="str">
        <f>HYPERLINK(".\links\CDD\AGAP004704-PA-CDD.txt","CDD")</f>
        <v>CDD</v>
      </c>
      <c r="Z89" s="2">
        <v>0</v>
      </c>
      <c r="AA89" s="2">
        <v>100</v>
      </c>
      <c r="AB89" s="13" t="s">
        <v>102</v>
      </c>
      <c r="AC89" s="13" t="str">
        <f>HYPERLINK(".\links\Sigp\AGAP004704-PA-SigP.txt","CYT")</f>
        <v>CYT</v>
      </c>
      <c r="AD89" s="2" t="s">
        <v>102</v>
      </c>
      <c r="AE89" s="2">
        <v>55.27</v>
      </c>
      <c r="AF89" s="2">
        <v>8.94</v>
      </c>
      <c r="AG89" s="2" t="s">
        <v>102</v>
      </c>
      <c r="AH89" s="2" t="s">
        <v>102</v>
      </c>
      <c r="AI89" s="2" t="s">
        <v>611</v>
      </c>
      <c r="AJ89" s="13">
        <v>0</v>
      </c>
      <c r="AK89" s="2" t="s">
        <v>102</v>
      </c>
      <c r="AL89" s="2" t="s">
        <v>102</v>
      </c>
      <c r="AM89" s="2" t="s">
        <v>102</v>
      </c>
      <c r="AN89" s="13" t="str">
        <f>HYPERLINK(".\links\gpi\AGAP004704-PA-gpi.txt","N")</f>
        <v>N</v>
      </c>
      <c r="AO89" s="14" t="str">
        <f>HYPERLINK(".\links\netoglyc\AGAP004704-PA-netoglyc.txt","1")</f>
        <v>1</v>
      </c>
      <c r="AP89" s="13">
        <v>10.199999999999999</v>
      </c>
      <c r="AQ89" s="2">
        <v>5.4</v>
      </c>
      <c r="AR89" s="2">
        <v>4.4000000000000004</v>
      </c>
      <c r="AS89" s="2" t="s">
        <v>104</v>
      </c>
      <c r="AT89" s="9" t="str">
        <f>HYPERLINK(".\links\NR-LIGHT\AGAP004704-PA-NR-LIGHT.txt","AGAP004704-PA")</f>
        <v>AGAP004704-PA</v>
      </c>
      <c r="AU89" s="2" t="str">
        <f>HYPERLINK("http://www.ncbi.nlm.nih.gov/sutils/blink.cgi?pid=XP_318129.4","0.0")</f>
        <v>0.0</v>
      </c>
      <c r="AV89" s="2" t="str">
        <f>HYPERLINK("http://www.ncbi.nlm.nih.gov/protein/XP_318129.4","XP_318129.4")</f>
        <v>XP_318129.4</v>
      </c>
      <c r="AW89" s="2">
        <v>100</v>
      </c>
      <c r="AX89" s="2">
        <v>100</v>
      </c>
      <c r="AY89" s="2">
        <v>100</v>
      </c>
      <c r="AZ89" s="2" t="s">
        <v>105</v>
      </c>
      <c r="BA89" s="9" t="str">
        <f>HYPERLINK(".\links\REFSEQ-INVERTEBRATE\AGAP004704-PA-REFSEQ-INVERTEBRATE.txt","AGAP004704-PA")</f>
        <v>AGAP004704-PA</v>
      </c>
      <c r="BB89" s="2" t="str">
        <f>HYPERLINK("http://www.ncbi.nlm.nih.gov/sutils/blink.cgi?pid=XP_318129.4","0.0")</f>
        <v>0.0</v>
      </c>
      <c r="BC89" s="2" t="str">
        <f>HYPERLINK("http://www.ncbi.nlm.nih.gov/protein/XP_318129.4","XP_318129.4")</f>
        <v>XP_318129.4</v>
      </c>
      <c r="BD89" s="2">
        <v>100</v>
      </c>
      <c r="BE89" s="2">
        <v>100</v>
      </c>
      <c r="BF89" s="2">
        <v>100</v>
      </c>
      <c r="BG89" s="2" t="s">
        <v>105</v>
      </c>
      <c r="BH89" s="9" t="str">
        <f>HYPERLINK(".\links\REFSEQ-PROTOZOA\AGAP004704-PA-REFSEQ-PROTOZOA.txt","PHDfinger domain containing protein")</f>
        <v>PHDfinger domain containing protein</v>
      </c>
      <c r="BI89" s="2" t="str">
        <f>HYPERLINK("http://www.ncbi.nlm.nih.gov/sutils/blink.cgi?pid=XP_004337385.1","1E-027")</f>
        <v>1E-027</v>
      </c>
      <c r="BJ89" s="2" t="str">
        <f>HYPERLINK("http://www.ncbi.nlm.nih.gov/protein/XP_004337385.1","XP_004337385.1")</f>
        <v>XP_004337385.1</v>
      </c>
      <c r="BK89" s="2">
        <v>23</v>
      </c>
      <c r="BL89" s="2">
        <v>38</v>
      </c>
      <c r="BM89" s="2">
        <v>94</v>
      </c>
      <c r="BN89" s="2" t="s">
        <v>600</v>
      </c>
      <c r="BO89" s="9" t="str">
        <f>HYPERLINK(".\links\SWISSP\AGAP004704-PA-SWISSP.txt","CXXC-type zinc finger protein 1")</f>
        <v>CXXC-type zinc finger protein 1</v>
      </c>
      <c r="BP89" s="2" t="str">
        <f>HYPERLINK("http://www.uniprot.org/uniprot/Q9W352","0.0")</f>
        <v>0.0</v>
      </c>
      <c r="BQ89" s="2" t="str">
        <f>HYPERLINK("http://www.uniprot.org/uniprot/Q9W352#expression","Q9W352")</f>
        <v>Q9W352</v>
      </c>
      <c r="BR89" s="2">
        <v>60</v>
      </c>
      <c r="BS89" s="2">
        <v>72</v>
      </c>
      <c r="BT89" s="2">
        <v>79</v>
      </c>
      <c r="BU89" s="2" t="s">
        <v>107</v>
      </c>
      <c r="BV89" s="9" t="str">
        <f>HYPERLINK(".\links\FLYBASE\AGAP004704-PA-FLYBASE.txt","FBpp0071262")</f>
        <v>FBpp0071262</v>
      </c>
      <c r="BW89" s="2" t="str">
        <f>HYPERLINK("http://flybase.org/reports/FBgn0030121#alliance_summary_container","0.0")</f>
        <v>0.0</v>
      </c>
      <c r="BX89" s="2">
        <v>663</v>
      </c>
      <c r="BY89" s="2">
        <v>60</v>
      </c>
      <c r="BZ89" s="2">
        <v>72</v>
      </c>
      <c r="CA89" s="2">
        <v>79</v>
      </c>
      <c r="CB89" s="9" t="str">
        <f>HYPERLINK(".\links\CDD\AGAP004704-PA-CDD.txt","zf-CpG_bind_C, CpG binding protein zinc finger C terminal domain")</f>
        <v>zf-CpG_bind_C, CpG binding protein zinc finger C terminal domain</v>
      </c>
      <c r="CC89" s="15">
        <v>9.9999999999999998E-114</v>
      </c>
      <c r="CD89" s="2">
        <v>100</v>
      </c>
      <c r="CE89" s="2" t="s">
        <v>1110</v>
      </c>
      <c r="CF89" s="2" t="s">
        <v>1111</v>
      </c>
      <c r="CG89" s="9" t="str">
        <f>HYPERLINK(".\links\KOG\AGAP004704-PA-KOG.txt","Uncharacterized PHD Zn-finger protein")</f>
        <v>Uncharacterized PHD Zn-finger protein</v>
      </c>
      <c r="CH89" s="15">
        <v>2.9999999999999999E-21</v>
      </c>
      <c r="CI89" s="2">
        <v>80.900000000000006</v>
      </c>
      <c r="CJ89" s="2" t="s">
        <v>1112</v>
      </c>
      <c r="CK89" s="2" t="s">
        <v>191</v>
      </c>
      <c r="CL89" s="9" t="str">
        <f>HYPERLINK(".\links\PFAM\AGAP004704-PA-PFAM.txt","zf-CpG_bind_C, CpG binding protein zinc finger C terminal domain")</f>
        <v>zf-CpG_bind_C, CpG binding protein zinc finger C terminal domain</v>
      </c>
      <c r="CM89" s="15">
        <v>9.9999999999999998E-114</v>
      </c>
      <c r="CN89" s="2">
        <v>100</v>
      </c>
      <c r="CO89" s="2" t="s">
        <v>1110</v>
      </c>
      <c r="CP89" s="9" t="str">
        <f>HYPERLINK(".\links\SMART\AGAP004704-PA-SMART.txt","PHD, PHD zinc finger")</f>
        <v>PHD, PHD zinc finger</v>
      </c>
      <c r="CQ89" s="15">
        <v>3.9999999999999998E-7</v>
      </c>
      <c r="CR89" s="2">
        <v>95.7</v>
      </c>
      <c r="CS89" s="2" t="s">
        <v>206</v>
      </c>
      <c r="CT89" s="2" t="s">
        <v>1108</v>
      </c>
      <c r="CU89" s="2" t="s">
        <v>1108</v>
      </c>
      <c r="CV89" s="2" t="s">
        <v>1108</v>
      </c>
      <c r="CW89" s="2" t="str">
        <f>HYPERLINK(".\links\pep\AGAP004704-PA-pep.txt","AGAP004704-PA")</f>
        <v>AGAP004704-PA</v>
      </c>
      <c r="CX89" s="2" t="s">
        <v>95</v>
      </c>
      <c r="CY89" s="2">
        <v>481</v>
      </c>
      <c r="CZ89" s="2" t="s">
        <v>113</v>
      </c>
      <c r="DA89" s="2" t="s">
        <v>1113</v>
      </c>
      <c r="DB89" s="2">
        <v>0</v>
      </c>
      <c r="DC89" s="2">
        <v>3</v>
      </c>
      <c r="DD89" s="2" t="str">
        <f>HYPERLINK("https://www.kegg.jp/kegg-bin/search_pathway_text?map=aga&amp;keyword=AGAP004704&amp;mode=1&amp;viewImage=true","AGAP004704")</f>
        <v>AGAP004704</v>
      </c>
      <c r="DE89" s="2" t="s">
        <v>1105</v>
      </c>
      <c r="DF89" s="2" t="s">
        <v>1106</v>
      </c>
      <c r="DG89" s="2" t="s">
        <v>94</v>
      </c>
      <c r="DH89" s="2" t="str">
        <f>HYPERLINK("https://vectorbase.org/vectorbase/app/record/gene/AGAP004704","AGAP004704-RA")</f>
        <v>AGAP004704-RA</v>
      </c>
      <c r="DI89" s="2" t="s">
        <v>115</v>
      </c>
      <c r="DJ89" s="2">
        <v>1604</v>
      </c>
      <c r="DK89" s="2" t="str">
        <f>HYPERLINK(".\links\netoglyc\AGAP004704-PA-netoglyc.txt","1")</f>
        <v>1</v>
      </c>
      <c r="DL89" s="2">
        <v>10.199999999999999</v>
      </c>
      <c r="DM89" s="2">
        <v>5.4</v>
      </c>
      <c r="DN89" s="2">
        <v>4.4000000000000004</v>
      </c>
      <c r="DO89" s="2" t="s">
        <v>104</v>
      </c>
      <c r="DP89" s="2" t="s">
        <v>1114</v>
      </c>
      <c r="DQ89" s="2" t="str">
        <f>HYPERLINK(".\links\Sigp\AGAP004704-PA-SigP.txt","CYT")</f>
        <v>CYT</v>
      </c>
      <c r="DR89" s="2" t="s">
        <v>102</v>
      </c>
      <c r="DS89" s="2">
        <v>55.27</v>
      </c>
      <c r="DT89" s="2">
        <v>8.94</v>
      </c>
      <c r="DU89" s="2" t="s">
        <v>102</v>
      </c>
      <c r="DV89" s="2" t="s">
        <v>102</v>
      </c>
      <c r="DW89" s="2" t="s">
        <v>611</v>
      </c>
      <c r="DX89" s="2">
        <v>481</v>
      </c>
      <c r="DY89" s="12">
        <v>0</v>
      </c>
      <c r="DZ89" s="2" t="s">
        <v>102</v>
      </c>
      <c r="EA89" s="2" t="s">
        <v>102</v>
      </c>
      <c r="EB89" s="2" t="s">
        <v>102</v>
      </c>
      <c r="EC89" s="2" t="str">
        <f>HYPERLINK(".\links\gpi\AGAP004704-PA-gpi.txt","Y-NoSP")</f>
        <v>Y-NoSP</v>
      </c>
      <c r="ED89" s="2">
        <v>0.33</v>
      </c>
      <c r="EE89" s="2" t="s">
        <v>1115</v>
      </c>
      <c r="EF89" s="2">
        <v>34</v>
      </c>
      <c r="EG89" s="2" t="s">
        <v>102</v>
      </c>
      <c r="EH89" s="2" t="s">
        <v>102</v>
      </c>
      <c r="EI89" s="2">
        <v>10.1871101871102</v>
      </c>
      <c r="EJ89" s="2">
        <v>4.3659043659043704</v>
      </c>
      <c r="EK89" s="2">
        <v>5.4054054054054097</v>
      </c>
      <c r="EL89" s="2">
        <v>9.7713097713097703</v>
      </c>
      <c r="EM89" s="2">
        <v>2</v>
      </c>
      <c r="EN89" s="2" t="s">
        <v>102</v>
      </c>
      <c r="EO89" s="2">
        <v>2</v>
      </c>
      <c r="EP89" s="2" t="s">
        <v>102</v>
      </c>
      <c r="EQ89" s="2" t="s">
        <v>102</v>
      </c>
      <c r="ER89" s="2" t="s">
        <v>102</v>
      </c>
      <c r="ES89" s="2" t="s">
        <v>102</v>
      </c>
      <c r="ET89" s="2" t="str">
        <f>HYPERLINK(".\links\REFSEQ-INVERTEBRATE\AGAP004704-PA-REFSEQ-INVERTEBRATE.txt","AGAP004704-PA")</f>
        <v>AGAP004704-PA</v>
      </c>
      <c r="EU89" s="2" t="str">
        <f>HYPERLINK("http://www.ncbi.nlm.nih.gov/sutils/blink.cgi?pid=XP_318129.4","0.0")</f>
        <v>0.0</v>
      </c>
      <c r="EV89" s="2" t="str">
        <f>HYPERLINK("http://www.ncbi.nlm.nih.gov/protein/XP_318129.4","XP_318129.4")</f>
        <v>XP_318129.4</v>
      </c>
      <c r="EW89" s="2">
        <v>100</v>
      </c>
      <c r="EX89" s="2">
        <v>100</v>
      </c>
      <c r="EY89" s="2">
        <v>100</v>
      </c>
      <c r="EZ89" s="2" t="s">
        <v>105</v>
      </c>
    </row>
    <row r="90" spans="1:156" x14ac:dyDescent="0.25">
      <c r="A90" s="2" t="s">
        <v>1116</v>
      </c>
      <c r="B90" s="2">
        <v>0.38284085494807202</v>
      </c>
      <c r="C90" s="2">
        <f t="shared" si="1"/>
        <v>1.3039068921247545</v>
      </c>
      <c r="D90" s="2">
        <v>8.2677655110314401</v>
      </c>
      <c r="E90" s="2">
        <v>13.427805318890099</v>
      </c>
      <c r="F90" s="2">
        <v>2.4792199062652202E-4</v>
      </c>
      <c r="G90" s="2">
        <v>1.7834096479009999E-2</v>
      </c>
      <c r="H90" s="2" t="s">
        <v>1117</v>
      </c>
      <c r="I90" s="2" t="s">
        <v>94</v>
      </c>
      <c r="J90" s="2" t="str">
        <f>HYPERLINK("https://vectorbase.org/vectorbase/app/record/gene/AGAP007727","AGAP007727-RA")</f>
        <v>AGAP007727-RA</v>
      </c>
      <c r="K90" s="2" t="str">
        <f>HYPERLINK(".\links\pep\AGAP007727-PA-pep.txt","AGAP007727-PA")</f>
        <v>AGAP007727-PA</v>
      </c>
      <c r="L90" s="12" t="s">
        <v>95</v>
      </c>
      <c r="M90" s="2">
        <v>756</v>
      </c>
      <c r="N90" s="2">
        <v>0</v>
      </c>
      <c r="O90" s="2">
        <v>1</v>
      </c>
      <c r="P90" s="2" t="s">
        <v>1118</v>
      </c>
      <c r="Q90" s="9" t="s">
        <v>1119</v>
      </c>
      <c r="R90" s="2" t="s">
        <v>822</v>
      </c>
      <c r="S90" s="2" t="str">
        <f>HYPERLINK(".\links\CDD\AGAP007727-PA-CDD.txt","CDD")</f>
        <v>CDD</v>
      </c>
      <c r="T90" s="2">
        <v>0</v>
      </c>
      <c r="U90" s="2">
        <v>98.4</v>
      </c>
      <c r="V90" s="2" t="s">
        <v>1120</v>
      </c>
      <c r="W90" s="10" t="s">
        <v>1121</v>
      </c>
      <c r="X90" s="2" t="s">
        <v>822</v>
      </c>
      <c r="Y90" s="2" t="str">
        <f>HYPERLINK(".\links\COG\AGAP007727-PA-COG.txt","COG")</f>
        <v>COG</v>
      </c>
      <c r="Z90" s="2">
        <v>0</v>
      </c>
      <c r="AA90" s="2">
        <v>87.1</v>
      </c>
      <c r="AB90" s="13" t="str">
        <f>HYPERLINK(".\links\pep\AGAP007727-PA-sulf.txt","2")</f>
        <v>2</v>
      </c>
      <c r="AC90" s="13" t="str">
        <f>HYPERLINK(".\links\Sigp\AGAP007727-PA-SigP.txt","CYT")</f>
        <v>CYT</v>
      </c>
      <c r="AD90" s="2" t="s">
        <v>102</v>
      </c>
      <c r="AE90" s="2">
        <v>88.263000000000005</v>
      </c>
      <c r="AF90" s="2">
        <v>7.87</v>
      </c>
      <c r="AG90" s="2" t="s">
        <v>102</v>
      </c>
      <c r="AH90" s="2" t="s">
        <v>102</v>
      </c>
      <c r="AI90" s="2" t="s">
        <v>1122</v>
      </c>
      <c r="AJ90" s="13">
        <v>0</v>
      </c>
      <c r="AK90" s="2" t="s">
        <v>102</v>
      </c>
      <c r="AL90" s="2" t="s">
        <v>102</v>
      </c>
      <c r="AM90" s="2" t="s">
        <v>102</v>
      </c>
      <c r="AN90" s="13" t="str">
        <f>HYPERLINK(".\links\gpi\AGAP007727-PA-gpi.txt","N")</f>
        <v>N</v>
      </c>
      <c r="AO90" s="14" t="str">
        <f>HYPERLINK(".\links\netoglyc\AGAP007727-PA-netoglyc.txt","1")</f>
        <v>1</v>
      </c>
      <c r="AP90" s="13">
        <v>9.8000000000000007</v>
      </c>
      <c r="AQ90" s="2">
        <v>3.7</v>
      </c>
      <c r="AR90" s="2">
        <v>2.4</v>
      </c>
      <c r="AS90" s="2" t="s">
        <v>104</v>
      </c>
      <c r="AT90" s="9" t="str">
        <f>HYPERLINK(".\links\NR-LIGHT\AGAP007727-PA-NR-LIGHT.txt","AGAP007727-PA")</f>
        <v>AGAP007727-PA</v>
      </c>
      <c r="AU90" s="2" t="str">
        <f>HYPERLINK("http://www.ncbi.nlm.nih.gov/sutils/blink.cgi?pid=XP_308149.4","0.0")</f>
        <v>0.0</v>
      </c>
      <c r="AV90" s="2" t="str">
        <f>HYPERLINK("http://www.ncbi.nlm.nih.gov/protein/XP_308149.4","XP_308149.4")</f>
        <v>XP_308149.4</v>
      </c>
      <c r="AW90" s="2">
        <v>100</v>
      </c>
      <c r="AX90" s="2">
        <v>100</v>
      </c>
      <c r="AY90" s="2">
        <v>100</v>
      </c>
      <c r="AZ90" s="2" t="s">
        <v>105</v>
      </c>
      <c r="BA90" s="9" t="str">
        <f>HYPERLINK(".\links\REFSEQ-INVERTEBRATE\AGAP007727-PA-REFSEQ-INVERTEBRATE.txt","AGAP007727-PA")</f>
        <v>AGAP007727-PA</v>
      </c>
      <c r="BB90" s="2" t="str">
        <f>HYPERLINK("http://www.ncbi.nlm.nih.gov/sutils/blink.cgi?pid=XP_308149.4","0.0")</f>
        <v>0.0</v>
      </c>
      <c r="BC90" s="2" t="str">
        <f>HYPERLINK("http://www.ncbi.nlm.nih.gov/protein/XP_308149.4","XP_308149.4")</f>
        <v>XP_308149.4</v>
      </c>
      <c r="BD90" s="2">
        <v>100</v>
      </c>
      <c r="BE90" s="2">
        <v>100</v>
      </c>
      <c r="BF90" s="2">
        <v>100</v>
      </c>
      <c r="BG90" s="2" t="s">
        <v>105</v>
      </c>
      <c r="BH90" s="9" t="str">
        <f>HYPERLINK(".\links\REFSEQ-PROTOZOA\AGAP007727-PA-REFSEQ-PROTOZOA.txt","Cullin 4")</f>
        <v>Cullin 4</v>
      </c>
      <c r="BI90" s="2" t="str">
        <f>HYPERLINK("http://www.ncbi.nlm.nih.gov/sutils/blink.cgi?pid=XP_004349795.2","0.0")</f>
        <v>0.0</v>
      </c>
      <c r="BJ90" s="2" t="str">
        <f>HYPERLINK("http://www.ncbi.nlm.nih.gov/protein/XP_004349795.2","XP_004349795.2")</f>
        <v>XP_004349795.2</v>
      </c>
      <c r="BK90" s="2">
        <v>53</v>
      </c>
      <c r="BL90" s="2">
        <v>69</v>
      </c>
      <c r="BM90" s="2">
        <v>90</v>
      </c>
      <c r="BN90" s="2" t="s">
        <v>106</v>
      </c>
      <c r="BO90" s="9" t="str">
        <f>HYPERLINK(".\links\SWISSP\AGAP007727-PA-SWISSP.txt","Cullin-4B")</f>
        <v>Cullin-4B</v>
      </c>
      <c r="BP90" s="2" t="str">
        <f>HYPERLINK("http://www.uniprot.org/uniprot/A2A432","0.0")</f>
        <v>0.0</v>
      </c>
      <c r="BQ90" s="2" t="str">
        <f>HYPERLINK("http://www.uniprot.org/uniprot/A2A432#expression","A2A432")</f>
        <v>A2A432</v>
      </c>
      <c r="BR90" s="2">
        <v>66</v>
      </c>
      <c r="BS90" s="2">
        <v>80</v>
      </c>
      <c r="BT90" s="2">
        <v>76</v>
      </c>
      <c r="BU90" s="2" t="s">
        <v>662</v>
      </c>
      <c r="BV90" s="9" t="str">
        <f>HYPERLINK(".\links\FLYBASE\AGAP007727-PA-FLYBASE.txt","FBpp0290569")</f>
        <v>FBpp0290569</v>
      </c>
      <c r="BW90" s="2" t="str">
        <f>HYPERLINK("http://flybase.org/reports/FBgn0033260#alliance_summary_container","0.0")</f>
        <v>0.0</v>
      </c>
      <c r="BX90" s="2">
        <v>821</v>
      </c>
      <c r="BY90" s="2">
        <v>72</v>
      </c>
      <c r="BZ90" s="2">
        <v>82</v>
      </c>
      <c r="CA90" s="2">
        <v>93</v>
      </c>
      <c r="CB90" s="9" t="str">
        <f>HYPERLINK(".\links\CDD\AGAP007727-PA-CDD.txt","Cullin, Cullin family")</f>
        <v>Cullin, Cullin family</v>
      </c>
      <c r="CC90" s="15">
        <v>0</v>
      </c>
      <c r="CD90" s="2">
        <v>101</v>
      </c>
      <c r="CE90" s="2" t="s">
        <v>1123</v>
      </c>
      <c r="CF90" s="2" t="s">
        <v>1124</v>
      </c>
      <c r="CG90" s="9" t="str">
        <f>HYPERLINK(".\links\KOG\AGAP007727-PA-KOG.txt","Cullins")</f>
        <v>Cullins</v>
      </c>
      <c r="CH90" s="15">
        <v>0</v>
      </c>
      <c r="CI90" s="2">
        <v>100.8</v>
      </c>
      <c r="CJ90" s="2" t="s">
        <v>1125</v>
      </c>
      <c r="CK90" s="2" t="s">
        <v>700</v>
      </c>
      <c r="CL90" s="9" t="str">
        <f>HYPERLINK(".\links\PFAM\AGAP007727-PA-PFAM.txt","Cullin, Cullin family")</f>
        <v>Cullin, Cullin family</v>
      </c>
      <c r="CM90" s="15">
        <v>0</v>
      </c>
      <c r="CN90" s="2">
        <v>101</v>
      </c>
      <c r="CO90" s="2" t="s">
        <v>1123</v>
      </c>
      <c r="CP90" s="9" t="str">
        <f>HYPERLINK(".\links\SMART\AGAP007727-PA-SMART.txt","CULLIN, Cullin")</f>
        <v>CULLIN, Cullin</v>
      </c>
      <c r="CQ90" s="15">
        <v>2.9999999999999999E-48</v>
      </c>
      <c r="CR90" s="2">
        <v>100.7</v>
      </c>
      <c r="CS90" s="2" t="s">
        <v>1126</v>
      </c>
      <c r="CT90" s="2" t="s">
        <v>1120</v>
      </c>
      <c r="CU90" s="2" t="s">
        <v>1120</v>
      </c>
      <c r="CV90" s="2" t="s">
        <v>1120</v>
      </c>
      <c r="CW90" s="2" t="str">
        <f>HYPERLINK(".\links\pep\AGAP007727-PA-pep.txt","AGAP007727-PA")</f>
        <v>AGAP007727-PA</v>
      </c>
      <c r="CX90" s="2" t="s">
        <v>95</v>
      </c>
      <c r="CY90" s="2">
        <v>756</v>
      </c>
      <c r="CZ90" s="2" t="s">
        <v>113</v>
      </c>
      <c r="DA90" s="2" t="s">
        <v>1127</v>
      </c>
      <c r="DB90" s="2">
        <v>0</v>
      </c>
      <c r="DC90" s="2">
        <v>1</v>
      </c>
      <c r="DD90" s="2" t="str">
        <f>HYPERLINK("https://www.kegg.jp/kegg-bin/search_pathway_text?map=aga&amp;keyword=AGAP007727&amp;mode=1&amp;viewImage=true","AGAP007727")</f>
        <v>AGAP007727</v>
      </c>
      <c r="DE90" s="2" t="s">
        <v>1116</v>
      </c>
      <c r="DF90" s="2" t="s">
        <v>1117</v>
      </c>
      <c r="DG90" s="2" t="s">
        <v>94</v>
      </c>
      <c r="DH90" s="2" t="str">
        <f>HYPERLINK("https://vectorbase.org/vectorbase/app/record/gene/AGAP007727","AGAP007727-RA")</f>
        <v>AGAP007727-RA</v>
      </c>
      <c r="DI90" s="2" t="s">
        <v>135</v>
      </c>
      <c r="DJ90" s="2">
        <v>3313</v>
      </c>
      <c r="DK90" s="2" t="str">
        <f>HYPERLINK(".\links\netoglyc\AGAP007727-PA-netoglyc.txt","1")</f>
        <v>1</v>
      </c>
      <c r="DL90" s="2">
        <v>9.8000000000000007</v>
      </c>
      <c r="DM90" s="2">
        <v>3.7</v>
      </c>
      <c r="DN90" s="2">
        <v>2.4</v>
      </c>
      <c r="DO90" s="2" t="s">
        <v>104</v>
      </c>
      <c r="DP90" s="2" t="s">
        <v>102</v>
      </c>
      <c r="DQ90" s="2" t="str">
        <f>HYPERLINK(".\links\Sigp\AGAP007727-PA-SigP.txt","CYT")</f>
        <v>CYT</v>
      </c>
      <c r="DR90" s="2" t="s">
        <v>102</v>
      </c>
      <c r="DS90" s="2">
        <v>88.263000000000005</v>
      </c>
      <c r="DT90" s="2">
        <v>7.87</v>
      </c>
      <c r="DU90" s="2" t="s">
        <v>102</v>
      </c>
      <c r="DV90" s="2" t="s">
        <v>102</v>
      </c>
      <c r="DW90" s="2" t="s">
        <v>1122</v>
      </c>
      <c r="DX90" s="2">
        <v>756</v>
      </c>
      <c r="DY90" s="12">
        <v>0</v>
      </c>
      <c r="DZ90" s="2" t="s">
        <v>102</v>
      </c>
      <c r="EA90" s="2" t="s">
        <v>102</v>
      </c>
      <c r="EB90" s="2" t="s">
        <v>102</v>
      </c>
      <c r="EC90" s="2" t="str">
        <f>HYPERLINK(".\links\gpi\AGAP007727-PA-gpi.txt","N")</f>
        <v>N</v>
      </c>
      <c r="ED90" s="2">
        <v>0.3</v>
      </c>
      <c r="EF90" s="2">
        <v>10</v>
      </c>
      <c r="EG90" s="2" t="str">
        <f>HYPERLINK(".\links\pep\AGAP007727-PA-sulf.txt","2")</f>
        <v>2</v>
      </c>
      <c r="EH90" s="2" t="s">
        <v>102</v>
      </c>
      <c r="EI90" s="2">
        <v>9.7883597883597897</v>
      </c>
      <c r="EJ90" s="2">
        <v>2.38095238095238</v>
      </c>
      <c r="EK90" s="2">
        <v>3.7037037037037002</v>
      </c>
      <c r="EL90" s="2">
        <v>6.0846560846560802</v>
      </c>
      <c r="EM90" s="2" t="s">
        <v>102</v>
      </c>
      <c r="EN90" s="2">
        <v>3</v>
      </c>
      <c r="EO90" s="2">
        <v>3</v>
      </c>
      <c r="EP90" s="2" t="s">
        <v>102</v>
      </c>
      <c r="EQ90" s="2" t="s">
        <v>102</v>
      </c>
      <c r="ER90" s="2" t="s">
        <v>102</v>
      </c>
      <c r="ES90" s="2" t="s">
        <v>102</v>
      </c>
      <c r="ET90" s="2" t="str">
        <f>HYPERLINK(".\links\REFSEQ-INVERTEBRATE\AGAP007727-PA-REFSEQ-INVERTEBRATE.txt","AGAP007727-PA")</f>
        <v>AGAP007727-PA</v>
      </c>
      <c r="EU90" s="2" t="str">
        <f>HYPERLINK("http://www.ncbi.nlm.nih.gov/sutils/blink.cgi?pid=XP_308149.4","0.0")</f>
        <v>0.0</v>
      </c>
      <c r="EV90" s="2" t="str">
        <f>HYPERLINK("http://www.ncbi.nlm.nih.gov/protein/XP_308149.4","XP_308149.4")</f>
        <v>XP_308149.4</v>
      </c>
      <c r="EW90" s="2">
        <v>100</v>
      </c>
      <c r="EX90" s="2">
        <v>100</v>
      </c>
      <c r="EY90" s="2">
        <v>100</v>
      </c>
      <c r="EZ90" s="2" t="s">
        <v>105</v>
      </c>
    </row>
    <row r="91" spans="1:156" x14ac:dyDescent="0.25">
      <c r="A91" s="2" t="s">
        <v>1128</v>
      </c>
      <c r="B91" s="2">
        <v>0.38242809234869901</v>
      </c>
      <c r="C91" s="2">
        <f t="shared" si="1"/>
        <v>1.3035338909022269</v>
      </c>
      <c r="D91" s="2">
        <v>5.5831158906116798</v>
      </c>
      <c r="E91" s="2">
        <v>9.7322695174286906</v>
      </c>
      <c r="F91" s="2">
        <v>1.8106078440520001E-3</v>
      </c>
      <c r="G91" s="2">
        <v>4.1602509262145003E-2</v>
      </c>
      <c r="H91" s="2" t="s">
        <v>93</v>
      </c>
      <c r="I91" s="2" t="s">
        <v>94</v>
      </c>
      <c r="J91" s="2" t="str">
        <f>HYPERLINK("https://vectorbase.org/vectorbase/app/record/gene/AGAP004196","AGAP004196-RA")</f>
        <v>AGAP004196-RA</v>
      </c>
      <c r="K91" s="2" t="str">
        <f>HYPERLINK(".\links\pep\AGAP004196-PA-pep.txt","AGAP004196-PA")</f>
        <v>AGAP004196-PA</v>
      </c>
      <c r="L91" s="12" t="s">
        <v>95</v>
      </c>
      <c r="M91" s="2">
        <v>87</v>
      </c>
      <c r="N91" s="2">
        <v>0</v>
      </c>
      <c r="O91" s="2">
        <v>0</v>
      </c>
      <c r="P91" s="2" t="s">
        <v>102</v>
      </c>
      <c r="Q91" s="9" t="s">
        <v>1129</v>
      </c>
      <c r="R91" s="2" t="s">
        <v>196</v>
      </c>
      <c r="S91" s="2" t="str">
        <f>HYPERLINK(".\links\REFSEQ-INVERTEBRATE\AGAP004196-PA-REFSEQ-INVERTEBRATE.txt","REFSEQ-INVERTEBRATE")</f>
        <v>REFSEQ-INVERTEBRATE</v>
      </c>
      <c r="T91" s="2">
        <v>2E-41</v>
      </c>
      <c r="U91" s="2">
        <v>100</v>
      </c>
      <c r="V91" s="2" t="s">
        <v>1129</v>
      </c>
      <c r="W91" s="10" t="s">
        <v>1130</v>
      </c>
      <c r="X91" s="2" t="s">
        <v>447</v>
      </c>
      <c r="Y91" s="2" t="str">
        <f>HYPERLINK(".\links\UNIPROTKB\AGAP004196-PA-UNIPROTKB.txt","UNIPROTKB")</f>
        <v>UNIPROTKB</v>
      </c>
      <c r="Z91" s="15">
        <v>9.9999999999999992E-25</v>
      </c>
      <c r="AA91" s="2">
        <v>92.3</v>
      </c>
      <c r="AB91" s="13" t="s">
        <v>102</v>
      </c>
      <c r="AC91" s="13" t="str">
        <f>HYPERLINK(".\links\Sigp\AGAP004196-PA-SigP.txt","CYT")</f>
        <v>CYT</v>
      </c>
      <c r="AD91" s="2" t="s">
        <v>102</v>
      </c>
      <c r="AE91" s="2">
        <v>10.095000000000001</v>
      </c>
      <c r="AF91" s="2">
        <v>9.99</v>
      </c>
      <c r="AG91" s="2" t="s">
        <v>102</v>
      </c>
      <c r="AH91" s="2" t="s">
        <v>102</v>
      </c>
      <c r="AI91" s="2" t="s">
        <v>211</v>
      </c>
      <c r="AJ91" s="13">
        <v>0</v>
      </c>
      <c r="AK91" s="2" t="s">
        <v>102</v>
      </c>
      <c r="AL91" s="2" t="s">
        <v>102</v>
      </c>
      <c r="AM91" s="2" t="s">
        <v>102</v>
      </c>
      <c r="AN91" s="13" t="str">
        <f>HYPERLINK(".\links\gpi\AGAP004196-PA-gpi.txt","N")</f>
        <v>N</v>
      </c>
      <c r="AO91" s="14" t="str">
        <f>HYPERLINK(".\links\netoglyc\AGAP004196-PA-netoglyc.txt","0")</f>
        <v>0</v>
      </c>
      <c r="AP91" s="13">
        <v>8</v>
      </c>
      <c r="AQ91" s="2">
        <v>4.5999999999999996</v>
      </c>
      <c r="AR91" s="2">
        <v>1.1000000000000001</v>
      </c>
      <c r="AS91" s="2" t="s">
        <v>104</v>
      </c>
      <c r="AT91" s="9" t="str">
        <f>HYPERLINK(".\links\NR-LIGHT\AGAP004196-PA-NR-LIGHT.txt","AGAP004196-PA")</f>
        <v>AGAP004196-PA</v>
      </c>
      <c r="AU91" s="2" t="str">
        <f>HYPERLINK("http://www.ncbi.nlm.nih.gov/sutils/blink.cgi?pid=XP_001230875.2","3E-041")</f>
        <v>3E-041</v>
      </c>
      <c r="AV91" s="2" t="str">
        <f>HYPERLINK("http://www.ncbi.nlm.nih.gov/protein/XP_001230875.2","XP_001230875.2")</f>
        <v>XP_001230875.2</v>
      </c>
      <c r="AW91" s="2">
        <v>100</v>
      </c>
      <c r="AX91" s="2">
        <v>100</v>
      </c>
      <c r="AY91" s="2">
        <v>100</v>
      </c>
      <c r="AZ91" s="2" t="s">
        <v>105</v>
      </c>
      <c r="BA91" s="9" t="str">
        <f>HYPERLINK(".\links\REFSEQ-INVERTEBRATE\AGAP004196-PA-REFSEQ-INVERTEBRATE.txt","AGAP004196-PA")</f>
        <v>AGAP004196-PA</v>
      </c>
      <c r="BB91" s="2" t="str">
        <f>HYPERLINK("http://www.ncbi.nlm.nih.gov/sutils/blink.cgi?pid=XP_001230875.2","2E-041")</f>
        <v>2E-041</v>
      </c>
      <c r="BC91" s="2" t="str">
        <f>HYPERLINK("http://www.ncbi.nlm.nih.gov/protein/XP_001230875.2","XP_001230875.2")</f>
        <v>XP_001230875.2</v>
      </c>
      <c r="BD91" s="2">
        <v>100</v>
      </c>
      <c r="BE91" s="2">
        <v>100</v>
      </c>
      <c r="BF91" s="2">
        <v>100</v>
      </c>
      <c r="BG91" s="2" t="s">
        <v>105</v>
      </c>
      <c r="BH91" s="9" t="str">
        <f>HYPERLINK(".\links\REFSEQ-PROTOZOA\AGAP004196-PA-REFSEQ-PROTOZOA.txt","complex 1 protein, LYR family protein")</f>
        <v>complex 1 protein, LYR family protein</v>
      </c>
      <c r="BI91" s="2" t="str">
        <f>HYPERLINK("http://www.ncbi.nlm.nih.gov/sutils/blink.cgi?pid=XP_012650964.1","1E-012")</f>
        <v>1E-012</v>
      </c>
      <c r="BJ91" s="2" t="str">
        <f>HYPERLINK("http://www.ncbi.nlm.nih.gov/protein/XP_012650964.1","XP_012650964.1")</f>
        <v>XP_012650964.1</v>
      </c>
      <c r="BK91" s="2">
        <v>45</v>
      </c>
      <c r="BL91" s="2">
        <v>67</v>
      </c>
      <c r="BM91" s="2">
        <v>98</v>
      </c>
      <c r="BN91" s="2" t="s">
        <v>539</v>
      </c>
      <c r="BO91" s="9" t="str">
        <f>HYPERLINK(".\links\SWISSP\AGAP004196-PA-SWISSP.txt","LYR motif-containing protein 4")</f>
        <v>LYR motif-containing protein 4</v>
      </c>
      <c r="BP91" s="2" t="str">
        <f>HYPERLINK("http://www.uniprot.org/uniprot/B5FZA8","1E-017")</f>
        <v>1E-017</v>
      </c>
      <c r="BQ91" s="2" t="str">
        <f>HYPERLINK("http://www.uniprot.org/uniprot/B5FZA8#expression","B5FZA8")</f>
        <v>B5FZA8</v>
      </c>
      <c r="BR91" s="2">
        <v>53</v>
      </c>
      <c r="BS91" s="2">
        <v>72</v>
      </c>
      <c r="BT91" s="2">
        <v>94</v>
      </c>
      <c r="BU91" s="2" t="s">
        <v>1131</v>
      </c>
      <c r="BV91" s="9" t="str">
        <f>HYPERLINK(".\links\FLYBASE\AGAP004196-PA-FLYBASE.txt","FBpp0070415")</f>
        <v>FBpp0070415</v>
      </c>
      <c r="BW91" s="2" t="str">
        <f>HYPERLINK("http://flybase.org/reports/FBgn0013432#alliance_summary_container","6E-25")</f>
        <v>6E-25</v>
      </c>
      <c r="BX91" s="2">
        <v>92</v>
      </c>
      <c r="BY91" s="2">
        <v>56</v>
      </c>
      <c r="BZ91" s="2">
        <v>74</v>
      </c>
      <c r="CA91" s="2">
        <v>85</v>
      </c>
      <c r="CB91" s="9" t="str">
        <f>HYPERLINK(".\links\CDD\AGAP004196-PA-CDD.txt","Complex1_LYR, Complex 1 protein (LYR family)")</f>
        <v>Complex1_LYR, Complex 1 protein (LYR family)</v>
      </c>
      <c r="CC91" s="15">
        <v>2.9999999999999998E-13</v>
      </c>
      <c r="CD91" s="2">
        <v>98.3</v>
      </c>
      <c r="CE91" s="2" t="s">
        <v>1132</v>
      </c>
      <c r="CF91" s="2" t="s">
        <v>1133</v>
      </c>
      <c r="CG91" s="9" t="str">
        <f>HYPERLINK(".\links\KOG\AGAP004196-PA-KOG.txt","Uncharacterized conserved protein BCN92")</f>
        <v>Uncharacterized conserved protein BCN92</v>
      </c>
      <c r="CH91" s="15">
        <v>3.0000000000000003E-20</v>
      </c>
      <c r="CI91" s="2">
        <v>85.1</v>
      </c>
      <c r="CJ91" s="2" t="s">
        <v>1134</v>
      </c>
      <c r="CK91" s="2" t="s">
        <v>722</v>
      </c>
      <c r="CL91" s="9" t="str">
        <f>HYPERLINK(".\links\PFAM\AGAP004196-PA-PFAM.txt","Complex1_LYR, Complex 1 protein (LYR family)")</f>
        <v>Complex1_LYR, Complex 1 protein (LYR family)</v>
      </c>
      <c r="CM91" s="15">
        <v>7.0000000000000005E-14</v>
      </c>
      <c r="CN91" s="2">
        <v>98.3</v>
      </c>
      <c r="CO91" s="2" t="s">
        <v>1132</v>
      </c>
      <c r="CP91" s="9" t="str">
        <f>HYPERLINK(".\links\SMART\AGAP004196-PA-SMART.txt","PKS_ER, Enoylreductase")</f>
        <v>PKS_ER, Enoylreductase</v>
      </c>
      <c r="CQ91" s="15">
        <v>0.77</v>
      </c>
      <c r="CR91" s="2">
        <v>4.9000000000000004</v>
      </c>
      <c r="CS91" s="2" t="s">
        <v>1135</v>
      </c>
      <c r="CT91" s="2" t="s">
        <v>1129</v>
      </c>
      <c r="CU91" s="2" t="s">
        <v>1129</v>
      </c>
      <c r="CV91" s="2" t="s">
        <v>1129</v>
      </c>
      <c r="CW91" s="2" t="str">
        <f>HYPERLINK(".\links\pep\AGAP004196-PA-pep.txt","AGAP004196-PA")</f>
        <v>AGAP004196-PA</v>
      </c>
      <c r="CX91" s="2" t="s">
        <v>95</v>
      </c>
      <c r="CY91" s="2">
        <v>87</v>
      </c>
      <c r="CZ91" s="2" t="s">
        <v>113</v>
      </c>
      <c r="DA91" s="2" t="s">
        <v>1136</v>
      </c>
      <c r="DB91" s="2">
        <v>0</v>
      </c>
      <c r="DC91" s="2">
        <v>0</v>
      </c>
      <c r="DD91" s="2" t="str">
        <f>HYPERLINK("https://www.kegg.jp/kegg-bin/search_pathway_text?map=aga&amp;keyword=AGAP004196&amp;mode=1&amp;viewImage=true","AGAP004196")</f>
        <v>AGAP004196</v>
      </c>
      <c r="DE91" s="2" t="s">
        <v>1128</v>
      </c>
      <c r="DF91" s="2" t="s">
        <v>93</v>
      </c>
      <c r="DG91" s="2" t="s">
        <v>94</v>
      </c>
      <c r="DH91" s="2" t="str">
        <f>HYPERLINK("https://vectorbase.org/vectorbase/app/record/gene/AGAP004196","AGAP004196-RA")</f>
        <v>AGAP004196-RA</v>
      </c>
      <c r="DI91" s="2" t="s">
        <v>90</v>
      </c>
      <c r="DJ91" s="2">
        <v>747</v>
      </c>
      <c r="DK91" s="2" t="str">
        <f>HYPERLINK(".\links\netoglyc\AGAP004196-PA-netoglyc.txt","0")</f>
        <v>0</v>
      </c>
      <c r="DL91" s="2">
        <v>8</v>
      </c>
      <c r="DM91" s="2">
        <v>4.5999999999999996</v>
      </c>
      <c r="DN91" s="2">
        <v>1.1000000000000001</v>
      </c>
      <c r="DO91" s="2" t="s">
        <v>104</v>
      </c>
      <c r="DP91" s="2" t="s">
        <v>102</v>
      </c>
      <c r="DQ91" s="2" t="str">
        <f>HYPERLINK(".\links\Sigp\AGAP004196-PA-SigP.txt","CYT")</f>
        <v>CYT</v>
      </c>
      <c r="DR91" s="2" t="s">
        <v>102</v>
      </c>
      <c r="DS91" s="2">
        <v>10.095000000000001</v>
      </c>
      <c r="DT91" s="2">
        <v>9.99</v>
      </c>
      <c r="DU91" s="2" t="s">
        <v>102</v>
      </c>
      <c r="DV91" s="2" t="s">
        <v>102</v>
      </c>
      <c r="DW91" s="2" t="s">
        <v>211</v>
      </c>
      <c r="DX91" s="2">
        <v>87</v>
      </c>
      <c r="DY91" s="12">
        <v>0</v>
      </c>
      <c r="DZ91" s="2" t="s">
        <v>102</v>
      </c>
      <c r="EA91" s="2" t="s">
        <v>102</v>
      </c>
      <c r="EB91" s="2" t="s">
        <v>102</v>
      </c>
      <c r="EC91" s="2" t="str">
        <f>HYPERLINK(".\links\gpi\AGAP004196-PA-gpi.txt","Y-NoSP")</f>
        <v>Y-NoSP</v>
      </c>
      <c r="ED91" s="2">
        <v>0.49</v>
      </c>
      <c r="EF91" s="2">
        <v>0</v>
      </c>
      <c r="EG91" s="2" t="s">
        <v>102</v>
      </c>
      <c r="EH91" s="2" t="s">
        <v>102</v>
      </c>
      <c r="EI91" s="2">
        <v>8.0459770114942497</v>
      </c>
      <c r="EJ91" s="2">
        <v>1.14942528735632</v>
      </c>
      <c r="EK91" s="2">
        <v>4.5977011494252897</v>
      </c>
      <c r="EL91" s="2">
        <v>5.7471264367816097</v>
      </c>
      <c r="EM91" s="2" t="s">
        <v>102</v>
      </c>
      <c r="EN91" s="2" t="s">
        <v>102</v>
      </c>
      <c r="EO91" s="2" t="s">
        <v>102</v>
      </c>
      <c r="EP91" s="2" t="s">
        <v>102</v>
      </c>
      <c r="EQ91" s="2" t="s">
        <v>102</v>
      </c>
      <c r="ER91" s="2" t="s">
        <v>102</v>
      </c>
      <c r="ES91" s="2" t="s">
        <v>102</v>
      </c>
      <c r="ET91" s="2" t="str">
        <f>HYPERLINK(".\links\REFSEQ-INVERTEBRATE\AGAP004196-PA-REFSEQ-INVERTEBRATE.txt","AGAP004196-PA")</f>
        <v>AGAP004196-PA</v>
      </c>
      <c r="EU91" s="2" t="str">
        <f>HYPERLINK("http://www.ncbi.nlm.nih.gov/sutils/blink.cgi?pid=XP_001230875.2","2E-57")</f>
        <v>2E-57</v>
      </c>
      <c r="EV91" s="2" t="str">
        <f>HYPERLINK("http://www.ncbi.nlm.nih.gov/protein/XP_001230875.2","XP_001230875.2")</f>
        <v>XP_001230875.2</v>
      </c>
      <c r="EW91" s="2">
        <v>100</v>
      </c>
      <c r="EX91" s="2">
        <v>100</v>
      </c>
      <c r="EY91" s="2">
        <v>100</v>
      </c>
      <c r="EZ91" s="2" t="s">
        <v>105</v>
      </c>
    </row>
    <row r="92" spans="1:156" x14ac:dyDescent="0.25">
      <c r="A92" s="2" t="s">
        <v>1137</v>
      </c>
      <c r="B92" s="2">
        <v>0.38227120715680002</v>
      </c>
      <c r="C92" s="2">
        <f t="shared" si="1"/>
        <v>1.3033921464310676</v>
      </c>
      <c r="D92" s="2">
        <v>5.3668510812341497</v>
      </c>
      <c r="E92" s="2">
        <v>10.2588484433962</v>
      </c>
      <c r="F92" s="2">
        <v>1.3603056445298501E-3</v>
      </c>
      <c r="G92" s="2">
        <v>3.6820471535482201E-2</v>
      </c>
      <c r="H92" s="2" t="s">
        <v>1138</v>
      </c>
      <c r="I92" s="2" t="s">
        <v>102</v>
      </c>
      <c r="J92" s="2" t="str">
        <f>HYPERLINK("https://vectorbase.org/vectorbase/app/record/gene/AGAP004404","AGAP004404-RA")</f>
        <v>AGAP004404-RA</v>
      </c>
      <c r="K92" s="2" t="str">
        <f>HYPERLINK(".\links\pep\AGAP004404-PA-pep.txt","AGAP004404-PA")</f>
        <v>AGAP004404-PA</v>
      </c>
      <c r="L92" s="12" t="s">
        <v>95</v>
      </c>
      <c r="M92" s="2">
        <v>160</v>
      </c>
      <c r="N92" s="2">
        <v>0</v>
      </c>
      <c r="O92" s="2">
        <v>0</v>
      </c>
      <c r="P92" s="2" t="s">
        <v>1139</v>
      </c>
      <c r="Q92" s="9" t="s">
        <v>1140</v>
      </c>
      <c r="R92" s="2" t="s">
        <v>672</v>
      </c>
      <c r="S92" s="2" t="str">
        <f>HYPERLINK(".\links\REFSEQ-INVERTEBRATE\AGAP004404-PA-REFSEQ-INVERTEBRATE.txt","REFSEQ-INVERTEBRATE")</f>
        <v>REFSEQ-INVERTEBRATE</v>
      </c>
      <c r="T92" s="2">
        <v>3.0000000000000002E-76</v>
      </c>
      <c r="U92" s="2">
        <v>98.7</v>
      </c>
      <c r="V92" s="2" t="s">
        <v>1141</v>
      </c>
      <c r="W92" s="10" t="s">
        <v>1142</v>
      </c>
      <c r="X92" s="2" t="s">
        <v>672</v>
      </c>
      <c r="Y92" s="2" t="str">
        <f>HYPERLINK(".\links\ARTHORPODA\AGAP004404-PA-ARTHORPODA.txt","ARTHORPODA")</f>
        <v>ARTHORPODA</v>
      </c>
      <c r="Z92" s="2">
        <v>0</v>
      </c>
      <c r="AA92" s="2">
        <v>100</v>
      </c>
      <c r="AB92" s="13" t="s">
        <v>102</v>
      </c>
      <c r="AC92" s="13" t="str">
        <f>HYPERLINK(".\links\Sigp\AGAP004404-PA-SigP.txt","BL/SIG")</f>
        <v>BL/SIG</v>
      </c>
      <c r="AD92" s="2" t="s">
        <v>102</v>
      </c>
      <c r="AE92" s="2">
        <v>18.588999999999999</v>
      </c>
      <c r="AF92" s="2">
        <v>9.6300000000000008</v>
      </c>
      <c r="AG92" s="2" t="s">
        <v>102</v>
      </c>
      <c r="AH92" s="2" t="s">
        <v>102</v>
      </c>
      <c r="AI92" s="2" t="s">
        <v>1143</v>
      </c>
      <c r="AJ92" s="13">
        <v>0</v>
      </c>
      <c r="AK92" s="2" t="s">
        <v>102</v>
      </c>
      <c r="AL92" s="2" t="s">
        <v>102</v>
      </c>
      <c r="AM92" s="2" t="s">
        <v>102</v>
      </c>
      <c r="AN92" s="13" t="str">
        <f>HYPERLINK(".\links\gpi\AGAP004404-PA-gpi.txt","N")</f>
        <v>N</v>
      </c>
      <c r="AO92" s="14" t="str">
        <f>HYPERLINK(".\links\netoglyc\AGAP004404-PA-netoglyc.txt","0")</f>
        <v>0</v>
      </c>
      <c r="AP92" s="13">
        <v>12.5</v>
      </c>
      <c r="AQ92" s="2">
        <v>3.8</v>
      </c>
      <c r="AR92" s="2">
        <v>5</v>
      </c>
      <c r="AS92" s="2" t="s">
        <v>104</v>
      </c>
      <c r="AT92" s="9" t="str">
        <f>HYPERLINK(".\links\NR-LIGHT\AGAP004404-PA-NR-LIGHT.txt","AGAP004404-PB")</f>
        <v>AGAP004404-PB</v>
      </c>
      <c r="AU92" s="2" t="str">
        <f>HYPERLINK("http://www.ncbi.nlm.nih.gov/sutils/blink.cgi?pid=XP_003436804.1","3E-089")</f>
        <v>3E-089</v>
      </c>
      <c r="AV92" s="2" t="str">
        <f>HYPERLINK("http://www.ncbi.nlm.nih.gov/protein/XP_003436804.1","XP_003436804.1")</f>
        <v>XP_003436804.1</v>
      </c>
      <c r="AW92" s="2">
        <v>100</v>
      </c>
      <c r="AX92" s="2">
        <v>100</v>
      </c>
      <c r="AY92" s="2">
        <v>100</v>
      </c>
      <c r="AZ92" s="2" t="s">
        <v>105</v>
      </c>
      <c r="BA92" s="9" t="str">
        <f>HYPERLINK(".\links\REFSEQ-INVERTEBRATE\AGAP004404-PA-REFSEQ-INVERTEBRATE.txt","AGAP004404-PB")</f>
        <v>AGAP004404-PB</v>
      </c>
      <c r="BB92" s="2" t="str">
        <f>HYPERLINK("http://www.ncbi.nlm.nih.gov/sutils/blink.cgi?pid=XP_003436804.1","3E-089")</f>
        <v>3E-089</v>
      </c>
      <c r="BC92" s="2" t="str">
        <f>HYPERLINK("http://www.ncbi.nlm.nih.gov/protein/XP_003436804.1","XP_003436804.1")</f>
        <v>XP_003436804.1</v>
      </c>
      <c r="BD92" s="2">
        <v>100</v>
      </c>
      <c r="BE92" s="2">
        <v>100</v>
      </c>
      <c r="BF92" s="2">
        <v>100</v>
      </c>
      <c r="BG92" s="2" t="s">
        <v>105</v>
      </c>
      <c r="BH92" s="9" t="str">
        <f>HYPERLINK(".\links\REFSEQ-PROTOZOA\AGAP004404-PA-REFSEQ-PROTOZOA.txt","thiamin biosynthesis protein G (plastid)")</f>
        <v>thiamin biosynthesis protein G (plastid)</v>
      </c>
      <c r="BI92" s="2" t="str">
        <f>HYPERLINK("http://www.ncbi.nlm.nih.gov/sutils/blink.cgi?pid=YP_009027649.1","0.21")</f>
        <v>0.21</v>
      </c>
      <c r="BJ92" s="2" t="str">
        <f>HYPERLINK("http://www.ncbi.nlm.nih.gov/protein/YP_009027649.1","YP_009027649.1")</f>
        <v>YP_009027649.1</v>
      </c>
      <c r="BK92" s="2">
        <v>30</v>
      </c>
      <c r="BL92" s="2">
        <v>47</v>
      </c>
      <c r="BM92" s="2">
        <v>48</v>
      </c>
      <c r="BN92" s="2" t="s">
        <v>1144</v>
      </c>
      <c r="BO92" s="9" t="str">
        <f>HYPERLINK(".\links\SWISSP\AGAP004404-PA-SWISSP.txt","28S ribosomal protein S24, mitochondrial")</f>
        <v>28S ribosomal protein S24, mitochondrial</v>
      </c>
      <c r="BP92" s="2" t="str">
        <f>HYPERLINK("http://www.uniprot.org/uniprot/Q9VCC3","1E-056")</f>
        <v>1E-056</v>
      </c>
      <c r="BQ92" s="2" t="str">
        <f>HYPERLINK("http://www.uniprot.org/uniprot/Q9VCC3#expression","Q9VCC3")</f>
        <v>Q9VCC3</v>
      </c>
      <c r="BR92" s="2">
        <v>68</v>
      </c>
      <c r="BS92" s="2">
        <v>82</v>
      </c>
      <c r="BT92" s="2">
        <v>90</v>
      </c>
      <c r="BU92" s="2" t="s">
        <v>107</v>
      </c>
      <c r="BV92" s="9" t="str">
        <f>HYPERLINK(".\links\FLYBASE\AGAP004404-PA-FLYBASE.txt","FBpp0083962")</f>
        <v>FBpp0083962</v>
      </c>
      <c r="BW92" s="2" t="str">
        <f>HYPERLINK("http://flybase.org/reports/FBgn0039159#alliance_summary_container","1E-76")</f>
        <v>1E-76</v>
      </c>
      <c r="BX92" s="2">
        <v>165</v>
      </c>
      <c r="BY92" s="2">
        <v>68</v>
      </c>
      <c r="BZ92" s="2">
        <v>82</v>
      </c>
      <c r="CA92" s="2">
        <v>90</v>
      </c>
      <c r="CB92" s="9" t="str">
        <f>HYPERLINK(".\links\CDD\AGAP004404-PA-CDD.txt","MRP-S24, Mitochondrial ribosome subunit S24")</f>
        <v>MRP-S24, Mitochondrial ribosome subunit S24</v>
      </c>
      <c r="CC92" s="15">
        <v>3.9999999999999999E-72</v>
      </c>
      <c r="CD92" s="2">
        <v>100</v>
      </c>
      <c r="CE92" s="2" t="s">
        <v>1145</v>
      </c>
      <c r="CF92" s="2" t="s">
        <v>1146</v>
      </c>
      <c r="CG92" s="9" t="str">
        <f>HYPERLINK(".\links\KOG\AGAP004404-PA-KOG.txt","Predicted Rho GTPase-activating protein")</f>
        <v>Predicted Rho GTPase-activating protein</v>
      </c>
      <c r="CH92" s="15">
        <v>0.52</v>
      </c>
      <c r="CI92" s="2">
        <v>7.7</v>
      </c>
      <c r="CJ92" s="2" t="s">
        <v>1147</v>
      </c>
      <c r="CK92" s="2" t="s">
        <v>173</v>
      </c>
      <c r="CL92" s="9" t="str">
        <f>HYPERLINK(".\links\PFAM\AGAP004404-PA-PFAM.txt","MRP-S24, Mitochondrial ribosome subunit S24")</f>
        <v>MRP-S24, Mitochondrial ribosome subunit S24</v>
      </c>
      <c r="CM92" s="15">
        <v>9.0000000000000004E-73</v>
      </c>
      <c r="CN92" s="2">
        <v>100</v>
      </c>
      <c r="CO92" s="2" t="s">
        <v>1145</v>
      </c>
      <c r="CP92" s="9" t="str">
        <f>HYPERLINK(".\links\SMART\AGAP004404-PA-SMART.txt","eIF6, translation initiation factor 6")</f>
        <v>eIF6, translation initiation factor 6</v>
      </c>
      <c r="CQ92" s="15">
        <v>0.75</v>
      </c>
      <c r="CR92" s="2">
        <v>14.5</v>
      </c>
      <c r="CS92" s="2" t="s">
        <v>1148</v>
      </c>
      <c r="CT92" s="2" t="s">
        <v>1141</v>
      </c>
      <c r="CU92" s="2" t="s">
        <v>1141</v>
      </c>
      <c r="CV92" s="2" t="s">
        <v>1141</v>
      </c>
      <c r="CW92" s="2" t="str">
        <f>HYPERLINK(".\links\pep\AGAP004404-PA-pep.txt","AGAP004404-PA")</f>
        <v>AGAP004404-PA</v>
      </c>
      <c r="CX92" s="2" t="s">
        <v>95</v>
      </c>
      <c r="CY92" s="2">
        <v>160</v>
      </c>
      <c r="CZ92" s="2" t="s">
        <v>113</v>
      </c>
      <c r="DA92" s="2">
        <v>0</v>
      </c>
      <c r="DB92" s="2">
        <v>0</v>
      </c>
      <c r="DD92" s="2" t="str">
        <f>HYPERLINK("https://www.kegg.jp/kegg-bin/search_pathway_text?map=aga&amp;keyword=AGAP004404&amp;mode=1&amp;viewImage=true","AGAP004404")</f>
        <v>AGAP004404</v>
      </c>
      <c r="DE92" s="2" t="s">
        <v>1137</v>
      </c>
      <c r="DF92" s="2" t="s">
        <v>1138</v>
      </c>
      <c r="DG92" s="2" t="s">
        <v>102</v>
      </c>
      <c r="DH92" s="2" t="str">
        <f>HYPERLINK("https://vectorbase.org/vectorbase/app/record/gene/AGAP004404","AGAP004404-RA")</f>
        <v>AGAP004404-RA</v>
      </c>
      <c r="DI92" s="2" t="s">
        <v>135</v>
      </c>
      <c r="DJ92" s="2">
        <v>649</v>
      </c>
      <c r="DK92" s="2" t="str">
        <f>HYPERLINK(".\links\netoglyc\AGAP004404-PA-netoglyc.txt","0")</f>
        <v>0</v>
      </c>
      <c r="DL92" s="2">
        <v>12.5</v>
      </c>
      <c r="DM92" s="2">
        <v>3.8</v>
      </c>
      <c r="DN92" s="2">
        <v>5</v>
      </c>
      <c r="DO92" s="2" t="s">
        <v>104</v>
      </c>
      <c r="DP92" s="2" t="s">
        <v>102</v>
      </c>
      <c r="DQ92" s="2" t="str">
        <f>HYPERLINK(".\links\Sigp\AGAP004404-PA-SigP.txt","BL/SIG")</f>
        <v>BL/SIG</v>
      </c>
      <c r="DR92" s="2" t="s">
        <v>102</v>
      </c>
      <c r="DS92" s="2">
        <v>18.588999999999999</v>
      </c>
      <c r="DT92" s="2">
        <v>9.6300000000000008</v>
      </c>
      <c r="DU92" s="2" t="s">
        <v>102</v>
      </c>
      <c r="DV92" s="2" t="s">
        <v>102</v>
      </c>
      <c r="DW92" s="2" t="s">
        <v>1143</v>
      </c>
      <c r="DX92" s="2">
        <v>160</v>
      </c>
      <c r="DY92" s="12">
        <v>0</v>
      </c>
      <c r="DZ92" s="2" t="s">
        <v>102</v>
      </c>
      <c r="EA92" s="2" t="s">
        <v>102</v>
      </c>
      <c r="EB92" s="2" t="s">
        <v>102</v>
      </c>
      <c r="EC92" s="2" t="str">
        <f>HYPERLINK(".\links\gpi\AGAP004404-PA-gpi.txt","N")</f>
        <v>N</v>
      </c>
      <c r="ED92" s="2">
        <v>0.25</v>
      </c>
      <c r="EF92" s="2">
        <v>3</v>
      </c>
      <c r="EG92" s="2" t="s">
        <v>102</v>
      </c>
      <c r="EH92" s="2" t="s">
        <v>102</v>
      </c>
      <c r="EI92" s="2">
        <v>12.5</v>
      </c>
      <c r="EJ92" s="2">
        <v>5</v>
      </c>
      <c r="EK92" s="2">
        <v>3.75</v>
      </c>
      <c r="EL92" s="2">
        <v>8.75</v>
      </c>
      <c r="EM92" s="2" t="s">
        <v>102</v>
      </c>
      <c r="EN92" s="2">
        <v>1</v>
      </c>
      <c r="EO92" s="2">
        <v>1</v>
      </c>
      <c r="EP92" s="2" t="s">
        <v>102</v>
      </c>
      <c r="EQ92" s="2" t="s">
        <v>102</v>
      </c>
      <c r="ER92" s="2" t="s">
        <v>102</v>
      </c>
      <c r="ES92" s="2" t="s">
        <v>102</v>
      </c>
      <c r="ET92" s="2" t="str">
        <f>HYPERLINK(".\links\REFSEQ-INVERTEBRATE\AGAP004404-PA-REFSEQ-INVERTEBRATE.txt","AGAP004404-PB")</f>
        <v>AGAP004404-PB</v>
      </c>
      <c r="EU92" s="2" t="str">
        <f>HYPERLINK("http://www.ncbi.nlm.nih.gov/sutils/blink.cgi?pid=XP_003436804.1","1E-118")</f>
        <v>1E-118</v>
      </c>
      <c r="EV92" s="2" t="str">
        <f>HYPERLINK("http://www.ncbi.nlm.nih.gov/protein/XP_003436804.1","XP_003436804.1")</f>
        <v>XP_003436804.1</v>
      </c>
      <c r="EW92" s="2">
        <v>100</v>
      </c>
      <c r="EX92" s="2">
        <v>100</v>
      </c>
      <c r="EY92" s="2">
        <v>100</v>
      </c>
      <c r="EZ92" s="2" t="s">
        <v>105</v>
      </c>
    </row>
    <row r="93" spans="1:156" x14ac:dyDescent="0.25">
      <c r="A93" s="2" t="s">
        <v>1149</v>
      </c>
      <c r="B93" s="2">
        <v>0.38197524915291198</v>
      </c>
      <c r="C93" s="2">
        <f t="shared" si="1"/>
        <v>1.3031247927887997</v>
      </c>
      <c r="D93" s="2">
        <v>5.3762964163673903</v>
      </c>
      <c r="E93" s="2">
        <v>12.148885195444601</v>
      </c>
      <c r="F93" s="2">
        <v>4.9117214793932399E-4</v>
      </c>
      <c r="G93" s="2">
        <v>2.5476323778642299E-2</v>
      </c>
      <c r="H93" s="2" t="s">
        <v>1150</v>
      </c>
      <c r="I93" s="2" t="s">
        <v>94</v>
      </c>
      <c r="J93" s="2" t="str">
        <f>HYPERLINK("https://vectorbase.org/vectorbase/app/record/gene/AGAP008417","AGAP008417-RA")</f>
        <v>AGAP008417-RA</v>
      </c>
      <c r="K93" s="2" t="str">
        <f>HYPERLINK(".\links\pep\AGAP008417-PA-pep.txt","AGAP008417-PA")</f>
        <v>AGAP008417-PA</v>
      </c>
      <c r="L93" s="12" t="s">
        <v>95</v>
      </c>
      <c r="M93" s="2">
        <v>333</v>
      </c>
      <c r="N93" s="2">
        <v>0</v>
      </c>
      <c r="O93" s="2">
        <v>0</v>
      </c>
      <c r="P93" s="2" t="s">
        <v>1151</v>
      </c>
      <c r="Q93" s="9" t="s">
        <v>1152</v>
      </c>
      <c r="R93" s="2" t="s">
        <v>388</v>
      </c>
      <c r="S93" s="2" t="str">
        <f>HYPERLINK(".\links\KOG\AGAP008417-PA-KOG.txt","KOG")</f>
        <v>KOG</v>
      </c>
      <c r="T93" s="2">
        <v>5.0000000000000002E-90</v>
      </c>
      <c r="U93" s="2">
        <v>99.3</v>
      </c>
      <c r="V93" s="2" t="s">
        <v>1153</v>
      </c>
      <c r="W93" s="10" t="s">
        <v>1154</v>
      </c>
      <c r="X93" s="2" t="s">
        <v>420</v>
      </c>
      <c r="Y93" s="2" t="str">
        <f>HYPERLINK(".\links\TIGR\AGAP008417-PA-TIGR.txt","TIGR")</f>
        <v>TIGR</v>
      </c>
      <c r="Z93" s="15">
        <v>1E-97</v>
      </c>
      <c r="AA93" s="2">
        <v>98</v>
      </c>
      <c r="AB93" s="13" t="str">
        <f>HYPERLINK(".\links\pep\AGAP008417-PA-sulf.txt","1")</f>
        <v>1</v>
      </c>
      <c r="AC93" s="13" t="str">
        <f>HYPERLINK(".\links\Sigp\AGAP008417-PA-SigP.txt","CYT")</f>
        <v>CYT</v>
      </c>
      <c r="AD93" s="2" t="s">
        <v>102</v>
      </c>
      <c r="AE93" s="2">
        <v>38.811</v>
      </c>
      <c r="AF93" s="2">
        <v>6.42</v>
      </c>
      <c r="AG93" s="2" t="s">
        <v>102</v>
      </c>
      <c r="AH93" s="2" t="s">
        <v>102</v>
      </c>
      <c r="AI93" s="2" t="s">
        <v>611</v>
      </c>
      <c r="AJ93" s="13">
        <v>0</v>
      </c>
      <c r="AK93" s="2" t="s">
        <v>102</v>
      </c>
      <c r="AL93" s="2" t="s">
        <v>102</v>
      </c>
      <c r="AM93" s="2" t="s">
        <v>102</v>
      </c>
      <c r="AN93" s="13" t="str">
        <f>HYPERLINK(".\links\gpi\AGAP008417-PA-gpi.txt","N")</f>
        <v>N</v>
      </c>
      <c r="AO93" s="14" t="str">
        <f>HYPERLINK(".\links\netoglyc\AGAP008417-PA-netoglyc.txt","1")</f>
        <v>1</v>
      </c>
      <c r="AP93" s="13">
        <v>10.8</v>
      </c>
      <c r="AQ93" s="2">
        <v>2.1</v>
      </c>
      <c r="AR93" s="2">
        <v>4.5</v>
      </c>
      <c r="AS93" s="2" t="s">
        <v>104</v>
      </c>
      <c r="AT93" s="9" t="str">
        <f>HYPERLINK(".\links\NR-LIGHT\AGAP008417-PA-NR-LIGHT.txt","AGAP008417-PA")</f>
        <v>AGAP008417-PA</v>
      </c>
      <c r="AU93" s="2" t="str">
        <f>HYPERLINK("http://www.ncbi.nlm.nih.gov/sutils/blink.cgi?pid=XP_317030.3","0.0")</f>
        <v>0.0</v>
      </c>
      <c r="AV93" s="2" t="str">
        <f>HYPERLINK("http://www.ncbi.nlm.nih.gov/protein/XP_317030.3","XP_317030.3")</f>
        <v>XP_317030.3</v>
      </c>
      <c r="AW93" s="2">
        <v>100</v>
      </c>
      <c r="AX93" s="2">
        <v>100</v>
      </c>
      <c r="AY93" s="2">
        <v>100</v>
      </c>
      <c r="AZ93" s="2" t="s">
        <v>105</v>
      </c>
      <c r="BA93" s="9" t="str">
        <f>HYPERLINK(".\links\REFSEQ-INVERTEBRATE\AGAP008417-PA-REFSEQ-INVERTEBRATE.txt","AGAP008417-PA")</f>
        <v>AGAP008417-PA</v>
      </c>
      <c r="BB93" s="2" t="str">
        <f>HYPERLINK("http://www.ncbi.nlm.nih.gov/sutils/blink.cgi?pid=XP_317030.3","0.0")</f>
        <v>0.0</v>
      </c>
      <c r="BC93" s="2" t="str">
        <f>HYPERLINK("http://www.ncbi.nlm.nih.gov/protein/XP_317030.3","XP_317030.3")</f>
        <v>XP_317030.3</v>
      </c>
      <c r="BD93" s="2">
        <v>100</v>
      </c>
      <c r="BE93" s="2">
        <v>100</v>
      </c>
      <c r="BF93" s="2">
        <v>100</v>
      </c>
      <c r="BG93" s="2" t="s">
        <v>105</v>
      </c>
      <c r="BH93" s="9" t="str">
        <f>HYPERLINK(".\links\REFSEQ-PROTOZOA\AGAP008417-PA-REFSEQ-PROTOZOA.txt","hypothetical protein CAOG_04347")</f>
        <v>hypothetical protein CAOG_04347</v>
      </c>
      <c r="BI93" s="2" t="str">
        <f>HYPERLINK("http://www.ncbi.nlm.nih.gov/sutils/blink.cgi?pid=XP_004348175.2","9E-039")</f>
        <v>9E-039</v>
      </c>
      <c r="BJ93" s="2" t="str">
        <f>HYPERLINK("http://www.ncbi.nlm.nih.gov/protein/XP_004348175.2","XP_004348175.2")</f>
        <v>XP_004348175.2</v>
      </c>
      <c r="BK93" s="2">
        <v>34</v>
      </c>
      <c r="BL93" s="2">
        <v>55</v>
      </c>
      <c r="BM93" s="2">
        <v>103</v>
      </c>
      <c r="BN93" s="2" t="s">
        <v>106</v>
      </c>
      <c r="BO93" s="9" t="str">
        <f>HYPERLINK(".\links\SWISSP\AGAP008417-PA-SWISSP.txt","Cyclin-H")</f>
        <v>Cyclin-H</v>
      </c>
      <c r="BP93" s="2" t="str">
        <f>HYPERLINK("http://www.uniprot.org/uniprot/Q61458","5E-068")</f>
        <v>5E-068</v>
      </c>
      <c r="BQ93" s="2" t="str">
        <f>HYPERLINK("http://www.uniprot.org/uniprot/Q61458#expression","Q61458")</f>
        <v>Q61458</v>
      </c>
      <c r="BR93" s="2">
        <v>47</v>
      </c>
      <c r="BS93" s="2">
        <v>65</v>
      </c>
      <c r="BT93" s="2">
        <v>94</v>
      </c>
      <c r="BU93" s="2" t="s">
        <v>662</v>
      </c>
      <c r="BV93" s="9" t="str">
        <f>HYPERLINK(".\links\FLYBASE\AGAP008417-PA-FLYBASE.txt","FBpp0078093")</f>
        <v>FBpp0078093</v>
      </c>
      <c r="BW93" s="2" t="str">
        <f>HYPERLINK("http://flybase.org/reports/FBgn0022936#alliance_summary_container","1E-160")</f>
        <v>1E-160</v>
      </c>
      <c r="BX93" s="2">
        <v>324</v>
      </c>
      <c r="BY93" s="2">
        <v>65</v>
      </c>
      <c r="BZ93" s="2">
        <v>80</v>
      </c>
      <c r="CA93" s="2">
        <v>100</v>
      </c>
      <c r="CB93" s="9" t="str">
        <f>HYPERLINK(".\links\CDD\AGAP008417-PA-CDD.txt","Cyclin_CCL1, cyclin ccl1")</f>
        <v>Cyclin_CCL1, cyclin ccl1</v>
      </c>
      <c r="CC93" s="15">
        <v>6.0000000000000005E-97</v>
      </c>
      <c r="CD93" s="2">
        <v>98.4</v>
      </c>
      <c r="CE93" s="2" t="s">
        <v>1155</v>
      </c>
      <c r="CF93" s="2" t="s">
        <v>1156</v>
      </c>
      <c r="CG93" s="9" t="str">
        <f>HYPERLINK(".\links\KOG\AGAP008417-PA-KOG.txt","cyclin H subunit")</f>
        <v>cyclin H subunit</v>
      </c>
      <c r="CH93" s="15">
        <v>5.0000000000000002E-90</v>
      </c>
      <c r="CI93" s="2">
        <v>99.4</v>
      </c>
      <c r="CJ93" s="2" t="s">
        <v>1157</v>
      </c>
      <c r="CK93" s="2" t="s">
        <v>1158</v>
      </c>
      <c r="CL93" s="9" t="str">
        <f>HYPERLINK(".\links\PFAM\AGAP008417-PA-PFAM.txt","Cyclin_C_2, Cyclin C-terminal domain")</f>
        <v>Cyclin_C_2, Cyclin C-terminal domain</v>
      </c>
      <c r="CM93" s="15">
        <v>7.0000000000000004E-25</v>
      </c>
      <c r="CN93" s="2">
        <v>103.1</v>
      </c>
      <c r="CO93" s="2" t="s">
        <v>1159</v>
      </c>
      <c r="CP93" s="9" t="str">
        <f>HYPERLINK(".\links\SMART\AGAP008417-PA-SMART.txt","CYCLIN, domain present in cyclins, TFIIB and Retinoblastoma")</f>
        <v>CYCLIN, domain present in cyclins, TFIIB and Retinoblastoma</v>
      </c>
      <c r="CQ93" s="15">
        <v>3.9999999999999999E-12</v>
      </c>
      <c r="CR93" s="2">
        <v>103.6</v>
      </c>
      <c r="CS93" s="2" t="s">
        <v>478</v>
      </c>
      <c r="CT93" s="2" t="s">
        <v>1153</v>
      </c>
      <c r="CU93" s="2" t="s">
        <v>1153</v>
      </c>
      <c r="CV93" s="2" t="s">
        <v>1153</v>
      </c>
      <c r="CW93" s="2" t="str">
        <f>HYPERLINK(".\links\pep\AGAP008417-PA-pep.txt","AGAP008417-PA")</f>
        <v>AGAP008417-PA</v>
      </c>
      <c r="CX93" s="2" t="s">
        <v>95</v>
      </c>
      <c r="CY93" s="2">
        <v>333</v>
      </c>
      <c r="CZ93" s="2" t="s">
        <v>113</v>
      </c>
      <c r="DA93" s="2" t="s">
        <v>1160</v>
      </c>
      <c r="DB93" s="2">
        <v>0</v>
      </c>
      <c r="DC93" s="2">
        <v>0</v>
      </c>
      <c r="DD93" s="2" t="str">
        <f>HYPERLINK("https://www.kegg.jp/kegg-bin/search_pathway_text?map=aga&amp;keyword=AGAP008417&amp;mode=1&amp;viewImage=true","AGAP008417")</f>
        <v>AGAP008417</v>
      </c>
      <c r="DE93" s="2" t="s">
        <v>1149</v>
      </c>
      <c r="DF93" s="2" t="s">
        <v>1150</v>
      </c>
      <c r="DG93" s="2" t="s">
        <v>94</v>
      </c>
      <c r="DH93" s="2" t="str">
        <f>HYPERLINK("https://vectorbase.org/vectorbase/app/record/gene/AGAP008417","AGAP008417-RA")</f>
        <v>AGAP008417-RA</v>
      </c>
      <c r="DI93" s="2" t="s">
        <v>90</v>
      </c>
      <c r="DJ93" s="2">
        <v>1496</v>
      </c>
      <c r="DK93" s="2" t="str">
        <f>HYPERLINK(".\links\netoglyc\AGAP008417-PA-netoglyc.txt","1")</f>
        <v>1</v>
      </c>
      <c r="DL93" s="2">
        <v>10.8</v>
      </c>
      <c r="DM93" s="2">
        <v>2.1</v>
      </c>
      <c r="DN93" s="2">
        <v>4.5</v>
      </c>
      <c r="DO93" s="2" t="s">
        <v>104</v>
      </c>
      <c r="DP93" s="2" t="s">
        <v>102</v>
      </c>
      <c r="DQ93" s="2" t="str">
        <f>HYPERLINK(".\links\Sigp\AGAP008417-PA-SigP.txt","CYT")</f>
        <v>CYT</v>
      </c>
      <c r="DR93" s="2" t="s">
        <v>102</v>
      </c>
      <c r="DS93" s="2">
        <v>38.811</v>
      </c>
      <c r="DT93" s="2">
        <v>6.42</v>
      </c>
      <c r="DU93" s="2" t="s">
        <v>102</v>
      </c>
      <c r="DV93" s="2" t="s">
        <v>102</v>
      </c>
      <c r="DW93" s="2" t="s">
        <v>611</v>
      </c>
      <c r="DX93" s="2">
        <v>333</v>
      </c>
      <c r="DY93" s="12">
        <v>0</v>
      </c>
      <c r="DZ93" s="2" t="s">
        <v>102</v>
      </c>
      <c r="EA93" s="2" t="s">
        <v>102</v>
      </c>
      <c r="EB93" s="2" t="s">
        <v>102</v>
      </c>
      <c r="EC93" s="2" t="str">
        <f>HYPERLINK(".\links\gpi\AGAP008417-PA-gpi.txt","Y-NoSP")</f>
        <v>Y-NoSP</v>
      </c>
      <c r="ED93" s="2">
        <v>0.25</v>
      </c>
      <c r="EF93" s="2">
        <v>5</v>
      </c>
      <c r="EG93" s="2" t="str">
        <f>HYPERLINK(".\links\pep\AGAP008417-PA-sulf.txt","1")</f>
        <v>1</v>
      </c>
      <c r="EH93" s="2" t="s">
        <v>102</v>
      </c>
      <c r="EI93" s="2">
        <v>10.8108108108108</v>
      </c>
      <c r="EJ93" s="2">
        <v>4.5045045045045002</v>
      </c>
      <c r="EK93" s="2">
        <v>2.1021021021021</v>
      </c>
      <c r="EL93" s="2">
        <v>6.6066066066066096</v>
      </c>
      <c r="EM93" s="2" t="s">
        <v>102</v>
      </c>
      <c r="EN93" s="2">
        <v>1</v>
      </c>
      <c r="EO93" s="2">
        <v>2</v>
      </c>
      <c r="EP93" s="2" t="s">
        <v>102</v>
      </c>
      <c r="EQ93" s="2" t="s">
        <v>102</v>
      </c>
      <c r="ER93" s="2" t="s">
        <v>102</v>
      </c>
      <c r="ES93" s="2" t="s">
        <v>102</v>
      </c>
      <c r="ET93" s="2" t="str">
        <f>HYPERLINK(".\links\REFSEQ-INVERTEBRATE\AGAP008417-PA-REFSEQ-INVERTEBRATE.txt","AGAP008417-PA")</f>
        <v>AGAP008417-PA</v>
      </c>
      <c r="EU93" s="2" t="str">
        <f>HYPERLINK("http://www.ncbi.nlm.nih.gov/sutils/blink.cgi?pid=XP_317030.3","0.0")</f>
        <v>0.0</v>
      </c>
      <c r="EV93" s="2" t="str">
        <f>HYPERLINK("http://www.ncbi.nlm.nih.gov/protein/XP_317030.3","XP_317030.3")</f>
        <v>XP_317030.3</v>
      </c>
      <c r="EW93" s="2">
        <v>100</v>
      </c>
      <c r="EX93" s="2">
        <v>100</v>
      </c>
      <c r="EY93" s="2">
        <v>100</v>
      </c>
      <c r="EZ93" s="2" t="s">
        <v>105</v>
      </c>
    </row>
    <row r="94" spans="1:156" x14ac:dyDescent="0.25">
      <c r="A94" s="2" t="s">
        <v>1161</v>
      </c>
      <c r="B94" s="2">
        <v>0.38130675678251902</v>
      </c>
      <c r="C94" s="2">
        <f t="shared" si="1"/>
        <v>1.3025211120639042</v>
      </c>
      <c r="D94" s="2">
        <v>6.87442102176096</v>
      </c>
      <c r="E94" s="2">
        <v>19.109644211163001</v>
      </c>
      <c r="F94" s="2">
        <v>1.23419647698001E-5</v>
      </c>
      <c r="G94" s="2">
        <v>4.6780793387069296E-3</v>
      </c>
      <c r="H94" s="2" t="s">
        <v>1162</v>
      </c>
      <c r="I94" s="2" t="s">
        <v>94</v>
      </c>
      <c r="J94" s="2" t="str">
        <f>HYPERLINK("https://vectorbase.org/vectorbase/app/record/gene/AGAP004623","AGAP004623-RA")</f>
        <v>AGAP004623-RA</v>
      </c>
      <c r="K94" s="2" t="str">
        <f>HYPERLINK(".\links\pep\AGAP004623-PA-pep.txt","AGAP004623-PA")</f>
        <v>AGAP004623-PA</v>
      </c>
      <c r="L94" s="12" t="s">
        <v>95</v>
      </c>
      <c r="M94" s="2">
        <v>756</v>
      </c>
      <c r="N94" s="2">
        <v>0</v>
      </c>
      <c r="O94" s="2">
        <v>5</v>
      </c>
      <c r="P94" s="2" t="s">
        <v>1163</v>
      </c>
      <c r="Q94" s="9" t="s">
        <v>1164</v>
      </c>
      <c r="R94" s="2" t="s">
        <v>388</v>
      </c>
      <c r="S94" s="2" t="str">
        <f>HYPERLINK(".\links\KOG\AGAP004623-PA-KOG.txt","KOG")</f>
        <v>KOG</v>
      </c>
      <c r="T94" s="2">
        <v>0</v>
      </c>
      <c r="U94" s="2">
        <v>55.1</v>
      </c>
      <c r="V94" s="2" t="s">
        <v>1165</v>
      </c>
      <c r="W94" s="10" t="s">
        <v>1166</v>
      </c>
      <c r="X94" s="2" t="s">
        <v>672</v>
      </c>
      <c r="Y94" s="2" t="str">
        <f>HYPERLINK(".\links\KOG\AGAP004623-PA-KOG.txt","KOG")</f>
        <v>KOG</v>
      </c>
      <c r="Z94" s="2">
        <v>0</v>
      </c>
      <c r="AA94" s="2">
        <v>49.2</v>
      </c>
      <c r="AB94" s="13" t="str">
        <f>HYPERLINK(".\links\pep\AGAP004623-PA-sulf.txt","4")</f>
        <v>4</v>
      </c>
      <c r="AC94" s="13" t="str">
        <f>HYPERLINK(".\links\Sigp\AGAP004623-PA-SigP.txt","CYT")</f>
        <v>CYT</v>
      </c>
      <c r="AD94" s="2" t="s">
        <v>102</v>
      </c>
      <c r="AE94" s="2">
        <v>86.867999999999995</v>
      </c>
      <c r="AF94" s="2">
        <v>5.49</v>
      </c>
      <c r="AG94" s="2" t="s">
        <v>102</v>
      </c>
      <c r="AH94" s="2" t="s">
        <v>102</v>
      </c>
      <c r="AI94" s="2" t="s">
        <v>1167</v>
      </c>
      <c r="AJ94" s="13">
        <v>0</v>
      </c>
      <c r="AK94" s="2" t="s">
        <v>102</v>
      </c>
      <c r="AL94" s="2" t="s">
        <v>102</v>
      </c>
      <c r="AM94" s="2" t="s">
        <v>102</v>
      </c>
      <c r="AN94" s="13" t="str">
        <f>HYPERLINK(".\links\gpi\AGAP004623-PA-gpi.txt","N")</f>
        <v>N</v>
      </c>
      <c r="AO94" s="14" t="str">
        <f>HYPERLINK(".\links\netoglyc\AGAP004623-PA-netoglyc.txt","1")</f>
        <v>1</v>
      </c>
      <c r="AP94" s="13">
        <v>13.8</v>
      </c>
      <c r="AQ94" s="2">
        <v>3.4</v>
      </c>
      <c r="AR94" s="2">
        <v>3.4</v>
      </c>
      <c r="AS94" s="2" t="s">
        <v>104</v>
      </c>
      <c r="AT94" s="9" t="str">
        <f>HYPERLINK(".\links\NR-LIGHT\AGAP004623-PA-NR-LIGHT.txt","AGAP004623-PA")</f>
        <v>AGAP004623-PA</v>
      </c>
      <c r="AU94" s="2" t="str">
        <f>HYPERLINK("http://www.ncbi.nlm.nih.gov/sutils/blink.cgi?pid=XP_315195.5","0.0")</f>
        <v>0.0</v>
      </c>
      <c r="AV94" s="2" t="str">
        <f>HYPERLINK("http://www.ncbi.nlm.nih.gov/protein/XP_315195.5","XP_315195.5")</f>
        <v>XP_315195.5</v>
      </c>
      <c r="AW94" s="2">
        <v>100</v>
      </c>
      <c r="AX94" s="2">
        <v>100</v>
      </c>
      <c r="AY94" s="2">
        <v>100</v>
      </c>
      <c r="AZ94" s="2" t="s">
        <v>105</v>
      </c>
      <c r="BA94" s="9" t="str">
        <f>HYPERLINK(".\links\REFSEQ-INVERTEBRATE\AGAP004623-PA-REFSEQ-INVERTEBRATE.txt","AGAP004623-PA")</f>
        <v>AGAP004623-PA</v>
      </c>
      <c r="BB94" s="2" t="str">
        <f>HYPERLINK("http://www.ncbi.nlm.nih.gov/sutils/blink.cgi?pid=XP_315195.5","0.0")</f>
        <v>0.0</v>
      </c>
      <c r="BC94" s="2" t="str">
        <f>HYPERLINK("http://www.ncbi.nlm.nih.gov/protein/XP_315195.5","XP_315195.5")</f>
        <v>XP_315195.5</v>
      </c>
      <c r="BD94" s="2">
        <v>100</v>
      </c>
      <c r="BE94" s="2">
        <v>100</v>
      </c>
      <c r="BF94" s="2">
        <v>100</v>
      </c>
      <c r="BG94" s="2" t="s">
        <v>105</v>
      </c>
      <c r="BH94" s="9" t="str">
        <f>HYPERLINK(".\links\REFSEQ-PROTOZOA\AGAP004623-PA-REFSEQ-PROTOZOA.txt","hypothetical protein PHYSODRAFT_537889")</f>
        <v>hypothetical protein PHYSODRAFT_537889</v>
      </c>
      <c r="BI94" s="2" t="str">
        <f>HYPERLINK("http://www.ncbi.nlm.nih.gov/sutils/blink.cgi?pid=XP_009517057.1","6E-059")</f>
        <v>6E-059</v>
      </c>
      <c r="BJ94" s="2" t="str">
        <f>HYPERLINK("http://www.ncbi.nlm.nih.gov/protein/XP_009517057.1","XP_009517057.1")</f>
        <v>XP_009517057.1</v>
      </c>
      <c r="BK94" s="2">
        <v>37</v>
      </c>
      <c r="BL94" s="2">
        <v>60</v>
      </c>
      <c r="BM94" s="2">
        <v>40</v>
      </c>
      <c r="BN94" s="2" t="s">
        <v>718</v>
      </c>
      <c r="BO94" s="9" t="str">
        <f>HYPERLINK(".\links\SWISSP\AGAP004623-PA-SWISSP.txt","Cell division cycle protein 16 homolog")</f>
        <v>Cell division cycle protein 16 homolog</v>
      </c>
      <c r="BP94" s="2" t="str">
        <f>HYPERLINK("http://www.uniprot.org/uniprot/Q8R349","1E-097")</f>
        <v>1E-097</v>
      </c>
      <c r="BQ94" s="2" t="str">
        <f>HYPERLINK("http://www.uniprot.org/uniprot/Q8R349#expression","Q8R349")</f>
        <v>Q8R349</v>
      </c>
      <c r="BR94" s="2">
        <v>53</v>
      </c>
      <c r="BS94" s="2">
        <v>75</v>
      </c>
      <c r="BT94" s="2">
        <v>49</v>
      </c>
      <c r="BU94" s="2" t="s">
        <v>662</v>
      </c>
      <c r="BV94" s="9" t="str">
        <f>HYPERLINK(".\links\FLYBASE\AGAP004623-PA-FLYBASE.txt","FBpp0083769")</f>
        <v>FBpp0083769</v>
      </c>
      <c r="BW94" s="2" t="str">
        <f>HYPERLINK("http://flybase.org/reports/FBgn0025781#alliance_summary_container","0.0")</f>
        <v>0.0</v>
      </c>
      <c r="BX94" s="2">
        <v>718</v>
      </c>
      <c r="BY94" s="2">
        <v>53</v>
      </c>
      <c r="BZ94" s="2">
        <v>71</v>
      </c>
      <c r="CA94" s="2">
        <v>93</v>
      </c>
      <c r="CB94" s="9" t="str">
        <f>HYPERLINK(".\links\CDD\AGAP004623-PA-CDD.txt","ANAPC3, Anaphase-promoting complex, cyclosome, subunit 3")</f>
        <v>ANAPC3, Anaphase-promoting complex, cyclosome, subunit 3</v>
      </c>
      <c r="CC94" s="15">
        <v>7.0000000000000003E-16</v>
      </c>
      <c r="CD94" s="2">
        <v>96.3</v>
      </c>
      <c r="CE94" s="2" t="s">
        <v>1168</v>
      </c>
      <c r="CF94" s="2" t="s">
        <v>1169</v>
      </c>
      <c r="CG94" s="9" t="str">
        <f>HYPERLINK(".\links\KOG\AGAP004623-PA-KOG.txt","Cdc16 subunit")</f>
        <v>Cdc16 subunit</v>
      </c>
      <c r="CH94" s="15">
        <v>9.9999999999999994E-107</v>
      </c>
      <c r="CI94" s="2">
        <v>55.2</v>
      </c>
      <c r="CJ94" s="2" t="s">
        <v>1170</v>
      </c>
      <c r="CK94" s="2" t="s">
        <v>1171</v>
      </c>
      <c r="CL94" s="9" t="str">
        <f>HYPERLINK(".\links\PFAM\AGAP004623-PA-PFAM.txt","ANAPC3, Anaphase-promoting complex, cyclosome, subunit 3")</f>
        <v>ANAPC3, Anaphase-promoting complex, cyclosome, subunit 3</v>
      </c>
      <c r="CM94" s="15">
        <v>9.9999999999999998E-17</v>
      </c>
      <c r="CN94" s="2">
        <v>96.3</v>
      </c>
      <c r="CO94" s="2" t="s">
        <v>1168</v>
      </c>
      <c r="CP94" s="9" t="str">
        <f>HYPERLINK(".\links\SMART\AGAP004623-PA-SMART.txt","TPR, Tetratricopeptide repeats")</f>
        <v>TPR, Tetratricopeptide repeats</v>
      </c>
      <c r="CQ94" s="15">
        <v>5.0000000000000002E-5</v>
      </c>
      <c r="CR94" s="2">
        <v>85.3</v>
      </c>
      <c r="CS94" s="2" t="s">
        <v>1172</v>
      </c>
      <c r="CT94" s="2" t="s">
        <v>1165</v>
      </c>
      <c r="CU94" s="2" t="s">
        <v>1165</v>
      </c>
      <c r="CV94" s="2" t="s">
        <v>1165</v>
      </c>
      <c r="CW94" s="2" t="str">
        <f>HYPERLINK(".\links\pep\AGAP004623-PA-pep.txt","AGAP004623-PA")</f>
        <v>AGAP004623-PA</v>
      </c>
      <c r="CX94" s="2" t="s">
        <v>95</v>
      </c>
      <c r="CY94" s="2">
        <v>756</v>
      </c>
      <c r="CZ94" s="2" t="s">
        <v>113</v>
      </c>
      <c r="DA94" s="2" t="s">
        <v>1173</v>
      </c>
      <c r="DB94" s="2">
        <v>0</v>
      </c>
      <c r="DC94" s="2">
        <v>5</v>
      </c>
      <c r="DD94" s="2" t="str">
        <f>HYPERLINK("https://www.kegg.jp/kegg-bin/search_pathway_text?map=aga&amp;keyword=AGAP004623&amp;mode=1&amp;viewImage=true","AGAP004623")</f>
        <v>AGAP004623</v>
      </c>
      <c r="DE94" s="2" t="s">
        <v>1161</v>
      </c>
      <c r="DF94" s="2" t="s">
        <v>1162</v>
      </c>
      <c r="DG94" s="2" t="s">
        <v>94</v>
      </c>
      <c r="DH94" s="2" t="str">
        <f>HYPERLINK("https://vectorbase.org/vectorbase/app/record/gene/AGAP004623","AGAP004623-RA")</f>
        <v>AGAP004623-RA</v>
      </c>
      <c r="DI94" s="2" t="s">
        <v>90</v>
      </c>
      <c r="DJ94" s="2">
        <v>2390</v>
      </c>
      <c r="DK94" s="2" t="str">
        <f>HYPERLINK(".\links\netoglyc\AGAP004623-PA-netoglyc.txt","1")</f>
        <v>1</v>
      </c>
      <c r="DL94" s="2">
        <v>13.8</v>
      </c>
      <c r="DM94" s="2">
        <v>3.4</v>
      </c>
      <c r="DN94" s="2">
        <v>3.4</v>
      </c>
      <c r="DO94" s="2" t="s">
        <v>104</v>
      </c>
      <c r="DP94" s="2" t="s">
        <v>102</v>
      </c>
      <c r="DQ94" s="2" t="str">
        <f>HYPERLINK(".\links\Sigp\AGAP004623-PA-SigP.txt","CYT")</f>
        <v>CYT</v>
      </c>
      <c r="DR94" s="2" t="s">
        <v>102</v>
      </c>
      <c r="DS94" s="2">
        <v>86.867999999999995</v>
      </c>
      <c r="DT94" s="2">
        <v>5.49</v>
      </c>
      <c r="DU94" s="2" t="s">
        <v>102</v>
      </c>
      <c r="DV94" s="2" t="s">
        <v>102</v>
      </c>
      <c r="DW94" s="2" t="s">
        <v>1167</v>
      </c>
      <c r="DX94" s="2">
        <v>756</v>
      </c>
      <c r="DY94" s="12">
        <v>0</v>
      </c>
      <c r="DZ94" s="2" t="s">
        <v>102</v>
      </c>
      <c r="EA94" s="2" t="s">
        <v>102</v>
      </c>
      <c r="EB94" s="2" t="s">
        <v>102</v>
      </c>
      <c r="EC94" s="2" t="str">
        <f>HYPERLINK(".\links\gpi\AGAP004623-PA-gpi.txt","Y-NoSP")</f>
        <v>Y-NoSP</v>
      </c>
      <c r="ED94" s="2">
        <v>0.24</v>
      </c>
      <c r="EF94" s="2">
        <v>21</v>
      </c>
      <c r="EG94" s="2" t="str">
        <f>HYPERLINK(".\links\pep\AGAP004623-PA-sulf.txt","4")</f>
        <v>4</v>
      </c>
      <c r="EH94" s="2" t="s">
        <v>102</v>
      </c>
      <c r="EI94" s="2">
        <v>13.756613756613801</v>
      </c>
      <c r="EJ94" s="2">
        <v>3.43915343915344</v>
      </c>
      <c r="EK94" s="2">
        <v>3.43915343915344</v>
      </c>
      <c r="EL94" s="2">
        <v>6.8783068783068799</v>
      </c>
      <c r="EM94" s="2" t="s">
        <v>102</v>
      </c>
      <c r="EN94" s="2">
        <v>1</v>
      </c>
      <c r="EO94" s="2">
        <v>2</v>
      </c>
      <c r="EP94" s="2" t="s">
        <v>102</v>
      </c>
      <c r="EQ94" s="2" t="s">
        <v>102</v>
      </c>
      <c r="ER94" s="2" t="s">
        <v>102</v>
      </c>
      <c r="ES94" s="2" t="s">
        <v>102</v>
      </c>
      <c r="ET94" s="2" t="str">
        <f>HYPERLINK(".\links\REFSEQ-INVERTEBRATE\AGAP004623-PA-REFSEQ-INVERTEBRATE.txt","AGAP004623-PA")</f>
        <v>AGAP004623-PA</v>
      </c>
      <c r="EU94" s="2" t="str">
        <f>HYPERLINK("http://www.ncbi.nlm.nih.gov/sutils/blink.cgi?pid=XP_315195.5","0.0")</f>
        <v>0.0</v>
      </c>
      <c r="EV94" s="2" t="str">
        <f>HYPERLINK("http://www.ncbi.nlm.nih.gov/protein/XP_315195.5","XP_315195.5")</f>
        <v>XP_315195.5</v>
      </c>
      <c r="EW94" s="2">
        <v>100</v>
      </c>
      <c r="EX94" s="2">
        <v>100</v>
      </c>
      <c r="EY94" s="2">
        <v>100</v>
      </c>
      <c r="EZ94" s="2" t="s">
        <v>105</v>
      </c>
    </row>
    <row r="95" spans="1:156" x14ac:dyDescent="0.25">
      <c r="A95" s="2" t="s">
        <v>1174</v>
      </c>
      <c r="B95" s="2">
        <v>0.37988369529210297</v>
      </c>
      <c r="C95" s="2">
        <f t="shared" si="1"/>
        <v>1.3012369503306518</v>
      </c>
      <c r="D95" s="2">
        <v>6.4996122448761904</v>
      </c>
      <c r="E95" s="2">
        <v>14.6419048548077</v>
      </c>
      <c r="F95" s="2">
        <v>1.29991763212419E-4</v>
      </c>
      <c r="G95" s="2">
        <v>1.2085554966588599E-2</v>
      </c>
      <c r="H95" s="2" t="s">
        <v>93</v>
      </c>
      <c r="I95" s="2" t="s">
        <v>94</v>
      </c>
      <c r="J95" s="2" t="str">
        <f>HYPERLINK("https://vectorbase.org/vectorbase/app/record/gene/AGAP029352","AGAP029352-RA")</f>
        <v>AGAP029352-RA</v>
      </c>
      <c r="K95" s="2" t="str">
        <f>HYPERLINK(".\links\pep\AGAP029352-PA-pep.txt","AGAP029352-PA")</f>
        <v>AGAP029352-PA</v>
      </c>
      <c r="L95" s="12" t="s">
        <v>95</v>
      </c>
      <c r="M95" s="2">
        <v>1466</v>
      </c>
      <c r="N95" s="2">
        <v>0</v>
      </c>
      <c r="O95" s="2">
        <v>2</v>
      </c>
      <c r="P95" s="2" t="s">
        <v>102</v>
      </c>
      <c r="Q95" s="9" t="s">
        <v>1175</v>
      </c>
      <c r="R95" s="2" t="s">
        <v>420</v>
      </c>
      <c r="S95" s="2" t="str">
        <f>HYPERLINK(".\links\SWISSP\AGAP029352-PA-SWISSP.txt","SWISSP")</f>
        <v>SWISSP</v>
      </c>
      <c r="T95" s="2">
        <v>1.9999999999999999E-11</v>
      </c>
      <c r="U95" s="2">
        <v>40.200000000000003</v>
      </c>
      <c r="V95" s="2" t="s">
        <v>1176</v>
      </c>
      <c r="W95" s="10" t="s">
        <v>1177</v>
      </c>
      <c r="X95" s="2" t="s">
        <v>608</v>
      </c>
      <c r="AB95" s="13" t="str">
        <f>HYPERLINK(".\links\pep\AGAP029352-PA-sulf.txt","3")</f>
        <v>3</v>
      </c>
      <c r="AC95" s="13" t="str">
        <f>HYPERLINK(".\links\Sigp\AGAP029352-PA-SigP.txt","CYT")</f>
        <v>CYT</v>
      </c>
      <c r="AD95" s="2" t="s">
        <v>102</v>
      </c>
      <c r="AE95" s="2">
        <v>169.202</v>
      </c>
      <c r="AF95" s="2">
        <v>9.0399999999999991</v>
      </c>
      <c r="AG95" s="2" t="s">
        <v>102</v>
      </c>
      <c r="AH95" s="2" t="s">
        <v>102</v>
      </c>
      <c r="AI95" s="2" t="s">
        <v>211</v>
      </c>
      <c r="AJ95" s="13">
        <v>0</v>
      </c>
      <c r="AK95" s="2" t="s">
        <v>102</v>
      </c>
      <c r="AL95" s="2" t="s">
        <v>102</v>
      </c>
      <c r="AM95" s="2" t="s">
        <v>102</v>
      </c>
      <c r="AN95" s="9" t="str">
        <f>HYPERLINK(".\links\gpi\AGAP029352-PA-gpi.txt","N")</f>
        <v>N</v>
      </c>
      <c r="AO95" s="14" t="str">
        <f>HYPERLINK(".\links\netoglyc\AGAP029352-PA-netoglyc.txt","1")</f>
        <v>1</v>
      </c>
      <c r="AP95" s="13">
        <v>17</v>
      </c>
      <c r="AQ95" s="2">
        <v>2.7</v>
      </c>
      <c r="AR95" s="2">
        <v>5.3</v>
      </c>
      <c r="AS95" s="2" t="s">
        <v>104</v>
      </c>
      <c r="AT95" s="9" t="str">
        <f>HYPERLINK(".\links\NR-LIGHT\AGAP029352-PA-NR-LIGHT.txt","dentin sialophosphoprotein-like")</f>
        <v>dentin sialophosphoprotein-like</v>
      </c>
      <c r="AU95" s="2" t="str">
        <f>HYPERLINK("http://www.ncbi.nlm.nih.gov/sutils/blink.cgi?pid=XP_019636013.1","1E-021")</f>
        <v>1E-021</v>
      </c>
      <c r="AV95" s="2" t="str">
        <f>HYPERLINK("http://www.ncbi.nlm.nih.gov/protein/XP_019636013.1","XP_019636013.1")</f>
        <v>XP_019636013.1</v>
      </c>
      <c r="AW95" s="2">
        <v>19</v>
      </c>
      <c r="AX95" s="2">
        <v>40</v>
      </c>
      <c r="AY95" s="2">
        <v>72</v>
      </c>
      <c r="AZ95" s="2" t="s">
        <v>1178</v>
      </c>
      <c r="BA95" s="9" t="str">
        <f>HYPERLINK(".\links\REFSEQ-INVERTEBRATE\AGAP029352-PA-REFSEQ-INVERTEBRATE.txt","titin homolog")</f>
        <v>titin homolog</v>
      </c>
      <c r="BB95" s="2" t="str">
        <f>HYPERLINK("http://www.ncbi.nlm.nih.gov/sutils/blink.cgi?pid=XP_022193908.1","2E-022")</f>
        <v>2E-022</v>
      </c>
      <c r="BC95" s="2" t="str">
        <f>HYPERLINK("http://www.ncbi.nlm.nih.gov/protein/XP_022193908.1","XP_022193908.1")</f>
        <v>XP_022193908.1</v>
      </c>
      <c r="BD95" s="2">
        <v>19</v>
      </c>
      <c r="BE95" s="2">
        <v>36</v>
      </c>
      <c r="BF95" s="2">
        <v>35</v>
      </c>
      <c r="BG95" s="2" t="s">
        <v>1179</v>
      </c>
      <c r="BH95" s="9" t="str">
        <f>HYPERLINK(".\links\REFSEQ-PROTOZOA\AGAP029352-PA-REFSEQ-PROTOZOA.txt","variable membrane protein precursor")</f>
        <v>variable membrane protein precursor</v>
      </c>
      <c r="BI95" s="2" t="str">
        <f>HYPERLINK("http://www.ncbi.nlm.nih.gov/sutils/blink.cgi?pid=XP_001306517.1","4E-024")</f>
        <v>4E-024</v>
      </c>
      <c r="BJ95" s="2" t="str">
        <f>HYPERLINK("http://www.ncbi.nlm.nih.gov/protein/XP_001306517.1","XP_001306517.1")</f>
        <v>XP_001306517.1</v>
      </c>
      <c r="BK95" s="2">
        <v>19</v>
      </c>
      <c r="BL95" s="2">
        <v>34</v>
      </c>
      <c r="BM95" s="2">
        <v>57</v>
      </c>
      <c r="BN95" s="2" t="s">
        <v>292</v>
      </c>
      <c r="BO95" s="9" t="str">
        <f>HYPERLINK(".\links\SWISSP\AGAP029352-PA-SWISSP.txt","Transcriptional regulator ATRX")</f>
        <v>Transcriptional regulator ATRX</v>
      </c>
      <c r="BP95" s="2" t="str">
        <f>HYPERLINK("http://www.uniprot.org/uniprot/P46100","2E-011")</f>
        <v>2E-011</v>
      </c>
      <c r="BQ95" s="2" t="str">
        <f>HYPERLINK("http://www.uniprot.org/uniprot/P46100#expression","P46100")</f>
        <v>P46100</v>
      </c>
      <c r="BR95" s="2">
        <v>18</v>
      </c>
      <c r="BS95" s="2">
        <v>36</v>
      </c>
      <c r="BT95" s="2">
        <v>40</v>
      </c>
      <c r="BU95" s="2" t="s">
        <v>127</v>
      </c>
      <c r="BV95" s="9"/>
      <c r="CB95" s="9" t="str">
        <f>HYPERLINK(".\links\CDD\AGAP029352-PA-CDD.txt","PTZ00482, membrane-attack complex/perforin (MACPF) Superfamily")</f>
        <v>PTZ00482, membrane-attack complex/perforin (MACPF) Superfamily</v>
      </c>
      <c r="CC95" s="15">
        <v>0.1</v>
      </c>
      <c r="CD95" s="2">
        <v>13.5</v>
      </c>
      <c r="CE95" s="2" t="s">
        <v>1180</v>
      </c>
      <c r="CF95" s="2" t="s">
        <v>1181</v>
      </c>
      <c r="CG95" s="9" t="str">
        <f>HYPERLINK(".\links\KOG\AGAP029352-PA-KOG.txt","large subunit")</f>
        <v>large subunit</v>
      </c>
      <c r="CH95" s="15">
        <v>1.2</v>
      </c>
      <c r="CI95" s="2">
        <v>12.1</v>
      </c>
      <c r="CJ95" s="2" t="s">
        <v>1182</v>
      </c>
      <c r="CK95" s="2" t="s">
        <v>309</v>
      </c>
      <c r="CL95" s="9" t="str">
        <f>HYPERLINK(".\links\PFAM\AGAP029352-PA-PFAM.txt","CDC45, CDC45-like protein")</f>
        <v>CDC45, CDC45-like protein</v>
      </c>
      <c r="CM95" s="15">
        <v>0.46</v>
      </c>
      <c r="CN95" s="2">
        <v>18.2</v>
      </c>
      <c r="CO95" s="2" t="s">
        <v>1183</v>
      </c>
      <c r="CP95" s="9" t="str">
        <f>HYPERLINK(".\links\SMART\AGAP029352-PA-SMART.txt","XPGN, Xeroderma pigmentosum G N-region")</f>
        <v>XPGN, Xeroderma pigmentosum G N-region</v>
      </c>
      <c r="CQ95" s="15">
        <v>1.4</v>
      </c>
      <c r="CR95" s="2">
        <v>71.7</v>
      </c>
      <c r="CS95" s="2" t="s">
        <v>1184</v>
      </c>
      <c r="CT95" s="2" t="s">
        <v>1176</v>
      </c>
      <c r="CU95" s="2" t="s">
        <v>1176</v>
      </c>
      <c r="CV95" s="2" t="s">
        <v>1176</v>
      </c>
      <c r="CW95" s="2" t="str">
        <f>HYPERLINK(".\links\pep\AGAP029352-PA-pep.txt","AGAP029352-PA")</f>
        <v>AGAP029352-PA</v>
      </c>
      <c r="CX95" s="2" t="s">
        <v>95</v>
      </c>
      <c r="CY95" s="2">
        <v>1466</v>
      </c>
      <c r="CZ95" s="2" t="s">
        <v>113</v>
      </c>
      <c r="DA95" s="2" t="s">
        <v>1185</v>
      </c>
      <c r="DB95" s="2">
        <v>0</v>
      </c>
      <c r="DC95" s="2">
        <v>2</v>
      </c>
      <c r="DD95" s="2" t="str">
        <f>HYPERLINK("https://www.kegg.jp/kegg-bin/search_pathway_text?map=aga&amp;keyword=AGAP029352&amp;mode=1&amp;viewImage=true","AGAP029352")</f>
        <v>AGAP029352</v>
      </c>
      <c r="DE95" s="2" t="s">
        <v>1174</v>
      </c>
      <c r="DF95" s="2" t="s">
        <v>93</v>
      </c>
      <c r="DG95" s="2" t="s">
        <v>94</v>
      </c>
      <c r="DH95" s="2" t="str">
        <f>HYPERLINK("https://vectorbase.org/vectorbase/app/record/gene/AGAP029352","AGAP029352-RA")</f>
        <v>AGAP029352-RA</v>
      </c>
      <c r="DI95" s="2" t="s">
        <v>115</v>
      </c>
      <c r="DJ95" s="2">
        <v>4730</v>
      </c>
      <c r="DK95" s="2" t="str">
        <f>HYPERLINK(".\links\netoglyc\AGAP029352-PA-netoglyc.txt","1")</f>
        <v>1</v>
      </c>
      <c r="DL95" s="2">
        <v>17</v>
      </c>
      <c r="DM95" s="2">
        <v>2.7</v>
      </c>
      <c r="DN95" s="2">
        <v>5.3</v>
      </c>
      <c r="DO95" s="2" t="s">
        <v>104</v>
      </c>
      <c r="DP95" s="2" t="s">
        <v>1186</v>
      </c>
      <c r="DQ95" s="2" t="str">
        <f>HYPERLINK(".\links\Sigp\AGAP029352-PA-SigP.txt","CYT")</f>
        <v>CYT</v>
      </c>
      <c r="DR95" s="2" t="s">
        <v>102</v>
      </c>
      <c r="DS95" s="2">
        <v>169.202</v>
      </c>
      <c r="DT95" s="2">
        <v>9.0399999999999991</v>
      </c>
      <c r="DU95" s="2" t="s">
        <v>102</v>
      </c>
      <c r="DV95" s="2" t="s">
        <v>102</v>
      </c>
      <c r="DW95" s="2" t="s">
        <v>211</v>
      </c>
      <c r="DX95" s="2">
        <v>1466</v>
      </c>
      <c r="DY95" s="12">
        <v>0</v>
      </c>
      <c r="DZ95" s="2" t="s">
        <v>102</v>
      </c>
      <c r="EA95" s="2" t="s">
        <v>102</v>
      </c>
      <c r="EB95" s="2" t="s">
        <v>102</v>
      </c>
      <c r="EC95" s="2" t="str">
        <f>HYPERLINK(".\links\gpi\AGAP029352-PA-gpi.txt","Y-NoSP")</f>
        <v>Y-NoSP</v>
      </c>
      <c r="ED95" s="2">
        <v>0.38</v>
      </c>
      <c r="EF95" s="2">
        <v>25</v>
      </c>
      <c r="EG95" s="2" t="str">
        <f>HYPERLINK(".\links\pep\AGAP029352-PA-sulf.txt","3")</f>
        <v>3</v>
      </c>
      <c r="EH95" s="2" t="s">
        <v>102</v>
      </c>
      <c r="EI95" s="2">
        <v>16.984993178717598</v>
      </c>
      <c r="EJ95" s="2">
        <v>5.3206002728513004</v>
      </c>
      <c r="EK95" s="2">
        <v>2.6603001364256502</v>
      </c>
      <c r="EL95" s="2">
        <v>7.9809004092769396</v>
      </c>
      <c r="EM95" s="2" t="s">
        <v>102</v>
      </c>
      <c r="EN95" s="2">
        <v>1</v>
      </c>
      <c r="EO95" s="2">
        <v>1</v>
      </c>
      <c r="EP95" s="2" t="s">
        <v>102</v>
      </c>
      <c r="EQ95" s="2" t="s">
        <v>102</v>
      </c>
      <c r="ER95" s="2" t="s">
        <v>102</v>
      </c>
      <c r="ES95" s="2" t="s">
        <v>102</v>
      </c>
    </row>
    <row r="96" spans="1:156" x14ac:dyDescent="0.25">
      <c r="A96" s="2" t="s">
        <v>1187</v>
      </c>
      <c r="B96" s="2">
        <v>0.37980703063081001</v>
      </c>
      <c r="C96" s="2">
        <f t="shared" si="1"/>
        <v>1.3011678045744868</v>
      </c>
      <c r="D96" s="2">
        <v>6.2728677160556003</v>
      </c>
      <c r="E96" s="2">
        <v>17.731826394934998</v>
      </c>
      <c r="F96" s="2">
        <v>2.5433559483633401E-5</v>
      </c>
      <c r="G96" s="2">
        <v>6.4268648387488898E-3</v>
      </c>
      <c r="H96" s="2" t="s">
        <v>1188</v>
      </c>
      <c r="I96" s="2" t="s">
        <v>94</v>
      </c>
      <c r="J96" s="2" t="str">
        <f>HYPERLINK("https://vectorbase.org/vectorbase/app/record/gene/AGAP010210","AGAP010210-RA")</f>
        <v>AGAP010210-RA</v>
      </c>
      <c r="K96" s="2" t="str">
        <f>HYPERLINK(".\links\pep\AGAP010210-PA-pep.txt","AGAP010210-PA")</f>
        <v>AGAP010210-PA</v>
      </c>
      <c r="L96" s="12" t="s">
        <v>95</v>
      </c>
      <c r="M96" s="2">
        <v>199</v>
      </c>
      <c r="N96" s="2">
        <v>0</v>
      </c>
      <c r="O96" s="2">
        <v>0</v>
      </c>
      <c r="P96" s="2" t="s">
        <v>1189</v>
      </c>
      <c r="Q96" s="9" t="s">
        <v>1190</v>
      </c>
      <c r="R96" s="2" t="s">
        <v>1079</v>
      </c>
      <c r="S96" s="2" t="str">
        <f>HYPERLINK(".\links\KOG\AGAP010210-PA-KOG.txt","KOG")</f>
        <v>KOG</v>
      </c>
      <c r="T96" s="2">
        <v>9.9999999999999993E-35</v>
      </c>
      <c r="U96" s="2">
        <v>82.5</v>
      </c>
      <c r="V96" s="2" t="s">
        <v>1191</v>
      </c>
      <c r="W96" s="10" t="s">
        <v>1192</v>
      </c>
      <c r="X96" s="2" t="s">
        <v>1193</v>
      </c>
      <c r="Y96" s="2" t="str">
        <f>HYPERLINK(".\links\REFSEQ-INVERTEBRATE\AGAP010210-PA-REFSEQ-INVERTEBRATE.txt","REFSEQ-INVERTEBRATE")</f>
        <v>REFSEQ-INVERTEBRATE</v>
      </c>
      <c r="Z96" s="2">
        <v>0</v>
      </c>
      <c r="AA96" s="2">
        <v>100</v>
      </c>
      <c r="AB96" s="13" t="s">
        <v>102</v>
      </c>
      <c r="AC96" s="13" t="str">
        <f>HYPERLINK(".\links\Sigp\AGAP010210-PA-SigP.txt","CYT")</f>
        <v>CYT</v>
      </c>
      <c r="AD96" s="2" t="s">
        <v>102</v>
      </c>
      <c r="AE96" s="2">
        <v>20.972000000000001</v>
      </c>
      <c r="AF96" s="2">
        <v>9.39</v>
      </c>
      <c r="AG96" s="2" t="s">
        <v>102</v>
      </c>
      <c r="AH96" s="2" t="s">
        <v>102</v>
      </c>
      <c r="AI96" s="2" t="s">
        <v>1194</v>
      </c>
      <c r="AJ96" s="13" t="str">
        <f>HYPERLINK(".\links\tmhmm\AGAP010210-PA-tmhmm.txt","2")</f>
        <v>2</v>
      </c>
      <c r="AK96" s="2">
        <v>22.1</v>
      </c>
      <c r="AL96" s="2">
        <v>36.700000000000003</v>
      </c>
      <c r="AM96" s="2">
        <v>41.2</v>
      </c>
      <c r="AN96" s="13" t="str">
        <f>HYPERLINK(".\links\gpi\AGAP010210-PA-gpi.txt","N")</f>
        <v>N</v>
      </c>
      <c r="AO96" s="14" t="str">
        <f>HYPERLINK(".\links\netoglyc\AGAP010210-PA-netoglyc.txt","0")</f>
        <v>0</v>
      </c>
      <c r="AP96" s="13">
        <v>15.1</v>
      </c>
      <c r="AQ96" s="2">
        <v>13.6</v>
      </c>
      <c r="AR96" s="2">
        <v>3.5</v>
      </c>
      <c r="AS96" s="2" t="s">
        <v>104</v>
      </c>
      <c r="AT96" s="9" t="str">
        <f>HYPERLINK(".\links\NR-LIGHT\AGAP010210-PA-NR-LIGHT.txt","AGAP010210-PA")</f>
        <v>AGAP010210-PA</v>
      </c>
      <c r="AU96" s="2" t="str">
        <f>HYPERLINK("http://www.ncbi.nlm.nih.gov/sutils/blink.cgi?pid=XP_319394.3","1E-108")</f>
        <v>1E-108</v>
      </c>
      <c r="AV96" s="2" t="str">
        <f>HYPERLINK("http://www.ncbi.nlm.nih.gov/protein/XP_319394.3","XP_319394.3")</f>
        <v>XP_319394.3</v>
      </c>
      <c r="AW96" s="2">
        <v>100</v>
      </c>
      <c r="AX96" s="2">
        <v>100</v>
      </c>
      <c r="AY96" s="2">
        <v>100</v>
      </c>
      <c r="AZ96" s="2" t="s">
        <v>105</v>
      </c>
      <c r="BA96" s="9" t="str">
        <f>HYPERLINK(".\links\REFSEQ-INVERTEBRATE\AGAP010210-PA-REFSEQ-INVERTEBRATE.txt","AGAP010210-PA")</f>
        <v>AGAP010210-PA</v>
      </c>
      <c r="BB96" s="2" t="str">
        <f>HYPERLINK("http://www.ncbi.nlm.nih.gov/sutils/blink.cgi?pid=XP_319394.3","1E-108")</f>
        <v>1E-108</v>
      </c>
      <c r="BC96" s="2" t="str">
        <f>HYPERLINK("http://www.ncbi.nlm.nih.gov/protein/XP_319394.3","XP_319394.3")</f>
        <v>XP_319394.3</v>
      </c>
      <c r="BD96" s="2">
        <v>100</v>
      </c>
      <c r="BE96" s="2">
        <v>100</v>
      </c>
      <c r="BF96" s="2">
        <v>100</v>
      </c>
      <c r="BG96" s="2" t="s">
        <v>105</v>
      </c>
      <c r="BH96" s="9" t="str">
        <f>HYPERLINK(".\links\REFSEQ-PROTOZOA\AGAP010210-PA-REFSEQ-PROTOZOA.txt","hypothetical protein PTSG_00427")</f>
        <v>hypothetical protein PTSG_00427</v>
      </c>
      <c r="BI96" s="2" t="str">
        <f>HYPERLINK("http://www.ncbi.nlm.nih.gov/sutils/blink.cgi?pid=XP_004998976.1","9E-016")</f>
        <v>9E-016</v>
      </c>
      <c r="BJ96" s="2" t="str">
        <f>HYPERLINK("http://www.ncbi.nlm.nih.gov/protein/XP_004998976.1","XP_004998976.1")</f>
        <v>XP_004998976.1</v>
      </c>
      <c r="BK96" s="2">
        <v>37</v>
      </c>
      <c r="BL96" s="2">
        <v>50</v>
      </c>
      <c r="BM96" s="2">
        <v>82</v>
      </c>
      <c r="BN96" s="2" t="s">
        <v>435</v>
      </c>
      <c r="BO96" s="9" t="str">
        <f>HYPERLINK(".\links\SWISSP\AGAP010210-PA-SWISSP.txt","Mitochondrial import inner membrane translocase subunit Tim23")</f>
        <v>Mitochondrial import inner membrane translocase subunit Tim23</v>
      </c>
      <c r="BP96" s="2" t="str">
        <f>HYPERLINK("http://www.uniprot.org/uniprot/Q5XH94","9E-039")</f>
        <v>9E-039</v>
      </c>
      <c r="BQ96" s="2" t="str">
        <f>HYPERLINK("http://www.uniprot.org/uniprot/Q5XH94#expression","Q5XH94")</f>
        <v>Q5XH94</v>
      </c>
      <c r="BR96" s="2">
        <v>52</v>
      </c>
      <c r="BS96" s="2">
        <v>64</v>
      </c>
      <c r="BT96" s="2">
        <v>82</v>
      </c>
      <c r="BU96" s="2" t="s">
        <v>459</v>
      </c>
      <c r="BV96" s="9" t="str">
        <f>HYPERLINK(".\links\FLYBASE\AGAP010210-PA-FLYBASE.txt","FBpp0112504")</f>
        <v>FBpp0112504</v>
      </c>
      <c r="BW96" s="2" t="str">
        <f>HYPERLINK("http://flybase.org/reports/FBgn0267976#alliance_summary_container","4E-78")</f>
        <v>4E-78</v>
      </c>
      <c r="BX96" s="2">
        <v>206</v>
      </c>
      <c r="BY96" s="2">
        <v>62</v>
      </c>
      <c r="BZ96" s="2">
        <v>73</v>
      </c>
      <c r="CA96" s="2">
        <v>94</v>
      </c>
      <c r="CB96" s="9" t="str">
        <f>HYPERLINK(".\links\CDD\AGAP010210-PA-CDD.txt","3a0801s02tim23, mitochondrial import inner membrane translocase subunit tim23")</f>
        <v>3a0801s02tim23, mitochondrial import inner membrane translocase subunit tim23</v>
      </c>
      <c r="CC96" s="15">
        <v>3.0000000000000001E-27</v>
      </c>
      <c r="CD96" s="2">
        <v>98.7</v>
      </c>
      <c r="CE96" s="2" t="s">
        <v>1195</v>
      </c>
      <c r="CF96" s="2" t="s">
        <v>1196</v>
      </c>
      <c r="CG96" s="9" t="str">
        <f>HYPERLINK(".\links\KOG\AGAP010210-PA-KOG.txt","subunit TIM23")</f>
        <v>subunit TIM23</v>
      </c>
      <c r="CH96" s="15">
        <v>9.9999999999999993E-35</v>
      </c>
      <c r="CI96" s="2">
        <v>82.5</v>
      </c>
      <c r="CJ96" s="2" t="s">
        <v>1197</v>
      </c>
      <c r="CK96" s="2" t="s">
        <v>154</v>
      </c>
      <c r="CL96" s="9" t="str">
        <f>HYPERLINK(".\links\PFAM\AGAP010210-PA-PFAM.txt","Tim17, Tim17/Tim22/Tim23/Pmp24 family")</f>
        <v>Tim17, Tim17/Tim22/Tim23/Pmp24 family</v>
      </c>
      <c r="CM96" s="15">
        <v>4.0000000000000003E-17</v>
      </c>
      <c r="CN96" s="2">
        <v>107.7</v>
      </c>
      <c r="CO96" s="2" t="s">
        <v>1198</v>
      </c>
      <c r="CP96" s="9" t="str">
        <f>HYPERLINK(".\links\SMART\AGAP010210-PA-SMART.txt","START, in StAR and phosphatidylcholine transfer protein")</f>
        <v>START, in StAR and phosphatidylcholine transfer protein</v>
      </c>
      <c r="CQ96" s="15">
        <v>0.7</v>
      </c>
      <c r="CR96" s="2">
        <v>35.6</v>
      </c>
      <c r="CS96" s="2" t="s">
        <v>976</v>
      </c>
      <c r="CT96" s="2" t="s">
        <v>1191</v>
      </c>
      <c r="CU96" s="2" t="s">
        <v>1191</v>
      </c>
      <c r="CV96" s="2" t="s">
        <v>1191</v>
      </c>
      <c r="CW96" s="2" t="str">
        <f>HYPERLINK(".\links\pep\AGAP010210-PA-pep.txt","AGAP010210-PA")</f>
        <v>AGAP010210-PA</v>
      </c>
      <c r="CX96" s="2" t="s">
        <v>95</v>
      </c>
      <c r="CY96" s="2">
        <v>199</v>
      </c>
      <c r="CZ96" s="2" t="s">
        <v>113</v>
      </c>
      <c r="DA96" s="2" t="s">
        <v>1199</v>
      </c>
      <c r="DB96" s="2">
        <v>0</v>
      </c>
      <c r="DC96" s="2">
        <v>0</v>
      </c>
      <c r="DD96" s="2" t="str">
        <f>HYPERLINK("https://www.kegg.jp/kegg-bin/search_pathway_text?map=aga&amp;keyword=AGAP010210&amp;mode=1&amp;viewImage=true","AGAP010210")</f>
        <v>AGAP010210</v>
      </c>
      <c r="DE96" s="2" t="s">
        <v>1187</v>
      </c>
      <c r="DF96" s="2" t="s">
        <v>1188</v>
      </c>
      <c r="DG96" s="2" t="s">
        <v>94</v>
      </c>
      <c r="DH96" s="2" t="str">
        <f>HYPERLINK("https://vectorbase.org/vectorbase/app/record/gene/AGAP010210","AGAP010210-RA")</f>
        <v>AGAP010210-RA</v>
      </c>
      <c r="DI96" s="2" t="s">
        <v>90</v>
      </c>
      <c r="DJ96" s="2">
        <v>1017</v>
      </c>
      <c r="DK96" s="2" t="str">
        <f>HYPERLINK(".\links\netoglyc\AGAP010210-PA-netoglyc.txt","0")</f>
        <v>0</v>
      </c>
      <c r="DL96" s="2">
        <v>15.1</v>
      </c>
      <c r="DM96" s="2">
        <v>13.6</v>
      </c>
      <c r="DN96" s="2">
        <v>3.5</v>
      </c>
      <c r="DO96" s="2" t="s">
        <v>104</v>
      </c>
      <c r="DP96" s="2" t="s">
        <v>102</v>
      </c>
      <c r="DQ96" s="2" t="str">
        <f>HYPERLINK(".\links\Sigp\AGAP010210-PA-SigP.txt","CYT")</f>
        <v>CYT</v>
      </c>
      <c r="DR96" s="2" t="s">
        <v>102</v>
      </c>
      <c r="DS96" s="2">
        <v>20.972000000000001</v>
      </c>
      <c r="DT96" s="2">
        <v>9.39</v>
      </c>
      <c r="DU96" s="2" t="s">
        <v>102</v>
      </c>
      <c r="DV96" s="2" t="s">
        <v>102</v>
      </c>
      <c r="DW96" s="2" t="s">
        <v>1194</v>
      </c>
      <c r="DX96" s="2">
        <v>199</v>
      </c>
      <c r="DY96" s="12" t="str">
        <f>HYPERLINK(".\links\tmhmm\AGAP010210-PA-tmhmm.txt","2")</f>
        <v>2</v>
      </c>
      <c r="DZ96" s="2">
        <v>22.1</v>
      </c>
      <c r="EA96" s="2">
        <v>36.700000000000003</v>
      </c>
      <c r="EB96" s="2">
        <v>41.2</v>
      </c>
      <c r="EC96" s="2" t="str">
        <f>HYPERLINK(".\links\gpi\AGAP010210-PA-gpi.txt","Y-NoSP")</f>
        <v>Y-NoSP</v>
      </c>
      <c r="ED96" s="2">
        <v>0.37</v>
      </c>
      <c r="EF96" s="2">
        <v>2</v>
      </c>
      <c r="EG96" s="2" t="s">
        <v>102</v>
      </c>
      <c r="EH96" s="2" t="s">
        <v>102</v>
      </c>
      <c r="EI96" s="2">
        <v>15.0753768844221</v>
      </c>
      <c r="EJ96" s="2">
        <v>3.5175879396984899</v>
      </c>
      <c r="EK96" s="2">
        <v>13.5678391959799</v>
      </c>
      <c r="EL96" s="2">
        <v>17.085427135678401</v>
      </c>
      <c r="EM96" s="2" t="s">
        <v>102</v>
      </c>
      <c r="EN96" s="2" t="s">
        <v>102</v>
      </c>
      <c r="EO96" s="2" t="s">
        <v>102</v>
      </c>
      <c r="EP96" s="2" t="s">
        <v>102</v>
      </c>
      <c r="EQ96" s="2" t="s">
        <v>102</v>
      </c>
      <c r="ER96" s="2" t="s">
        <v>102</v>
      </c>
      <c r="ES96" s="2" t="s">
        <v>102</v>
      </c>
      <c r="ET96" s="2" t="str">
        <f>HYPERLINK(".\links\REFSEQ-INVERTEBRATE\AGAP010210-PA-REFSEQ-INVERTEBRATE.txt","AGAP010210-PA")</f>
        <v>AGAP010210-PA</v>
      </c>
      <c r="EU96" s="2" t="str">
        <f>HYPERLINK("http://www.ncbi.nlm.nih.gov/sutils/blink.cgi?pid=XP_319394.3","1E-143")</f>
        <v>1E-143</v>
      </c>
      <c r="EV96" s="2" t="str">
        <f>HYPERLINK("http://www.ncbi.nlm.nih.gov/protein/XP_319394.3","XP_319394.3")</f>
        <v>XP_319394.3</v>
      </c>
      <c r="EW96" s="2">
        <v>100</v>
      </c>
      <c r="EX96" s="2">
        <v>100</v>
      </c>
      <c r="EY96" s="2">
        <v>100</v>
      </c>
      <c r="EZ96" s="2" t="s">
        <v>105</v>
      </c>
    </row>
    <row r="97" spans="1:156" x14ac:dyDescent="0.25">
      <c r="A97" s="2" t="s">
        <v>1200</v>
      </c>
      <c r="B97" s="2">
        <v>0.37855357814366097</v>
      </c>
      <c r="C97" s="2">
        <f t="shared" si="1"/>
        <v>1.3000378057374764</v>
      </c>
      <c r="D97" s="2">
        <v>5.3029174211969101</v>
      </c>
      <c r="E97" s="2">
        <v>12.849090364320499</v>
      </c>
      <c r="F97" s="2">
        <v>3.3764333688804501E-4</v>
      </c>
      <c r="G97" s="2">
        <v>2.0796719281447999E-2</v>
      </c>
      <c r="H97" s="2" t="s">
        <v>93</v>
      </c>
      <c r="I97" s="2" t="s">
        <v>94</v>
      </c>
      <c r="J97" s="2" t="str">
        <f>HYPERLINK("https://vectorbase.org/vectorbase/app/record/gene/AGAP029741","AGAP029741-RA")</f>
        <v>AGAP029741-RA</v>
      </c>
      <c r="K97" s="2" t="str">
        <f>HYPERLINK(".\links\pep\AGAP029741-PA-pep.txt","AGAP029741-PA")</f>
        <v>AGAP029741-PA</v>
      </c>
      <c r="L97" s="12" t="s">
        <v>95</v>
      </c>
      <c r="M97" s="2">
        <v>434</v>
      </c>
      <c r="N97" s="2">
        <v>0</v>
      </c>
      <c r="O97" s="2">
        <v>2</v>
      </c>
      <c r="P97" s="2" t="s">
        <v>102</v>
      </c>
      <c r="Q97" s="9" t="s">
        <v>738</v>
      </c>
      <c r="R97" s="2" t="s">
        <v>420</v>
      </c>
      <c r="S97" s="2" t="str">
        <f>HYPERLINK(".\links\KOG\AGAP029741-PA-KOG.txt","KOG")</f>
        <v>KOG</v>
      </c>
      <c r="T97" s="2">
        <v>9.0000000000000003E-16</v>
      </c>
      <c r="U97" s="2">
        <v>71.599999999999994</v>
      </c>
      <c r="V97" s="2" t="s">
        <v>1201</v>
      </c>
      <c r="W97" s="10" t="s">
        <v>740</v>
      </c>
      <c r="X97" s="2" t="s">
        <v>420</v>
      </c>
      <c r="Y97" s="2" t="str">
        <f>HYPERLINK(".\links\UNIPROTKB\AGAP029741-PA-UNIPROTKB.txt","UNIPROTKB")</f>
        <v>UNIPROTKB</v>
      </c>
      <c r="Z97" s="15">
        <v>4.9999999999999995E-22</v>
      </c>
      <c r="AA97" s="2">
        <v>26</v>
      </c>
      <c r="AB97" s="13" t="str">
        <f>HYPERLINK(".\links\pep\AGAP029741-PA-sulf.txt","1")</f>
        <v>1</v>
      </c>
      <c r="AC97" s="13" t="str">
        <f>HYPERLINK(".\links\Sigp\AGAP029741-PA-SigP.txt","CYT")</f>
        <v>CYT</v>
      </c>
      <c r="AD97" s="2" t="s">
        <v>102</v>
      </c>
      <c r="AE97" s="2">
        <v>49.945999999999998</v>
      </c>
      <c r="AF97" s="2">
        <v>8.41</v>
      </c>
      <c r="AG97" s="2" t="s">
        <v>102</v>
      </c>
      <c r="AH97" s="2" t="s">
        <v>102</v>
      </c>
      <c r="AI97" s="2" t="s">
        <v>211</v>
      </c>
      <c r="AJ97" s="13">
        <v>0</v>
      </c>
      <c r="AK97" s="2" t="s">
        <v>102</v>
      </c>
      <c r="AL97" s="2" t="s">
        <v>102</v>
      </c>
      <c r="AM97" s="2" t="s">
        <v>102</v>
      </c>
      <c r="AN97" s="9" t="str">
        <f>HYPERLINK(".\links\gpi\AGAP029741-PA-gpi.txt","N")</f>
        <v>N</v>
      </c>
      <c r="AO97" s="14" t="str">
        <f>HYPERLINK(".\links\netoglyc\AGAP029741-PA-netoglyc.txt","0")</f>
        <v>0</v>
      </c>
      <c r="AP97" s="13">
        <v>12.9</v>
      </c>
      <c r="AQ97" s="2">
        <v>3.2</v>
      </c>
      <c r="AR97" s="2">
        <v>3.7</v>
      </c>
      <c r="AS97" s="2" t="s">
        <v>104</v>
      </c>
      <c r="AT97" s="9" t="str">
        <f>HYPERLINK(".\links\NR-LIGHT\AGAP029741-PA-NR-LIGHT.txt","AGAP011418-PA, partial")</f>
        <v>AGAP011418-PA, partial</v>
      </c>
      <c r="AU97" s="2" t="str">
        <f>HYPERLINK("http://www.ncbi.nlm.nih.gov/sutils/blink.cgi?pid=XP_317891.4","1E-105")</f>
        <v>1E-105</v>
      </c>
      <c r="AV97" s="2" t="str">
        <f>HYPERLINK("http://www.ncbi.nlm.nih.gov/protein/XP_317891.4","XP_317891.4")</f>
        <v>XP_317891.4</v>
      </c>
      <c r="AW97" s="2">
        <v>93</v>
      </c>
      <c r="AX97" s="2">
        <v>94</v>
      </c>
      <c r="AY97" s="2">
        <v>25</v>
      </c>
      <c r="AZ97" s="2" t="s">
        <v>105</v>
      </c>
      <c r="BA97" s="9" t="str">
        <f>HYPERLINK(".\links\REFSEQ-INVERTEBRATE\AGAP029741-PA-REFSEQ-INVERTEBRATE.txt","AGAP011418-PA, partial")</f>
        <v>AGAP011418-PA, partial</v>
      </c>
      <c r="BB97" s="2" t="str">
        <f>HYPERLINK("http://www.ncbi.nlm.nih.gov/sutils/blink.cgi?pid=XP_317891.4","1E-105")</f>
        <v>1E-105</v>
      </c>
      <c r="BC97" s="2" t="str">
        <f>HYPERLINK("http://www.ncbi.nlm.nih.gov/protein/XP_317891.4","XP_317891.4")</f>
        <v>XP_317891.4</v>
      </c>
      <c r="BD97" s="2">
        <v>93</v>
      </c>
      <c r="BE97" s="2">
        <v>94</v>
      </c>
      <c r="BF97" s="2">
        <v>25</v>
      </c>
      <c r="BG97" s="2" t="s">
        <v>105</v>
      </c>
      <c r="BH97" s="9" t="str">
        <f>HYPERLINK(".\links\REFSEQ-PROTOZOA\AGAP029741-PA-REFSEQ-PROTOZOA.txt","hypothetical protein CAOG_07675")</f>
        <v>hypothetical protein CAOG_07675</v>
      </c>
      <c r="BI97" s="2" t="str">
        <f>HYPERLINK("http://www.ncbi.nlm.nih.gov/sutils/blink.cgi?pid=XP_004343549.1","5E-024")</f>
        <v>5E-024</v>
      </c>
      <c r="BJ97" s="2" t="str">
        <f>HYPERLINK("http://www.ncbi.nlm.nih.gov/protein/XP_004343549.1","XP_004343549.1")</f>
        <v>XP_004343549.1</v>
      </c>
      <c r="BK97" s="2">
        <v>27</v>
      </c>
      <c r="BL97" s="2">
        <v>40</v>
      </c>
      <c r="BM97" s="2">
        <v>31</v>
      </c>
      <c r="BN97" s="2" t="s">
        <v>106</v>
      </c>
      <c r="BO97" s="9" t="str">
        <f>HYPERLINK(".\links\SWISSP\AGAP029741-PA-SWISSP.txt","Zinc finger and BTB domain-containing protein 24")</f>
        <v>Zinc finger and BTB domain-containing protein 24</v>
      </c>
      <c r="BP97" s="2" t="str">
        <f>HYPERLINK("http://www.uniprot.org/uniprot/Q52KB5","2E-026")</f>
        <v>2E-026</v>
      </c>
      <c r="BQ97" s="2" t="str">
        <f>HYPERLINK("http://www.uniprot.org/uniprot/Q52KB5#expression","Q52KB5")</f>
        <v>Q52KB5</v>
      </c>
      <c r="BR97" s="2">
        <v>27</v>
      </c>
      <c r="BS97" s="2">
        <v>43</v>
      </c>
      <c r="BT97" s="2">
        <v>52</v>
      </c>
      <c r="BU97" s="2" t="s">
        <v>213</v>
      </c>
      <c r="BV97" s="9" t="str">
        <f>HYPERLINK(".\links\FLYBASE\AGAP029741-PA-FLYBASE.txt","FBpp0075533")</f>
        <v>FBpp0075533</v>
      </c>
      <c r="BW97" s="2" t="str">
        <f>HYPERLINK("http://flybase.org/reports/FBgn0025874#alliance_summary_container","6E-21")</f>
        <v>6E-21</v>
      </c>
      <c r="BX97" s="2">
        <v>583</v>
      </c>
      <c r="BY97" s="2">
        <v>32</v>
      </c>
      <c r="BZ97" s="2">
        <v>46</v>
      </c>
      <c r="CA97" s="2">
        <v>33</v>
      </c>
      <c r="CB97" s="9" t="str">
        <f>HYPERLINK(".\links\CDD\AGAP029741-PA-CDD.txt","ZF_C2H2, Zinc finger, C2H2 type")</f>
        <v>ZF_C2H2, Zinc finger, C2H2 type</v>
      </c>
      <c r="CC97" s="15">
        <v>7.9999999999999998E-12</v>
      </c>
      <c r="CD97" s="2">
        <v>96.2</v>
      </c>
      <c r="CE97" s="2" t="s">
        <v>569</v>
      </c>
      <c r="CF97" s="2" t="s">
        <v>1202</v>
      </c>
      <c r="CG97" s="9" t="str">
        <f>HYPERLINK(".\links\KOG\AGAP029741-PA-KOG.txt","C2H2-type Zn-finger protein")</f>
        <v>C2H2-type Zn-finger protein</v>
      </c>
      <c r="CH97" s="15">
        <v>9.0000000000000003E-16</v>
      </c>
      <c r="CI97" s="2">
        <v>71.7</v>
      </c>
      <c r="CJ97" s="2" t="s">
        <v>743</v>
      </c>
      <c r="CK97" s="2" t="s">
        <v>309</v>
      </c>
      <c r="CL97" s="9" t="str">
        <f>HYPERLINK(".\links\PFAM\AGAP029741-PA-PFAM.txt","zf-AD, Zinc-finger associated domain (zf-AD)")</f>
        <v>zf-AD, Zinc-finger associated domain (zf-AD)</v>
      </c>
      <c r="CM97" s="15">
        <v>2.0000000000000002E-5</v>
      </c>
      <c r="CN97" s="2">
        <v>102.7</v>
      </c>
      <c r="CO97" s="2" t="s">
        <v>687</v>
      </c>
      <c r="CP97" s="9" t="str">
        <f>HYPERLINK(".\links\SMART\AGAP029741-PA-SMART.txt","zf-AD, Zinc-finger associated domain (zf-AD)")</f>
        <v>zf-AD, Zinc-finger associated domain (zf-AD)</v>
      </c>
      <c r="CQ97" s="15">
        <v>6E-9</v>
      </c>
      <c r="CR97" s="2">
        <v>101.4</v>
      </c>
      <c r="CS97" s="2" t="s">
        <v>684</v>
      </c>
      <c r="CT97" s="2" t="s">
        <v>1201</v>
      </c>
      <c r="CU97" s="2" t="s">
        <v>1201</v>
      </c>
      <c r="CV97" s="2" t="s">
        <v>1201</v>
      </c>
      <c r="CW97" s="2" t="str">
        <f>HYPERLINK(".\links\pep\AGAP029741-PA-pep.txt","AGAP029741-PA")</f>
        <v>AGAP029741-PA</v>
      </c>
      <c r="CX97" s="2" t="s">
        <v>95</v>
      </c>
      <c r="CY97" s="2">
        <v>434</v>
      </c>
      <c r="CZ97" s="2" t="s">
        <v>113</v>
      </c>
      <c r="DA97" s="2" t="s">
        <v>1203</v>
      </c>
      <c r="DB97" s="2">
        <v>0</v>
      </c>
      <c r="DC97" s="2">
        <v>2</v>
      </c>
      <c r="DD97" s="2" t="str">
        <f>HYPERLINK("https://www.kegg.jp/kegg-bin/search_pathway_text?map=aga&amp;keyword=AGAP029741&amp;mode=1&amp;viewImage=true","AGAP029741")</f>
        <v>AGAP029741</v>
      </c>
      <c r="DE97" s="2" t="s">
        <v>1200</v>
      </c>
      <c r="DF97" s="2" t="s">
        <v>93</v>
      </c>
      <c r="DG97" s="2" t="s">
        <v>94</v>
      </c>
      <c r="DH97" s="2" t="str">
        <f>HYPERLINK("https://vectorbase.org/vectorbase/app/record/gene/AGAP029741","AGAP029741-RA")</f>
        <v>AGAP029741-RA</v>
      </c>
      <c r="DI97" s="2" t="s">
        <v>135</v>
      </c>
      <c r="DJ97" s="2">
        <v>1452</v>
      </c>
      <c r="DK97" s="2" t="str">
        <f>HYPERLINK(".\links\netoglyc\AGAP029741-PA-netoglyc.txt","0")</f>
        <v>0</v>
      </c>
      <c r="DL97" s="2">
        <v>12.9</v>
      </c>
      <c r="DM97" s="2">
        <v>3.2</v>
      </c>
      <c r="DN97" s="2">
        <v>3.7</v>
      </c>
      <c r="DO97" s="2" t="s">
        <v>104</v>
      </c>
      <c r="DP97" s="2" t="s">
        <v>102</v>
      </c>
      <c r="DQ97" s="2" t="str">
        <f>HYPERLINK(".\links\Sigp\AGAP029741-PA-SigP.txt","CYT")</f>
        <v>CYT</v>
      </c>
      <c r="DR97" s="2" t="s">
        <v>102</v>
      </c>
      <c r="DS97" s="2">
        <v>49.957000000000001</v>
      </c>
      <c r="DT97" s="2">
        <v>8.41</v>
      </c>
      <c r="DU97" s="2" t="s">
        <v>102</v>
      </c>
      <c r="DV97" s="2" t="s">
        <v>102</v>
      </c>
      <c r="DW97" s="2" t="s">
        <v>211</v>
      </c>
      <c r="DX97" s="2">
        <v>434</v>
      </c>
      <c r="DY97" s="12">
        <v>0</v>
      </c>
      <c r="DZ97" s="2" t="s">
        <v>102</v>
      </c>
      <c r="EA97" s="2" t="s">
        <v>102</v>
      </c>
      <c r="EB97" s="2" t="s">
        <v>102</v>
      </c>
      <c r="EC97" s="2" t="str">
        <f>HYPERLINK(".\links\gpi\AGAP029741-PA-gpi.txt","N")</f>
        <v>N</v>
      </c>
      <c r="ED97" s="2">
        <v>0.28999999999999998</v>
      </c>
      <c r="EE97" s="2" t="s">
        <v>1204</v>
      </c>
      <c r="EF97" s="2">
        <v>24</v>
      </c>
      <c r="EG97" s="2" t="str">
        <f>HYPERLINK(".\links\pep\AGAP029741-PA-sulf.txt","1")</f>
        <v>1</v>
      </c>
      <c r="EH97" s="2" t="s">
        <v>102</v>
      </c>
      <c r="EI97" s="2">
        <v>12.9032258064516</v>
      </c>
      <c r="EJ97" s="2">
        <v>3.68663594470046</v>
      </c>
      <c r="EK97" s="2">
        <v>3.2258064516128999</v>
      </c>
      <c r="EL97" s="2">
        <v>6.9124423963133603</v>
      </c>
      <c r="EM97" s="2" t="s">
        <v>102</v>
      </c>
      <c r="EN97" s="2">
        <v>3</v>
      </c>
      <c r="EO97" s="2">
        <v>3</v>
      </c>
      <c r="EP97" s="2" t="s">
        <v>102</v>
      </c>
      <c r="EQ97" s="2" t="s">
        <v>102</v>
      </c>
      <c r="ER97" s="2" t="s">
        <v>102</v>
      </c>
      <c r="ES97" s="2" t="s">
        <v>102</v>
      </c>
      <c r="ET97" s="2" t="str">
        <f>HYPERLINK(".\links\REFSEQ-INVERTEBRATE\AGAP029741-PA-REFSEQ-INVERTEBRATE.txt","zinc finger protein 37-like isoform X2")</f>
        <v>zinc finger protein 37-like isoform X2</v>
      </c>
      <c r="EU97" s="2" t="str">
        <f>HYPERLINK("http://www.ncbi.nlm.nih.gov/sutils/blink.cgi?pid=XP_035901463.1","1E-143")</f>
        <v>1E-143</v>
      </c>
      <c r="EV97" s="2" t="str">
        <f>HYPERLINK("http://www.ncbi.nlm.nih.gov/protein/XP_035901463.1","XP_035901463.1")</f>
        <v>XP_035901463.1</v>
      </c>
      <c r="EW97" s="2">
        <v>48</v>
      </c>
      <c r="EX97" s="2">
        <v>63</v>
      </c>
      <c r="EY97" s="2">
        <v>103</v>
      </c>
      <c r="EZ97" s="2" t="s">
        <v>370</v>
      </c>
    </row>
    <row r="98" spans="1:156" x14ac:dyDescent="0.25">
      <c r="A98" s="2" t="s">
        <v>1205</v>
      </c>
      <c r="B98" s="2">
        <v>0.37780521369730302</v>
      </c>
      <c r="C98" s="2">
        <f t="shared" si="1"/>
        <v>1.2993636162839539</v>
      </c>
      <c r="D98" s="2">
        <v>7.5358622505793003</v>
      </c>
      <c r="E98" s="2">
        <v>10.6492773301879</v>
      </c>
      <c r="F98" s="2">
        <v>1.10113923274973E-3</v>
      </c>
      <c r="G98" s="2">
        <v>3.3690006379902E-2</v>
      </c>
      <c r="H98" s="2" t="s">
        <v>1206</v>
      </c>
      <c r="I98" s="2" t="s">
        <v>88</v>
      </c>
      <c r="J98" s="8" t="s">
        <v>1207</v>
      </c>
      <c r="Q98" s="9"/>
      <c r="W98" s="10"/>
      <c r="AB98" s="9"/>
      <c r="AC98" s="9"/>
      <c r="AJ98" s="9"/>
      <c r="AN98" s="9"/>
      <c r="AO98" s="11"/>
      <c r="AP98" s="9"/>
      <c r="AT98" s="9"/>
      <c r="BA98" s="9"/>
      <c r="BH98" s="9"/>
      <c r="BO98" s="9"/>
      <c r="BV98" s="9"/>
      <c r="CB98" s="9"/>
      <c r="CG98" s="9"/>
      <c r="CL98" s="9"/>
      <c r="CP98" s="9"/>
      <c r="DE98" s="2" t="s">
        <v>1205</v>
      </c>
      <c r="DF98" s="2" t="s">
        <v>1206</v>
      </c>
      <c r="DG98" s="2" t="s">
        <v>88</v>
      </c>
      <c r="DH98" s="8" t="s">
        <v>1207</v>
      </c>
      <c r="DI98" s="2" t="s">
        <v>115</v>
      </c>
      <c r="DJ98" s="2">
        <v>5390</v>
      </c>
      <c r="DQ98" s="2" t="s">
        <v>141</v>
      </c>
      <c r="DS98" s="2">
        <v>195109</v>
      </c>
      <c r="DT98" s="2">
        <v>6.23</v>
      </c>
      <c r="DX98" s="2">
        <v>1700</v>
      </c>
      <c r="DY98" s="12"/>
    </row>
    <row r="99" spans="1:156" x14ac:dyDescent="0.25">
      <c r="A99" s="2" t="s">
        <v>1208</v>
      </c>
      <c r="B99" s="2">
        <v>0.37664805718511801</v>
      </c>
      <c r="C99" s="2">
        <f t="shared" si="1"/>
        <v>1.2983218408577568</v>
      </c>
      <c r="D99" s="2">
        <v>6.7320628987841697</v>
      </c>
      <c r="E99" s="2">
        <v>18.485802705524002</v>
      </c>
      <c r="F99" s="2">
        <v>1.71174673609466E-5</v>
      </c>
      <c r="G99" s="2">
        <v>5.4416980916815599E-3</v>
      </c>
      <c r="H99" s="2" t="s">
        <v>93</v>
      </c>
      <c r="I99" s="2" t="s">
        <v>94</v>
      </c>
      <c r="J99" s="2" t="str">
        <f>HYPERLINK("https://vectorbase.org/vectorbase/app/record/gene/AGAP006785","AGAP006785-RA")</f>
        <v>AGAP006785-RA</v>
      </c>
      <c r="K99" s="2" t="str">
        <f>HYPERLINK(".\links\pep\AGAP006785-PA-pep.txt","AGAP006785-PA")</f>
        <v>AGAP006785-PA</v>
      </c>
      <c r="L99" s="12" t="s">
        <v>95</v>
      </c>
      <c r="M99" s="2">
        <v>399</v>
      </c>
      <c r="N99" s="2">
        <v>0</v>
      </c>
      <c r="O99" s="2">
        <v>0</v>
      </c>
      <c r="P99" s="2" t="s">
        <v>102</v>
      </c>
      <c r="Q99" s="9" t="s">
        <v>1209</v>
      </c>
      <c r="R99" s="2" t="s">
        <v>196</v>
      </c>
      <c r="S99" s="2" t="str">
        <f>HYPERLINK(".\links\REFSEQ-INVERTEBRATE\AGAP006785-PA-REFSEQ-INVERTEBRATE.txt","REFSEQ-INVERTEBRATE")</f>
        <v>REFSEQ-INVERTEBRATE</v>
      </c>
      <c r="T99" s="2">
        <v>0</v>
      </c>
      <c r="U99" s="2">
        <v>100</v>
      </c>
      <c r="V99" s="2" t="s">
        <v>1209</v>
      </c>
      <c r="W99" s="10" t="s">
        <v>1210</v>
      </c>
      <c r="X99" s="2" t="s">
        <v>196</v>
      </c>
      <c r="Y99" s="2" t="str">
        <f>HYPERLINK(".\links\ARTHORPODA\AGAP006785-PA-ARTHORPODA.txt","ARTHORPODA")</f>
        <v>ARTHORPODA</v>
      </c>
      <c r="Z99" s="15">
        <v>0</v>
      </c>
      <c r="AA99" s="2">
        <v>1</v>
      </c>
      <c r="AB99" s="13" t="str">
        <f>HYPERLINK(".\links\pep\AGAP006785-PA-sulf.txt","1")</f>
        <v>1</v>
      </c>
      <c r="AC99" s="13" t="str">
        <f>HYPERLINK(".\links\Sigp\AGAP006785-PA-SigP.txt","CYT")</f>
        <v>CYT</v>
      </c>
      <c r="AD99" s="2" t="s">
        <v>102</v>
      </c>
      <c r="AE99" s="2">
        <v>45.735999999999997</v>
      </c>
      <c r="AF99" s="2">
        <v>5.91</v>
      </c>
      <c r="AG99" s="2" t="s">
        <v>102</v>
      </c>
      <c r="AH99" s="2" t="s">
        <v>102</v>
      </c>
      <c r="AI99" s="2" t="s">
        <v>1211</v>
      </c>
      <c r="AJ99" s="13">
        <v>0</v>
      </c>
      <c r="AK99" s="2" t="s">
        <v>102</v>
      </c>
      <c r="AL99" s="2" t="s">
        <v>102</v>
      </c>
      <c r="AM99" s="2" t="s">
        <v>102</v>
      </c>
      <c r="AN99" s="13" t="str">
        <f>HYPERLINK(".\links\gpi\AGAP006785-PA-gpi.txt","N")</f>
        <v>N</v>
      </c>
      <c r="AO99" s="14" t="str">
        <f>HYPERLINK(".\links\netoglyc\AGAP006785-PA-netoglyc.txt","1")</f>
        <v>1</v>
      </c>
      <c r="AP99" s="13">
        <v>8.8000000000000007</v>
      </c>
      <c r="AQ99" s="2">
        <v>3.3</v>
      </c>
      <c r="AR99" s="2">
        <v>2.8</v>
      </c>
      <c r="AS99" s="2" t="s">
        <v>104</v>
      </c>
      <c r="AT99" s="9" t="str">
        <f>HYPERLINK(".\links\NR-LIGHT\AGAP006785-PA-NR-LIGHT.txt","AGAP006785-PA")</f>
        <v>AGAP006785-PA</v>
      </c>
      <c r="AU99" s="2" t="str">
        <f>HYPERLINK("http://www.ncbi.nlm.nih.gov/sutils/blink.cgi?pid=XP_565412.2","0.0")</f>
        <v>0.0</v>
      </c>
      <c r="AV99" s="2" t="str">
        <f>HYPERLINK("http://www.ncbi.nlm.nih.gov/protein/XP_565412.2","XP_565412.2")</f>
        <v>XP_565412.2</v>
      </c>
      <c r="AW99" s="2">
        <v>100</v>
      </c>
      <c r="AX99" s="2">
        <v>100</v>
      </c>
      <c r="AY99" s="2">
        <v>100</v>
      </c>
      <c r="AZ99" s="2" t="s">
        <v>105</v>
      </c>
      <c r="BA99" s="9" t="str">
        <f>HYPERLINK(".\links\REFSEQ-INVERTEBRATE\AGAP006785-PA-REFSEQ-INVERTEBRATE.txt","AGAP006785-PA")</f>
        <v>AGAP006785-PA</v>
      </c>
      <c r="BB99" s="2" t="str">
        <f>HYPERLINK("http://www.ncbi.nlm.nih.gov/sutils/blink.cgi?pid=XP_565412.2","0.0")</f>
        <v>0.0</v>
      </c>
      <c r="BC99" s="2" t="str">
        <f>HYPERLINK("http://www.ncbi.nlm.nih.gov/protein/XP_565412.2","XP_565412.2")</f>
        <v>XP_565412.2</v>
      </c>
      <c r="BD99" s="2">
        <v>100</v>
      </c>
      <c r="BE99" s="2">
        <v>100</v>
      </c>
      <c r="BF99" s="2">
        <v>100</v>
      </c>
      <c r="BG99" s="2" t="s">
        <v>105</v>
      </c>
      <c r="BH99" s="9" t="str">
        <f>HYPERLINK(".\links\REFSEQ-PROTOZOA\AGAP006785-PA-REFSEQ-PROTOZOA.txt","BTB domain-containing protein")</f>
        <v>BTB domain-containing protein</v>
      </c>
      <c r="BI99" s="2" t="str">
        <f>HYPERLINK("http://www.ncbi.nlm.nih.gov/sutils/blink.cgi?pid=XP_002672901.1","1E-019")</f>
        <v>1E-019</v>
      </c>
      <c r="BJ99" s="2" t="str">
        <f>HYPERLINK("http://www.ncbi.nlm.nih.gov/protein/XP_002672901.1","XP_002672901.1")</f>
        <v>XP_002672901.1</v>
      </c>
      <c r="BK99" s="2">
        <v>28</v>
      </c>
      <c r="BL99" s="2">
        <v>48</v>
      </c>
      <c r="BM99" s="2">
        <v>60</v>
      </c>
      <c r="BN99" s="2" t="s">
        <v>1212</v>
      </c>
      <c r="BO99" s="9" t="str">
        <f>HYPERLINK(".\links\SWISSP\AGAP006785-PA-SWISSP.txt","BTB/POZ domain-containing protein 9")</f>
        <v>BTB/POZ domain-containing protein 9</v>
      </c>
      <c r="BP99" s="2" t="str">
        <f>HYPERLINK("http://www.uniprot.org/uniprot/Q9W2S3","4E-067")</f>
        <v>4E-067</v>
      </c>
      <c r="BQ99" s="2" t="str">
        <f>HYPERLINK("http://www.uniprot.org/uniprot/Q9W2S3#expression","Q9W2S3")</f>
        <v>Q9W2S3</v>
      </c>
      <c r="BR99" s="2">
        <v>42</v>
      </c>
      <c r="BS99" s="2">
        <v>58</v>
      </c>
      <c r="BT99" s="2">
        <v>50</v>
      </c>
      <c r="BU99" s="2" t="s">
        <v>107</v>
      </c>
      <c r="BV99" s="9" t="str">
        <f>HYPERLINK(".\links\FLYBASE\AGAP006785-PA-FLYBASE.txt","FBpp0306532")</f>
        <v>FBpp0306532</v>
      </c>
      <c r="BW99" s="2" t="str">
        <f>HYPERLINK("http://flybase.org/reports/FBgn0030228#alliance_summary_container","1E-81")</f>
        <v>1E-81</v>
      </c>
      <c r="BX99" s="2">
        <v>722</v>
      </c>
      <c r="BY99" s="2">
        <v>42</v>
      </c>
      <c r="BZ99" s="2">
        <v>58</v>
      </c>
      <c r="CA99" s="2">
        <v>51</v>
      </c>
      <c r="CB99" s="9" t="str">
        <f>HYPERLINK(".\links\CDD\AGAP006785-PA-CDD.txt","BTB, BTB/POZ domain")</f>
        <v>BTB, BTB/POZ domain</v>
      </c>
      <c r="CC99" s="15">
        <v>4.0000000000000003E-15</v>
      </c>
      <c r="CD99" s="2">
        <v>89.7</v>
      </c>
      <c r="CE99" s="2" t="s">
        <v>364</v>
      </c>
      <c r="CF99" s="2" t="s">
        <v>1213</v>
      </c>
      <c r="CG99" s="9" t="str">
        <f>HYPERLINK(".\links\KOG\AGAP006785-PA-KOG.txt","contains BTB/POZ domain")</f>
        <v>contains BTB/POZ domain</v>
      </c>
      <c r="CH99" s="15">
        <v>6.9999999999999995E-73</v>
      </c>
      <c r="CI99" s="2">
        <v>68.2</v>
      </c>
      <c r="CJ99" s="2" t="s">
        <v>1214</v>
      </c>
      <c r="CK99" s="2" t="s">
        <v>191</v>
      </c>
      <c r="CL99" s="9" t="str">
        <f>HYPERLINK(".\links\PFAM\AGAP006785-PA-PFAM.txt","BTB, BTB/POZ domain")</f>
        <v>BTB, BTB/POZ domain</v>
      </c>
      <c r="CM99" s="15">
        <v>7.9999999999999998E-16</v>
      </c>
      <c r="CN99" s="2">
        <v>89.7</v>
      </c>
      <c r="CO99" s="2" t="s">
        <v>364</v>
      </c>
      <c r="CP99" s="9" t="str">
        <f>HYPERLINK(".\links\SMART\AGAP006785-PA-SMART.txt","BACK, BTB And C-terminal Kelch")</f>
        <v>BACK, BTB And C-terminal Kelch</v>
      </c>
      <c r="CQ99" s="15">
        <v>1.0000000000000001E-15</v>
      </c>
      <c r="CR99" s="2">
        <v>100</v>
      </c>
      <c r="CS99" s="2" t="s">
        <v>1215</v>
      </c>
      <c r="CT99" s="2" t="s">
        <v>1209</v>
      </c>
      <c r="CU99" s="2" t="s">
        <v>1209</v>
      </c>
      <c r="CV99" s="2" t="s">
        <v>1209</v>
      </c>
      <c r="CW99" s="2" t="str">
        <f>HYPERLINK(".\links\pep\AGAP006785-PA-pep.txt","AGAP006785-PA")</f>
        <v>AGAP006785-PA</v>
      </c>
      <c r="CX99" s="2" t="s">
        <v>95</v>
      </c>
      <c r="CY99" s="2">
        <v>399</v>
      </c>
      <c r="CZ99" s="2" t="s">
        <v>113</v>
      </c>
      <c r="DA99" s="2" t="s">
        <v>1216</v>
      </c>
      <c r="DB99" s="2">
        <v>0</v>
      </c>
      <c r="DC99" s="2">
        <v>0</v>
      </c>
      <c r="DD99" s="2" t="str">
        <f>HYPERLINK("https://www.kegg.jp/kegg-bin/search_pathway_text?map=aga&amp;keyword=AGAP006785&amp;mode=1&amp;viewImage=true","AGAP006785")</f>
        <v>AGAP006785</v>
      </c>
      <c r="DE99" s="2" t="s">
        <v>1208</v>
      </c>
      <c r="DF99" s="2" t="s">
        <v>93</v>
      </c>
      <c r="DG99" s="2" t="s">
        <v>94</v>
      </c>
      <c r="DH99" s="2" t="str">
        <f>HYPERLINK("https://vectorbase.org/vectorbase/app/record/gene/AGAP006785","AGAP006785-RA")</f>
        <v>AGAP006785-RA</v>
      </c>
      <c r="DI99" s="2" t="s">
        <v>115</v>
      </c>
      <c r="DJ99" s="2">
        <v>1625</v>
      </c>
      <c r="DK99" s="2" t="str">
        <f>HYPERLINK(".\links\netoglyc\AGAP006785-PA-netoglyc.txt","1")</f>
        <v>1</v>
      </c>
      <c r="DL99" s="2">
        <v>8.8000000000000007</v>
      </c>
      <c r="DM99" s="2">
        <v>3.3</v>
      </c>
      <c r="DN99" s="2">
        <v>2.8</v>
      </c>
      <c r="DO99" s="2" t="s">
        <v>104</v>
      </c>
      <c r="DP99" s="2" t="s">
        <v>102</v>
      </c>
      <c r="DQ99" s="2" t="str">
        <f>HYPERLINK(".\links\Sigp\AGAP006785-PA-SigP.txt","CYT")</f>
        <v>CYT</v>
      </c>
      <c r="DR99" s="2" t="s">
        <v>102</v>
      </c>
      <c r="DS99" s="2">
        <v>45.735999999999997</v>
      </c>
      <c r="DT99" s="2">
        <v>5.91</v>
      </c>
      <c r="DU99" s="2" t="s">
        <v>102</v>
      </c>
      <c r="DV99" s="2" t="s">
        <v>102</v>
      </c>
      <c r="DW99" s="2" t="s">
        <v>1211</v>
      </c>
      <c r="DX99" s="2">
        <v>399</v>
      </c>
      <c r="DY99" s="12">
        <v>0</v>
      </c>
      <c r="DZ99" s="2" t="s">
        <v>102</v>
      </c>
      <c r="EA99" s="2" t="s">
        <v>102</v>
      </c>
      <c r="EB99" s="2" t="s">
        <v>102</v>
      </c>
      <c r="EC99" s="2" t="str">
        <f>HYPERLINK(".\links\gpi\AGAP006785-PA-gpi.txt","N")</f>
        <v>N</v>
      </c>
      <c r="ED99" s="2">
        <v>0.3</v>
      </c>
      <c r="EF99" s="2">
        <v>8</v>
      </c>
      <c r="EG99" s="2" t="str">
        <f>HYPERLINK(".\links\pep\AGAP006785-PA-sulf.txt","1")</f>
        <v>1</v>
      </c>
      <c r="EH99" s="2" t="s">
        <v>102</v>
      </c>
      <c r="EI99" s="2">
        <v>8.7719298245614006</v>
      </c>
      <c r="EJ99" s="2">
        <v>2.7568922305764398</v>
      </c>
      <c r="EK99" s="2">
        <v>3.25814536340852</v>
      </c>
      <c r="EL99" s="2">
        <v>6.0150375939849603</v>
      </c>
      <c r="EM99" s="2" t="s">
        <v>102</v>
      </c>
      <c r="EN99" s="2" t="s">
        <v>102</v>
      </c>
      <c r="EO99" s="2">
        <v>1</v>
      </c>
      <c r="EP99" s="2" t="s">
        <v>102</v>
      </c>
      <c r="EQ99" s="2" t="s">
        <v>102</v>
      </c>
      <c r="ER99" s="2" t="s">
        <v>102</v>
      </c>
      <c r="ES99" s="2" t="s">
        <v>102</v>
      </c>
      <c r="ET99" s="2" t="str">
        <f>HYPERLINK(".\links\REFSEQ-INVERTEBRATE\AGAP006785-PA-REFSEQ-INVERTEBRATE.txt","AGAP006785-PA")</f>
        <v>AGAP006785-PA</v>
      </c>
      <c r="EU99" s="2" t="str">
        <f>HYPERLINK("http://www.ncbi.nlm.nih.gov/sutils/blink.cgi?pid=XP_565412.2","0.0")</f>
        <v>0.0</v>
      </c>
      <c r="EV99" s="2" t="str">
        <f>HYPERLINK("http://www.ncbi.nlm.nih.gov/protein/XP_565412.2","XP_565412.2")</f>
        <v>XP_565412.2</v>
      </c>
      <c r="EW99" s="2">
        <v>100</v>
      </c>
      <c r="EX99" s="2">
        <v>100</v>
      </c>
      <c r="EY99" s="2">
        <v>100</v>
      </c>
      <c r="EZ99" s="2" t="s">
        <v>105</v>
      </c>
    </row>
    <row r="100" spans="1:156" x14ac:dyDescent="0.25">
      <c r="A100" s="2" t="s">
        <v>1217</v>
      </c>
      <c r="B100" s="2">
        <v>0.37663756843239599</v>
      </c>
      <c r="C100" s="2">
        <f t="shared" si="1"/>
        <v>1.2983124017685146</v>
      </c>
      <c r="D100" s="2">
        <v>8.0348054011669205</v>
      </c>
      <c r="E100" s="2">
        <v>17.343783229952201</v>
      </c>
      <c r="F100" s="2">
        <v>3.1191694281737102E-5</v>
      </c>
      <c r="G100" s="2">
        <v>6.7981003707429204E-3</v>
      </c>
      <c r="H100" s="2" t="s">
        <v>1218</v>
      </c>
      <c r="I100" s="2" t="s">
        <v>94</v>
      </c>
      <c r="J100" s="2" t="str">
        <f>HYPERLINK("https://vectorbase.org/vectorbase/app/record/gene/AGAP007722","AGAP007722-RA")</f>
        <v>AGAP007722-RA</v>
      </c>
      <c r="K100" s="2" t="str">
        <f>HYPERLINK(".\links\pep\AGAP007722-PA-pep.txt","AGAP007722-PA")</f>
        <v>AGAP007722-PA</v>
      </c>
      <c r="L100" s="12" t="s">
        <v>95</v>
      </c>
      <c r="M100" s="2">
        <v>240</v>
      </c>
      <c r="N100" s="2">
        <v>0</v>
      </c>
      <c r="O100" s="2">
        <v>0</v>
      </c>
      <c r="P100" s="2" t="s">
        <v>1219</v>
      </c>
      <c r="Q100" s="9" t="s">
        <v>1220</v>
      </c>
      <c r="R100" s="2" t="s">
        <v>1221</v>
      </c>
      <c r="S100" s="2" t="str">
        <f>HYPERLINK(".\links\KOG\AGAP007722-PA-KOG.txt","KOG")</f>
        <v>KOG</v>
      </c>
      <c r="T100" s="2">
        <v>4.0000000000000002E-33</v>
      </c>
      <c r="U100" s="2">
        <v>113.3</v>
      </c>
      <c r="V100" s="2" t="s">
        <v>1222</v>
      </c>
      <c r="W100" s="10" t="s">
        <v>1223</v>
      </c>
      <c r="X100" s="2" t="s">
        <v>1221</v>
      </c>
      <c r="Y100" s="2" t="str">
        <f>HYPERLINK(".\links\COG\AGAP007722-PA-COG.txt","COG")</f>
        <v>COG</v>
      </c>
      <c r="Z100" s="15">
        <v>2.0000000000000001E-37</v>
      </c>
      <c r="AA100" s="2">
        <v>116.8</v>
      </c>
      <c r="AB100" s="13" t="s">
        <v>102</v>
      </c>
      <c r="AC100" s="13" t="str">
        <f>HYPERLINK(".\links\Sigp\AGAP007722-PA-SigP.txt","CYT")</f>
        <v>CYT</v>
      </c>
      <c r="AD100" s="2" t="s">
        <v>102</v>
      </c>
      <c r="AE100" s="2">
        <v>26.443000000000001</v>
      </c>
      <c r="AF100" s="2">
        <v>7.02</v>
      </c>
      <c r="AG100" s="2" t="s">
        <v>102</v>
      </c>
      <c r="AH100" s="2" t="s">
        <v>102</v>
      </c>
      <c r="AI100" s="2" t="s">
        <v>211</v>
      </c>
      <c r="AJ100" s="13">
        <v>0</v>
      </c>
      <c r="AK100" s="2" t="s">
        <v>102</v>
      </c>
      <c r="AL100" s="2" t="s">
        <v>102</v>
      </c>
      <c r="AM100" s="2" t="s">
        <v>102</v>
      </c>
      <c r="AN100" s="13" t="str">
        <f>HYPERLINK(".\links\gpi\AGAP007722-PA-gpi.txt","N")</f>
        <v>N</v>
      </c>
      <c r="AO100" s="14" t="str">
        <f>HYPERLINK(".\links\netoglyc\AGAP007722-PA-netoglyc.txt","0")</f>
        <v>0</v>
      </c>
      <c r="AP100" s="13">
        <v>10.4</v>
      </c>
      <c r="AQ100" s="2">
        <v>7.5</v>
      </c>
      <c r="AR100" s="2">
        <v>5</v>
      </c>
      <c r="AS100" s="2" t="s">
        <v>104</v>
      </c>
      <c r="AT100" s="9" t="str">
        <f>HYPERLINK(".\links\NR-LIGHT\AGAP007722-PA-NR-LIGHT.txt","AGAP007722-PA")</f>
        <v>AGAP007722-PA</v>
      </c>
      <c r="AU100" s="2" t="str">
        <f>HYPERLINK("http://www.ncbi.nlm.nih.gov/sutils/blink.cgi?pid=XP_308155.2","1E-133")</f>
        <v>1E-133</v>
      </c>
      <c r="AV100" s="2" t="str">
        <f>HYPERLINK("http://www.ncbi.nlm.nih.gov/protein/XP_308155.2","XP_308155.2")</f>
        <v>XP_308155.2</v>
      </c>
      <c r="AW100" s="2">
        <v>100</v>
      </c>
      <c r="AX100" s="2">
        <v>100</v>
      </c>
      <c r="AY100" s="2">
        <v>100</v>
      </c>
      <c r="AZ100" s="2" t="s">
        <v>105</v>
      </c>
      <c r="BA100" s="9" t="str">
        <f>HYPERLINK(".\links\REFSEQ-INVERTEBRATE\AGAP007722-PA-REFSEQ-INVERTEBRATE.txt","AGAP007722-PA")</f>
        <v>AGAP007722-PA</v>
      </c>
      <c r="BB100" s="2" t="str">
        <f>HYPERLINK("http://www.ncbi.nlm.nih.gov/sutils/blink.cgi?pid=XP_308155.2","1E-133")</f>
        <v>1E-133</v>
      </c>
      <c r="BC100" s="2" t="str">
        <f>HYPERLINK("http://www.ncbi.nlm.nih.gov/protein/XP_308155.2","XP_308155.2")</f>
        <v>XP_308155.2</v>
      </c>
      <c r="BD100" s="2">
        <v>100</v>
      </c>
      <c r="BE100" s="2">
        <v>100</v>
      </c>
      <c r="BF100" s="2">
        <v>100</v>
      </c>
      <c r="BG100" s="2" t="s">
        <v>105</v>
      </c>
      <c r="BH100" s="9" t="str">
        <f>HYPERLINK(".\links\REFSEQ-PROTOZOA\AGAP007722-PA-REFSEQ-PROTOZOA.txt","adenylate kinase")</f>
        <v>adenylate kinase</v>
      </c>
      <c r="BI100" s="2" t="str">
        <f>HYPERLINK("http://www.ncbi.nlm.nih.gov/sutils/blink.cgi?pid=XP_009493463.1","3E-079")</f>
        <v>3E-079</v>
      </c>
      <c r="BJ100" s="2" t="str">
        <f>HYPERLINK("http://www.ncbi.nlm.nih.gov/protein/XP_009493463.1","XP_009493463.1")</f>
        <v>XP_009493463.1</v>
      </c>
      <c r="BK100" s="2">
        <v>64</v>
      </c>
      <c r="BL100" s="2">
        <v>76</v>
      </c>
      <c r="BM100" s="2">
        <v>93</v>
      </c>
      <c r="BN100" s="2" t="s">
        <v>651</v>
      </c>
      <c r="BO100" s="9" t="str">
        <f>HYPERLINK(".\links\SWISSP\AGAP007722-PA-SWISSP.txt","Adenylate kinase")</f>
        <v>Adenylate kinase</v>
      </c>
      <c r="BP100" s="2" t="str">
        <f>HYPERLINK("http://www.uniprot.org/uniprot/Q7QJX9","1E-134")</f>
        <v>1E-134</v>
      </c>
      <c r="BQ100" s="2" t="str">
        <f>HYPERLINK("http://www.uniprot.org/uniprot/Q7QJX9#expression","Q7QJX9")</f>
        <v>Q7QJX9</v>
      </c>
      <c r="BR100" s="2">
        <v>100</v>
      </c>
      <c r="BS100" s="2">
        <v>100</v>
      </c>
      <c r="BT100" s="2">
        <v>100</v>
      </c>
      <c r="BU100" s="2" t="s">
        <v>249</v>
      </c>
      <c r="BV100" s="9" t="str">
        <f>HYPERLINK(".\links\FLYBASE\AGAP007722-PA-FLYBASE.txt","FBpp0072072")</f>
        <v>FBpp0072072</v>
      </c>
      <c r="BW100" s="2" t="str">
        <f>HYPERLINK("http://flybase.org/reports/FBgn0283494#alliance_summary_container","1E-144")</f>
        <v>1E-144</v>
      </c>
      <c r="BX100" s="2">
        <v>240</v>
      </c>
      <c r="BY100" s="2">
        <v>81</v>
      </c>
      <c r="BZ100" s="2">
        <v>89</v>
      </c>
      <c r="CA100" s="2">
        <v>99</v>
      </c>
      <c r="CB100" s="9" t="str">
        <f>HYPERLINK(".\links\CDD\AGAP007722-PA-CDD.txt","adk, adenylate kinase")</f>
        <v>adk, adenylate kinase</v>
      </c>
      <c r="CC100" s="15">
        <v>2.0000000000000001E-83</v>
      </c>
      <c r="CD100" s="2">
        <v>97.7</v>
      </c>
      <c r="CE100" s="2" t="s">
        <v>1224</v>
      </c>
      <c r="CF100" s="2" t="s">
        <v>1225</v>
      </c>
      <c r="CG100" s="9" t="str">
        <f>HYPERLINK(".\links\KOG\AGAP007722-PA-KOG.txt","Adenylate kinase")</f>
        <v>Adenylate kinase</v>
      </c>
      <c r="CH100" s="15">
        <v>3.0000000000000001E-71</v>
      </c>
      <c r="CI100" s="2">
        <v>91.5</v>
      </c>
      <c r="CJ100" s="2" t="s">
        <v>1226</v>
      </c>
      <c r="CK100" s="2" t="s">
        <v>1227</v>
      </c>
      <c r="CL100" s="9" t="str">
        <f>HYPERLINK(".\links\PFAM\AGAP007722-PA-PFAM.txt","ADK, Adenylate kinase")</f>
        <v>ADK, Adenylate kinase</v>
      </c>
      <c r="CM100" s="15">
        <v>5E-80</v>
      </c>
      <c r="CN100" s="2">
        <v>98.9</v>
      </c>
      <c r="CO100" s="2" t="s">
        <v>1228</v>
      </c>
      <c r="CP100" s="9" t="str">
        <f>HYPERLINK(".\links\SMART\AGAP007722-PA-SMART.txt","DEXDc, DEAD-like helicases superfamily")</f>
        <v>DEXDc, DEAD-like helicases superfamily</v>
      </c>
      <c r="CQ100" s="15">
        <v>5.6000000000000001E-2</v>
      </c>
      <c r="CR100" s="2">
        <v>54.7</v>
      </c>
      <c r="CS100" s="2" t="s">
        <v>429</v>
      </c>
      <c r="CT100" s="2" t="s">
        <v>1222</v>
      </c>
      <c r="CU100" s="2" t="s">
        <v>1222</v>
      </c>
      <c r="CV100" s="2" t="s">
        <v>1222</v>
      </c>
      <c r="CW100" s="2" t="str">
        <f>HYPERLINK(".\links\pep\AGAP007722-PA-pep.txt","AGAP007722-PA")</f>
        <v>AGAP007722-PA</v>
      </c>
      <c r="CX100" s="2" t="s">
        <v>95</v>
      </c>
      <c r="CY100" s="2">
        <v>240</v>
      </c>
      <c r="CZ100" s="2" t="s">
        <v>113</v>
      </c>
      <c r="DA100" s="2" t="s">
        <v>1229</v>
      </c>
      <c r="DB100" s="2">
        <v>0</v>
      </c>
      <c r="DC100" s="2">
        <v>0</v>
      </c>
      <c r="DD100" s="2" t="str">
        <f>HYPERLINK("https://www.kegg.jp/kegg-bin/search_pathway_text?map=aga&amp;keyword=AGAP007722&amp;mode=1&amp;viewImage=true","AGAP007722")</f>
        <v>AGAP007722</v>
      </c>
      <c r="DE100" s="2" t="s">
        <v>1217</v>
      </c>
      <c r="DF100" s="2" t="s">
        <v>1218</v>
      </c>
      <c r="DG100" s="2" t="s">
        <v>94</v>
      </c>
      <c r="DH100" s="2" t="str">
        <f>HYPERLINK("https://vectorbase.org/vectorbase/app/record/gene/AGAP007722","AGAP007722-RA")</f>
        <v>AGAP007722-RA</v>
      </c>
      <c r="DI100" s="2" t="s">
        <v>90</v>
      </c>
      <c r="DJ100" s="2">
        <v>1201</v>
      </c>
      <c r="DK100" s="2" t="str">
        <f>HYPERLINK(".\links\netoglyc\AGAP007722-PA-netoglyc.txt","0")</f>
        <v>0</v>
      </c>
      <c r="DL100" s="2">
        <v>10.4</v>
      </c>
      <c r="DM100" s="2">
        <v>7.5</v>
      </c>
      <c r="DN100" s="2">
        <v>5</v>
      </c>
      <c r="DO100" s="2" t="s">
        <v>104</v>
      </c>
      <c r="DP100" s="2" t="s">
        <v>102</v>
      </c>
      <c r="DQ100" s="2" t="str">
        <f>HYPERLINK(".\links\Sigp\AGAP007722-PA-SigP.txt","CYT")</f>
        <v>CYT</v>
      </c>
      <c r="DR100" s="2" t="s">
        <v>102</v>
      </c>
      <c r="DS100" s="2">
        <v>26.443000000000001</v>
      </c>
      <c r="DT100" s="2">
        <v>7.02</v>
      </c>
      <c r="DU100" s="2" t="s">
        <v>102</v>
      </c>
      <c r="DV100" s="2" t="s">
        <v>102</v>
      </c>
      <c r="DW100" s="2" t="s">
        <v>211</v>
      </c>
      <c r="DX100" s="2">
        <v>240</v>
      </c>
      <c r="DY100" s="12">
        <v>0</v>
      </c>
      <c r="DZ100" s="2" t="s">
        <v>102</v>
      </c>
      <c r="EA100" s="2" t="s">
        <v>102</v>
      </c>
      <c r="EB100" s="2" t="s">
        <v>102</v>
      </c>
      <c r="EC100" s="2" t="str">
        <f>HYPERLINK(".\links\gpi\AGAP007722-PA-gpi.txt","Y-NoSP")</f>
        <v>Y-NoSP</v>
      </c>
      <c r="ED100" s="2">
        <v>0.23</v>
      </c>
      <c r="EF100" s="2">
        <v>3</v>
      </c>
      <c r="EG100" s="2" t="s">
        <v>102</v>
      </c>
      <c r="EH100" s="2" t="s">
        <v>102</v>
      </c>
      <c r="EI100" s="2">
        <v>10.4166666666667</v>
      </c>
      <c r="EJ100" s="2">
        <v>5</v>
      </c>
      <c r="EK100" s="2">
        <v>7.5</v>
      </c>
      <c r="EL100" s="2">
        <v>12.5</v>
      </c>
      <c r="EM100" s="2">
        <v>1</v>
      </c>
      <c r="EN100" s="2">
        <v>1</v>
      </c>
      <c r="EO100" s="2">
        <v>1</v>
      </c>
      <c r="EP100" s="2" t="s">
        <v>102</v>
      </c>
      <c r="EQ100" s="2" t="s">
        <v>102</v>
      </c>
      <c r="ER100" s="2" t="s">
        <v>102</v>
      </c>
      <c r="ES100" s="2" t="s">
        <v>102</v>
      </c>
      <c r="ET100" s="2" t="str">
        <f>HYPERLINK(".\links\REFSEQ-INVERTEBRATE\AGAP007722-PA-REFSEQ-INVERTEBRATE.txt","AGAP007722-PA")</f>
        <v>AGAP007722-PA</v>
      </c>
      <c r="EU100" s="2" t="str">
        <f>HYPERLINK("http://www.ncbi.nlm.nih.gov/sutils/blink.cgi?pid=XP_308155.2","1E-177")</f>
        <v>1E-177</v>
      </c>
      <c r="EV100" s="2" t="str">
        <f>HYPERLINK("http://www.ncbi.nlm.nih.gov/protein/XP_308155.2","XP_308155.2")</f>
        <v>XP_308155.2</v>
      </c>
      <c r="EW100" s="2">
        <v>100</v>
      </c>
      <c r="EX100" s="2">
        <v>100</v>
      </c>
      <c r="EY100" s="2">
        <v>100</v>
      </c>
      <c r="EZ100" s="2" t="s">
        <v>105</v>
      </c>
    </row>
    <row r="101" spans="1:156" x14ac:dyDescent="0.25">
      <c r="A101" s="2" t="s">
        <v>1230</v>
      </c>
      <c r="B101" s="2">
        <v>0.37397581506913802</v>
      </c>
      <c r="C101" s="2">
        <f t="shared" si="1"/>
        <v>1.2959192408283011</v>
      </c>
      <c r="D101" s="2">
        <v>6.0841189417488897</v>
      </c>
      <c r="E101" s="2">
        <v>9.4407336616818505</v>
      </c>
      <c r="F101" s="2">
        <v>2.1221858380161599E-3</v>
      </c>
      <c r="G101" s="2">
        <v>4.4498173263083501E-2</v>
      </c>
      <c r="H101" s="2" t="s">
        <v>1231</v>
      </c>
      <c r="I101" s="2" t="s">
        <v>94</v>
      </c>
      <c r="J101" s="2" t="str">
        <f>HYPERLINK("https://vectorbase.org/vectorbase/app/record/gene/AGAP010273","AGAP010273-RA")</f>
        <v>AGAP010273-RA</v>
      </c>
      <c r="K101" s="2" t="str">
        <f>HYPERLINK(".\links\pep\AGAP010273-PA-pep.txt","AGAP010273-PA")</f>
        <v>AGAP010273-PA</v>
      </c>
      <c r="L101" s="12" t="s">
        <v>95</v>
      </c>
      <c r="M101" s="2">
        <v>884</v>
      </c>
      <c r="N101" s="2">
        <v>0</v>
      </c>
      <c r="O101" s="2">
        <v>2</v>
      </c>
      <c r="P101" s="2" t="s">
        <v>1232</v>
      </c>
      <c r="Q101" s="9" t="s">
        <v>1233</v>
      </c>
      <c r="R101" s="2" t="s">
        <v>355</v>
      </c>
      <c r="S101" s="2" t="str">
        <f>HYPERLINK(".\links\KOG\AGAP010273-PA-KOG.txt","KOG")</f>
        <v>KOG</v>
      </c>
      <c r="T101" s="2">
        <v>1.9999999999999999E-77</v>
      </c>
      <c r="U101" s="2">
        <v>59.2</v>
      </c>
      <c r="V101" s="2" t="s">
        <v>1234</v>
      </c>
      <c r="W101" s="10" t="s">
        <v>1235</v>
      </c>
      <c r="X101" s="2" t="s">
        <v>771</v>
      </c>
      <c r="Y101" s="2" t="str">
        <f>HYPERLINK(".\links\CDD\AGAP010273-PA-CDD.txt","CDD")</f>
        <v>CDD</v>
      </c>
      <c r="Z101" s="15">
        <v>0</v>
      </c>
      <c r="AA101" s="2">
        <v>100.5</v>
      </c>
      <c r="AB101" s="13" t="str">
        <f>HYPERLINK(".\links\pep\AGAP010273-PA-sulf.txt","2")</f>
        <v>2</v>
      </c>
      <c r="AC101" s="13" t="str">
        <f>HYPERLINK(".\links\Sigp\AGAP010273-PA-SigP.txt","CYT")</f>
        <v>CYT</v>
      </c>
      <c r="AD101" s="2" t="s">
        <v>102</v>
      </c>
      <c r="AE101" s="2">
        <v>101.42400000000001</v>
      </c>
      <c r="AF101" s="2">
        <v>6.76</v>
      </c>
      <c r="AG101" s="2" t="s">
        <v>102</v>
      </c>
      <c r="AH101" s="2" t="s">
        <v>102</v>
      </c>
      <c r="AI101" s="2" t="s">
        <v>1236</v>
      </c>
      <c r="AJ101" s="13">
        <v>0</v>
      </c>
      <c r="AK101" s="2" t="s">
        <v>102</v>
      </c>
      <c r="AL101" s="2" t="s">
        <v>102</v>
      </c>
      <c r="AM101" s="2" t="s">
        <v>102</v>
      </c>
      <c r="AN101" s="13" t="str">
        <f>HYPERLINK(".\links\gpi\AGAP010273-PA-gpi.txt","N")</f>
        <v>N</v>
      </c>
      <c r="AO101" s="14" t="str">
        <f>HYPERLINK(".\links\netoglyc\AGAP010273-PA-netoglyc.txt","0")</f>
        <v>0</v>
      </c>
      <c r="AP101" s="13">
        <v>13.9</v>
      </c>
      <c r="AQ101" s="2">
        <v>4.5</v>
      </c>
      <c r="AR101" s="2">
        <v>4.3</v>
      </c>
      <c r="AS101" s="2" t="s">
        <v>104</v>
      </c>
      <c r="AT101" s="9" t="str">
        <f>HYPERLINK(".\links\NR-LIGHT\AGAP010273-PA-NR-LIGHT.txt","AGAP010273-PA")</f>
        <v>AGAP010273-PA</v>
      </c>
      <c r="AU101" s="2" t="str">
        <f>HYPERLINK("http://www.ncbi.nlm.nih.gov/sutils/blink.cgi?pid=XP_319464.4","0.0")</f>
        <v>0.0</v>
      </c>
      <c r="AV101" s="2" t="str">
        <f>HYPERLINK("http://www.ncbi.nlm.nih.gov/protein/XP_319464.4","XP_319464.4")</f>
        <v>XP_319464.4</v>
      </c>
      <c r="AW101" s="2">
        <v>95</v>
      </c>
      <c r="AX101" s="2">
        <v>95</v>
      </c>
      <c r="AY101" s="2">
        <v>97</v>
      </c>
      <c r="AZ101" s="2" t="s">
        <v>105</v>
      </c>
      <c r="BA101" s="9" t="str">
        <f>HYPERLINK(".\links\REFSEQ-INVERTEBRATE\AGAP010273-PA-REFSEQ-INVERTEBRATE.txt","AGAP010273-PA")</f>
        <v>AGAP010273-PA</v>
      </c>
      <c r="BB101" s="2" t="str">
        <f>HYPERLINK("http://www.ncbi.nlm.nih.gov/sutils/blink.cgi?pid=XP_319464.4","0.0")</f>
        <v>0.0</v>
      </c>
      <c r="BC101" s="2" t="str">
        <f>HYPERLINK("http://www.ncbi.nlm.nih.gov/protein/XP_319464.4","XP_319464.4")</f>
        <v>XP_319464.4</v>
      </c>
      <c r="BD101" s="2">
        <v>95</v>
      </c>
      <c r="BE101" s="2">
        <v>95</v>
      </c>
      <c r="BF101" s="2">
        <v>97</v>
      </c>
      <c r="BG101" s="2" t="s">
        <v>105</v>
      </c>
      <c r="BH101" s="9" t="str">
        <f>HYPERLINK(".\links\REFSEQ-PROTOZOA\AGAP010273-PA-REFSEQ-PROTOZOA.txt","phosphoinositide-3-kinase")</f>
        <v>phosphoinositide-3-kinase</v>
      </c>
      <c r="BI101" s="2" t="str">
        <f>HYPERLINK("http://www.ncbi.nlm.nih.gov/sutils/blink.cgi?pid=XP_004348988.2","0.0")</f>
        <v>0.0</v>
      </c>
      <c r="BJ101" s="2" t="str">
        <f>HYPERLINK("http://www.ncbi.nlm.nih.gov/protein/XP_004348988.2","XP_004348988.2")</f>
        <v>XP_004348988.2</v>
      </c>
      <c r="BK101" s="2">
        <v>42</v>
      </c>
      <c r="BL101" s="2">
        <v>61</v>
      </c>
      <c r="BM101" s="2">
        <v>94</v>
      </c>
      <c r="BN101" s="2" t="s">
        <v>106</v>
      </c>
      <c r="BO101" s="9" t="str">
        <f>HYPERLINK(".\links\SWISSP\AGAP010273-PA-SWISSP.txt","Phosphatidylinositol 3-kinase catalytic subunit type 3")</f>
        <v>Phosphatidylinositol 3-kinase catalytic subunit type 3</v>
      </c>
      <c r="BP101" s="2" t="str">
        <f>HYPERLINK("http://www.uniprot.org/uniprot/Q6AZN6","0.0")</f>
        <v>0.0</v>
      </c>
      <c r="BQ101" s="2" t="str">
        <f>HYPERLINK("http://www.uniprot.org/uniprot/Q6AZN6#expression","Q6AZN6")</f>
        <v>Q6AZN6</v>
      </c>
      <c r="BR101" s="2">
        <v>56</v>
      </c>
      <c r="BS101" s="2">
        <v>72</v>
      </c>
      <c r="BT101" s="2">
        <v>100</v>
      </c>
      <c r="BU101" s="2" t="s">
        <v>625</v>
      </c>
      <c r="BV101" s="9" t="str">
        <f>HYPERLINK(".\links\FLYBASE\AGAP010273-PA-FLYBASE.txt","FBpp0071973")</f>
        <v>FBpp0071973</v>
      </c>
      <c r="BW101" s="2" t="str">
        <f>HYPERLINK("http://flybase.org/reports/FBgn0015277#alliance_summary_container","0.0")</f>
        <v>0.0</v>
      </c>
      <c r="BX101" s="2">
        <v>949</v>
      </c>
      <c r="BY101" s="2">
        <v>71</v>
      </c>
      <c r="BZ101" s="2">
        <v>83</v>
      </c>
      <c r="CA101" s="2">
        <v>44</v>
      </c>
      <c r="CB101" s="9" t="str">
        <f>HYPERLINK(".\links\CDD\AGAP010273-PA-CDD.txt","PI3Kc_III, Catalytic domain of Class III Phosphoinositide 3-kinase")</f>
        <v>PI3Kc_III, Catalytic domain of Class III Phosphoinositide 3-kinase</v>
      </c>
      <c r="CC101" s="15">
        <v>1E-173</v>
      </c>
      <c r="CD101" s="2">
        <v>100.9</v>
      </c>
      <c r="CE101" s="2" t="s">
        <v>1237</v>
      </c>
      <c r="CF101" s="2" t="s">
        <v>1238</v>
      </c>
      <c r="CG101" s="9" t="str">
        <f>HYPERLINK(".\links\KOG\AGAP010273-PA-KOG.txt","involved in signal transduction")</f>
        <v>involved in signal transduction</v>
      </c>
      <c r="CH101" s="15">
        <v>0</v>
      </c>
      <c r="CI101" s="2">
        <v>104.3</v>
      </c>
      <c r="CJ101" s="2" t="s">
        <v>1239</v>
      </c>
      <c r="CK101" s="2" t="s">
        <v>463</v>
      </c>
      <c r="CL101" s="9" t="str">
        <f>HYPERLINK(".\links\PFAM\AGAP010273-PA-PFAM.txt","PI3_PI4_kinase, Phosphatidylinositol 3- and 4-kinase")</f>
        <v>PI3_PI4_kinase, Phosphatidylinositol 3- and 4-kinase</v>
      </c>
      <c r="CM101" s="15">
        <v>2E-55</v>
      </c>
      <c r="CN101" s="2">
        <v>101.7</v>
      </c>
      <c r="CO101" s="2" t="s">
        <v>1240</v>
      </c>
      <c r="CP101" s="9" t="str">
        <f>HYPERLINK(".\links\SMART\AGAP010273-PA-SMART.txt","PI3Kc, Phosphoinositide 3-kinase, catalytic domain")</f>
        <v>PI3Kc, Phosphoinositide 3-kinase, catalytic domain</v>
      </c>
      <c r="CQ101" s="15">
        <v>1.0000000000000001E-63</v>
      </c>
      <c r="CR101" s="2">
        <v>101.7</v>
      </c>
      <c r="CS101" s="2" t="s">
        <v>1241</v>
      </c>
      <c r="CT101" s="2" t="s">
        <v>1234</v>
      </c>
      <c r="CU101" s="2" t="s">
        <v>1234</v>
      </c>
      <c r="CV101" s="2" t="s">
        <v>1234</v>
      </c>
      <c r="CW101" s="2" t="str">
        <f>HYPERLINK(".\links\pep\AGAP010273-PA-pep.txt","AGAP010273-PA")</f>
        <v>AGAP010273-PA</v>
      </c>
      <c r="CX101" s="2" t="s">
        <v>95</v>
      </c>
      <c r="CY101" s="2">
        <v>884</v>
      </c>
      <c r="CZ101" s="2" t="s">
        <v>113</v>
      </c>
      <c r="DA101" s="2" t="s">
        <v>1242</v>
      </c>
      <c r="DB101" s="2">
        <v>0</v>
      </c>
      <c r="DC101" s="2">
        <v>2</v>
      </c>
      <c r="DD101" s="2" t="str">
        <f>HYPERLINK("https://www.kegg.jp/kegg-bin/search_pathway_text?map=aga&amp;keyword=AGAP010273&amp;mode=1&amp;viewImage=true","AGAP010273")</f>
        <v>AGAP010273</v>
      </c>
      <c r="DE101" s="2" t="s">
        <v>1230</v>
      </c>
      <c r="DF101" s="2" t="s">
        <v>1231</v>
      </c>
      <c r="DG101" s="2" t="s">
        <v>94</v>
      </c>
      <c r="DH101" s="2" t="str">
        <f>HYPERLINK("https://vectorbase.org/vectorbase/app/record/gene/AGAP010273","AGAP010273-RA")</f>
        <v>AGAP010273-RA</v>
      </c>
      <c r="DI101" s="2" t="s">
        <v>115</v>
      </c>
      <c r="DJ101" s="2">
        <v>2869</v>
      </c>
      <c r="DK101" s="2" t="str">
        <f>HYPERLINK(".\links\netoglyc\AGAP010273-PA-netoglyc.txt","0")</f>
        <v>0</v>
      </c>
      <c r="DL101" s="2">
        <v>13.9</v>
      </c>
      <c r="DM101" s="2">
        <v>4.5</v>
      </c>
      <c r="DN101" s="2">
        <v>4.3</v>
      </c>
      <c r="DO101" s="2" t="s">
        <v>104</v>
      </c>
      <c r="DP101" s="2" t="s">
        <v>1243</v>
      </c>
      <c r="DQ101" s="2" t="str">
        <f>HYPERLINK(".\links\Sigp\AGAP010273-PA-SigP.txt","CYT")</f>
        <v>CYT</v>
      </c>
      <c r="DR101" s="2" t="s">
        <v>102</v>
      </c>
      <c r="DS101" s="2">
        <v>101.42400000000001</v>
      </c>
      <c r="DT101" s="2">
        <v>6.76</v>
      </c>
      <c r="DU101" s="2" t="s">
        <v>102</v>
      </c>
      <c r="DV101" s="2" t="s">
        <v>102</v>
      </c>
      <c r="DW101" s="2" t="s">
        <v>1236</v>
      </c>
      <c r="DX101" s="2">
        <v>884</v>
      </c>
      <c r="DY101" s="12">
        <v>0</v>
      </c>
      <c r="DZ101" s="2" t="s">
        <v>102</v>
      </c>
      <c r="EA101" s="2" t="s">
        <v>102</v>
      </c>
      <c r="EB101" s="2" t="s">
        <v>102</v>
      </c>
      <c r="EC101" s="2" t="str">
        <f>HYPERLINK(".\links\gpi\AGAP010273-PA-gpi.txt","N")</f>
        <v>N</v>
      </c>
      <c r="ED101" s="2">
        <v>0.18</v>
      </c>
      <c r="EF101" s="2">
        <v>13</v>
      </c>
      <c r="EG101" s="2" t="str">
        <f>HYPERLINK(".\links\pep\AGAP010273-PA-sulf.txt","2")</f>
        <v>2</v>
      </c>
      <c r="EH101" s="2" t="s">
        <v>102</v>
      </c>
      <c r="EI101" s="2">
        <v>13.914027149321299</v>
      </c>
      <c r="EJ101" s="2">
        <v>4.2986425339366496</v>
      </c>
      <c r="EK101" s="2">
        <v>4.5248868778280498</v>
      </c>
      <c r="EL101" s="2">
        <v>8.8235294117647101</v>
      </c>
      <c r="EM101" s="2" t="s">
        <v>102</v>
      </c>
      <c r="EN101" s="2">
        <v>1</v>
      </c>
      <c r="EO101" s="2">
        <v>1</v>
      </c>
      <c r="EP101" s="2" t="s">
        <v>102</v>
      </c>
      <c r="EQ101" s="2" t="s">
        <v>102</v>
      </c>
      <c r="ER101" s="2" t="s">
        <v>102</v>
      </c>
      <c r="ES101" s="2" t="s">
        <v>102</v>
      </c>
      <c r="ET101" s="2" t="str">
        <f>HYPERLINK(".\links\REFSEQ-INVERTEBRATE\AGAP010273-PA-REFSEQ-INVERTEBRATE.txt","AGAP010273-PA")</f>
        <v>AGAP010273-PA</v>
      </c>
      <c r="EU101" s="2" t="str">
        <f>HYPERLINK("http://www.ncbi.nlm.nih.gov/sutils/blink.cgi?pid=XP_319464.4","0.0")</f>
        <v>0.0</v>
      </c>
      <c r="EV101" s="2" t="str">
        <f>HYPERLINK("http://www.ncbi.nlm.nih.gov/protein/XP_319464.4","XP_319464.4")</f>
        <v>XP_319464.4</v>
      </c>
      <c r="EW101" s="2">
        <v>95</v>
      </c>
      <c r="EX101" s="2">
        <v>95</v>
      </c>
      <c r="EY101" s="2">
        <v>97</v>
      </c>
      <c r="EZ101" s="2" t="s">
        <v>105</v>
      </c>
    </row>
    <row r="102" spans="1:156" x14ac:dyDescent="0.25">
      <c r="A102" s="2" t="s">
        <v>1244</v>
      </c>
      <c r="B102" s="2">
        <v>0.37389508033404301</v>
      </c>
      <c r="C102" s="2">
        <f t="shared" si="1"/>
        <v>1.2958467218508181</v>
      </c>
      <c r="D102" s="2">
        <v>7.1957579156816802</v>
      </c>
      <c r="E102" s="2">
        <v>14.2029428847936</v>
      </c>
      <c r="F102" s="2">
        <v>1.6411364713243501E-4</v>
      </c>
      <c r="G102" s="2">
        <v>1.4063826021653399E-2</v>
      </c>
      <c r="H102" s="2" t="s">
        <v>1245</v>
      </c>
      <c r="I102" s="2" t="s">
        <v>94</v>
      </c>
      <c r="J102" s="2" t="str">
        <f>HYPERLINK("https://vectorbase.org/vectorbase/app/record/gene/AGAP001261","AGAP001261-RA")</f>
        <v>AGAP001261-RA</v>
      </c>
      <c r="K102" s="2" t="str">
        <f>HYPERLINK(".\links\pep\AGAP001261-PA-pep.txt","AGAP001261-PA")</f>
        <v>AGAP001261-PA</v>
      </c>
      <c r="L102" s="12" t="s">
        <v>95</v>
      </c>
      <c r="M102" s="2">
        <v>620</v>
      </c>
      <c r="N102" s="2">
        <v>0</v>
      </c>
      <c r="O102" s="2">
        <v>2</v>
      </c>
      <c r="P102" s="2" t="s">
        <v>1246</v>
      </c>
      <c r="Q102" s="9" t="s">
        <v>1247</v>
      </c>
      <c r="R102" s="2" t="s">
        <v>420</v>
      </c>
      <c r="S102" s="2" t="str">
        <f>HYPERLINK(".\links\REFSEQ-INVERTEBRATE\AGAP001261-PA-REFSEQ-INVERTEBRATE.txt","REFSEQ-INVERTEBRATE")</f>
        <v>REFSEQ-INVERTEBRATE</v>
      </c>
      <c r="T102" s="2">
        <v>0</v>
      </c>
      <c r="U102" s="2">
        <v>104.1</v>
      </c>
      <c r="V102" s="2" t="s">
        <v>1248</v>
      </c>
      <c r="W102" s="10" t="s">
        <v>1249</v>
      </c>
      <c r="X102" s="2" t="s">
        <v>420</v>
      </c>
      <c r="Y102" s="2" t="str">
        <f>HYPERLINK(".\links\REFSEQ-INVERTEBRATE\AGAP001261-PA-REFSEQ-INVERTEBRATE.txt","REFSEQ-INVERTEBRATE")</f>
        <v>REFSEQ-INVERTEBRATE</v>
      </c>
      <c r="Z102" s="15">
        <v>0</v>
      </c>
      <c r="AA102" s="2">
        <v>99.8</v>
      </c>
      <c r="AB102" s="13" t="s">
        <v>102</v>
      </c>
      <c r="AC102" s="13" t="str">
        <f>HYPERLINK(".\links\Sigp\AGAP001261-PA-SigP.txt","CYT")</f>
        <v>CYT</v>
      </c>
      <c r="AD102" s="2" t="s">
        <v>102</v>
      </c>
      <c r="AE102" s="2">
        <v>70.507999999999996</v>
      </c>
      <c r="AF102" s="2">
        <v>9.02</v>
      </c>
      <c r="AG102" s="2" t="s">
        <v>102</v>
      </c>
      <c r="AH102" s="2" t="s">
        <v>102</v>
      </c>
      <c r="AI102" s="2" t="s">
        <v>211</v>
      </c>
      <c r="AJ102" s="13">
        <v>0</v>
      </c>
      <c r="AK102" s="2" t="s">
        <v>102</v>
      </c>
      <c r="AL102" s="2" t="s">
        <v>102</v>
      </c>
      <c r="AM102" s="2" t="s">
        <v>102</v>
      </c>
      <c r="AN102" s="13" t="str">
        <f>HYPERLINK(".\links\gpi\AGAP001261-PA-gpi.txt","N")</f>
        <v>N</v>
      </c>
      <c r="AO102" s="14" t="str">
        <f>HYPERLINK(".\links\netoglyc\AGAP001261-PA-netoglyc.txt","13")</f>
        <v>13</v>
      </c>
      <c r="AP102" s="13">
        <v>13.9</v>
      </c>
      <c r="AQ102" s="2">
        <v>5.3</v>
      </c>
      <c r="AR102" s="2">
        <v>3.9</v>
      </c>
      <c r="AS102" s="2" t="s">
        <v>104</v>
      </c>
      <c r="AT102" s="9" t="str">
        <f>HYPERLINK(".\links\NR-LIGHT\AGAP001261-PA-NR-LIGHT.txt","AGAP001261-PA")</f>
        <v>AGAP001261-PA</v>
      </c>
      <c r="AU102" s="2" t="str">
        <f>HYPERLINK("http://www.ncbi.nlm.nih.gov/sutils/blink.cgi?pid=XP_321890.5","0.0")</f>
        <v>0.0</v>
      </c>
      <c r="AV102" s="2" t="str">
        <f>HYPERLINK("http://www.ncbi.nlm.nih.gov/protein/XP_321890.5","XP_321890.5")</f>
        <v>XP_321890.5</v>
      </c>
      <c r="AW102" s="2">
        <v>100</v>
      </c>
      <c r="AX102" s="2">
        <v>100</v>
      </c>
      <c r="AY102" s="2">
        <v>100</v>
      </c>
      <c r="AZ102" s="2" t="s">
        <v>105</v>
      </c>
      <c r="BA102" s="9" t="str">
        <f>HYPERLINK(".\links\REFSEQ-INVERTEBRATE\AGAP001261-PA-REFSEQ-INVERTEBRATE.txt","AGAP001261-PA")</f>
        <v>AGAP001261-PA</v>
      </c>
      <c r="BB102" s="2" t="str">
        <f>HYPERLINK("http://www.ncbi.nlm.nih.gov/sutils/blink.cgi?pid=XP_321890.5","0.0")</f>
        <v>0.0</v>
      </c>
      <c r="BC102" s="2" t="str">
        <f>HYPERLINK("http://www.ncbi.nlm.nih.gov/protein/XP_321890.5","XP_321890.5")</f>
        <v>XP_321890.5</v>
      </c>
      <c r="BD102" s="2">
        <v>100</v>
      </c>
      <c r="BE102" s="2">
        <v>100</v>
      </c>
      <c r="BF102" s="2">
        <v>100</v>
      </c>
      <c r="BG102" s="2" t="s">
        <v>105</v>
      </c>
      <c r="BH102" s="9" t="str">
        <f>HYPERLINK(".\links\REFSEQ-PROTOZOA\AGAP001261-PA-REFSEQ-PROTOZOA.txt","hypothetical protein PPTG_00840")</f>
        <v>hypothetical protein PPTG_00840</v>
      </c>
      <c r="BI102" s="2" t="str">
        <f>HYPERLINK("http://www.ncbi.nlm.nih.gov/sutils/blink.cgi?pid=XP_008890643.1","1E-016")</f>
        <v>1E-016</v>
      </c>
      <c r="BJ102" s="2" t="str">
        <f>HYPERLINK("http://www.ncbi.nlm.nih.gov/protein/XP_008890643.1","XP_008890643.1")</f>
        <v>XP_008890643.1</v>
      </c>
      <c r="BK102" s="2">
        <v>22</v>
      </c>
      <c r="BL102" s="2">
        <v>37</v>
      </c>
      <c r="BM102" s="2">
        <v>90</v>
      </c>
      <c r="BN102" s="2" t="s">
        <v>556</v>
      </c>
      <c r="BO102" s="9" t="str">
        <f>HYPERLINK(".\links\SWISSP\AGAP001261-PA-SWISSP.txt","Probable RNA-binding protein CG14230")</f>
        <v>Probable RNA-binding protein CG14230</v>
      </c>
      <c r="BP102" s="2" t="str">
        <f>HYPERLINK("http://www.uniprot.org/uniprot/Q9VWD4","4E-046")</f>
        <v>4E-046</v>
      </c>
      <c r="BQ102" s="2" t="str">
        <f>HYPERLINK("http://www.uniprot.org/uniprot/Q9VWD4#expression","Q9VWD4")</f>
        <v>Q9VWD4</v>
      </c>
      <c r="BR102" s="2">
        <v>28</v>
      </c>
      <c r="BS102" s="2">
        <v>46</v>
      </c>
      <c r="BT102" s="2">
        <v>110</v>
      </c>
      <c r="BU102" s="2" t="s">
        <v>107</v>
      </c>
      <c r="BV102" s="9" t="str">
        <f>HYPERLINK(".\links\FLYBASE\AGAP001261-PA-FLYBASE.txt","FBpp0074556")</f>
        <v>FBpp0074556</v>
      </c>
      <c r="BW102" s="2" t="str">
        <f>HYPERLINK("http://flybase.org/reports/FBgn0031062#alliance_summary_container","4E-30")</f>
        <v>4E-30</v>
      </c>
      <c r="BX102" s="2">
        <v>580</v>
      </c>
      <c r="BY102" s="2">
        <v>29</v>
      </c>
      <c r="BZ102" s="2">
        <v>47</v>
      </c>
      <c r="CA102" s="2">
        <v>102</v>
      </c>
      <c r="CB102" s="9" t="str">
        <f>HYPERLINK(".\links\CDD\AGAP001261-PA-CDD.txt","RRM_NOL8, RNA recognition motif in nucleolar protein 8 (NOL8) and similar proteins")</f>
        <v>RRM_NOL8, RNA recognition motif in nucleolar protein 8 (NOL8) and similar proteins</v>
      </c>
      <c r="CC102" s="15">
        <v>1E-10</v>
      </c>
      <c r="CD102" s="2">
        <v>102.6</v>
      </c>
      <c r="CE102" s="2" t="s">
        <v>1250</v>
      </c>
      <c r="CF102" s="2" t="s">
        <v>1251</v>
      </c>
      <c r="CG102" s="9" t="str">
        <f>HYPERLINK(".\links\KOG\AGAP001261-PA-KOG.txt","Uncharacterized conserved protein")</f>
        <v>Uncharacterized conserved protein</v>
      </c>
      <c r="CH102" s="15">
        <v>2E-12</v>
      </c>
      <c r="CI102" s="2">
        <v>99.5</v>
      </c>
      <c r="CJ102" s="2" t="s">
        <v>1252</v>
      </c>
      <c r="CK102" s="2" t="s">
        <v>284</v>
      </c>
      <c r="CL102" s="9" t="str">
        <f>HYPERLINK(".\links\PFAM\AGAP001261-PA-PFAM.txt","RRM_1, RNA recognition motif")</f>
        <v>RRM_1, RNA recognition motif</v>
      </c>
      <c r="CM102" s="15">
        <v>5.0000000000000002E-5</v>
      </c>
      <c r="CN102" s="2">
        <v>75.7</v>
      </c>
      <c r="CO102" s="2" t="s">
        <v>1253</v>
      </c>
      <c r="CP102" s="9" t="str">
        <f>HYPERLINK(".\links\SMART\AGAP001261-PA-SMART.txt","RRM, RNA recognition motif")</f>
        <v>RRM, RNA recognition motif</v>
      </c>
      <c r="CQ102" s="15">
        <v>4.0000000000000002E-9</v>
      </c>
      <c r="CR102" s="2">
        <v>104.1</v>
      </c>
      <c r="CS102" s="2" t="s">
        <v>1254</v>
      </c>
      <c r="CT102" s="2" t="s">
        <v>1248</v>
      </c>
      <c r="CU102" s="2" t="s">
        <v>1248</v>
      </c>
      <c r="CV102" s="2" t="s">
        <v>1248</v>
      </c>
      <c r="CW102" s="2" t="str">
        <f>HYPERLINK(".\links\pep\AGAP001261-PA-pep.txt","AGAP001261-PA")</f>
        <v>AGAP001261-PA</v>
      </c>
      <c r="CX102" s="2" t="s">
        <v>95</v>
      </c>
      <c r="CY102" s="2">
        <v>620</v>
      </c>
      <c r="CZ102" s="2" t="s">
        <v>113</v>
      </c>
      <c r="DA102" s="2" t="s">
        <v>1255</v>
      </c>
      <c r="DB102" s="2">
        <v>0</v>
      </c>
      <c r="DC102" s="2">
        <v>2</v>
      </c>
      <c r="DD102" s="2" t="str">
        <f>HYPERLINK("https://www.kegg.jp/kegg-bin/search_pathway_text?map=aga&amp;keyword=AGAP001261&amp;mode=1&amp;viewImage=true","AGAP001261")</f>
        <v>AGAP001261</v>
      </c>
      <c r="DE102" s="2" t="s">
        <v>1244</v>
      </c>
      <c r="DF102" s="2" t="s">
        <v>1245</v>
      </c>
      <c r="DG102" s="2" t="s">
        <v>94</v>
      </c>
      <c r="DH102" s="2" t="str">
        <f>HYPERLINK("https://vectorbase.org/vectorbase/app/record/gene/AGAP001261","AGAP001261-RA")</f>
        <v>AGAP001261-RA</v>
      </c>
      <c r="DI102" s="2" t="s">
        <v>118</v>
      </c>
      <c r="DJ102" s="2">
        <v>2154</v>
      </c>
      <c r="DK102" s="2" t="str">
        <f>HYPERLINK(".\links\netoglyc\AGAP001261-PA-netoglyc.txt","13")</f>
        <v>13</v>
      </c>
      <c r="DL102" s="2">
        <v>13.9</v>
      </c>
      <c r="DM102" s="2">
        <v>5.3</v>
      </c>
      <c r="DN102" s="2">
        <v>3.9</v>
      </c>
      <c r="DO102" s="2" t="s">
        <v>104</v>
      </c>
      <c r="DP102" s="2" t="s">
        <v>102</v>
      </c>
      <c r="DQ102" s="2" t="str">
        <f>HYPERLINK(".\links\Sigp\AGAP001261-PA-SigP.txt","CYT")</f>
        <v>CYT</v>
      </c>
      <c r="DR102" s="2" t="s">
        <v>102</v>
      </c>
      <c r="DS102" s="2">
        <v>70.507999999999996</v>
      </c>
      <c r="DT102" s="2">
        <v>9.02</v>
      </c>
      <c r="DU102" s="2" t="s">
        <v>102</v>
      </c>
      <c r="DV102" s="2" t="s">
        <v>102</v>
      </c>
      <c r="DW102" s="2" t="s">
        <v>211</v>
      </c>
      <c r="DX102" s="2">
        <v>620</v>
      </c>
      <c r="DY102" s="12">
        <v>0</v>
      </c>
      <c r="DZ102" s="2" t="s">
        <v>102</v>
      </c>
      <c r="EA102" s="2" t="s">
        <v>102</v>
      </c>
      <c r="EB102" s="2" t="s">
        <v>102</v>
      </c>
      <c r="EC102" s="2" t="str">
        <f>HYPERLINK(".\links\gpi\AGAP001261-PA-gpi.txt","N")</f>
        <v>N</v>
      </c>
      <c r="ED102" s="2">
        <v>0.33</v>
      </c>
      <c r="EF102" s="2">
        <v>1</v>
      </c>
      <c r="EG102" s="2" t="s">
        <v>102</v>
      </c>
      <c r="EH102" s="2" t="s">
        <v>102</v>
      </c>
      <c r="EI102" s="2">
        <v>13.8709677419355</v>
      </c>
      <c r="EJ102" s="2">
        <v>3.87096774193548</v>
      </c>
      <c r="EK102" s="2">
        <v>5.32258064516129</v>
      </c>
      <c r="EL102" s="2">
        <v>9.1935483870967705</v>
      </c>
      <c r="EM102" s="2">
        <v>1</v>
      </c>
      <c r="EN102" s="2">
        <v>2</v>
      </c>
      <c r="EO102" s="2">
        <v>2</v>
      </c>
      <c r="EP102" s="2" t="s">
        <v>102</v>
      </c>
      <c r="EQ102" s="2" t="s">
        <v>102</v>
      </c>
      <c r="ER102" s="2" t="s">
        <v>102</v>
      </c>
      <c r="ES102" s="2" t="s">
        <v>102</v>
      </c>
      <c r="ET102" s="2" t="str">
        <f>HYPERLINK(".\links\REFSEQ-INVERTEBRATE\AGAP001261-PA-REFSEQ-INVERTEBRATE.txt","AGAP001261-PA")</f>
        <v>AGAP001261-PA</v>
      </c>
      <c r="EU102" s="2" t="str">
        <f>HYPERLINK("http://www.ncbi.nlm.nih.gov/sutils/blink.cgi?pid=XP_321890.5","0.0")</f>
        <v>0.0</v>
      </c>
      <c r="EV102" s="2" t="str">
        <f>HYPERLINK("http://www.ncbi.nlm.nih.gov/protein/XP_321890.5","XP_321890.5")</f>
        <v>XP_321890.5</v>
      </c>
      <c r="EW102" s="2">
        <v>100</v>
      </c>
      <c r="EX102" s="2">
        <v>100</v>
      </c>
      <c r="EY102" s="2">
        <v>100</v>
      </c>
      <c r="EZ102" s="2" t="s">
        <v>105</v>
      </c>
    </row>
    <row r="103" spans="1:156" x14ac:dyDescent="0.25">
      <c r="A103" s="2" t="s">
        <v>1256</v>
      </c>
      <c r="B103" s="2">
        <v>0.37374934736038601</v>
      </c>
      <c r="C103" s="2">
        <f t="shared" si="1"/>
        <v>1.2957158292830995</v>
      </c>
      <c r="D103" s="2">
        <v>7.0579010915803799</v>
      </c>
      <c r="E103" s="2">
        <v>18.970913846830499</v>
      </c>
      <c r="F103" s="2">
        <v>1.3272639259280499E-5</v>
      </c>
      <c r="G103" s="2">
        <v>4.8445133296373798E-3</v>
      </c>
      <c r="H103" s="2" t="s">
        <v>1257</v>
      </c>
      <c r="I103" s="2" t="s">
        <v>94</v>
      </c>
      <c r="J103" s="2" t="str">
        <f>HYPERLINK("https://vectorbase.org/vectorbase/app/record/gene/AGAP004853","AGAP004853-RA")</f>
        <v>AGAP004853-RA</v>
      </c>
      <c r="K103" s="2" t="str">
        <f>HYPERLINK(".\links\pep\AGAP004853-PA-pep.txt","AGAP004853-PA")</f>
        <v>AGAP004853-PA</v>
      </c>
      <c r="L103" s="12" t="s">
        <v>95</v>
      </c>
      <c r="M103" s="2">
        <v>674</v>
      </c>
      <c r="N103" s="2">
        <v>0</v>
      </c>
      <c r="O103" s="2">
        <v>0</v>
      </c>
      <c r="P103" s="2" t="s">
        <v>1258</v>
      </c>
      <c r="Q103" s="9" t="s">
        <v>1259</v>
      </c>
      <c r="R103" s="2" t="s">
        <v>355</v>
      </c>
      <c r="S103" s="2" t="str">
        <f>HYPERLINK(".\links\KOG\AGAP004853-PA-KOG.txt","KOG")</f>
        <v>KOG</v>
      </c>
      <c r="T103" s="2">
        <v>2E-41</v>
      </c>
      <c r="U103" s="2">
        <v>64</v>
      </c>
      <c r="V103" s="2" t="s">
        <v>1260</v>
      </c>
      <c r="W103" s="10" t="s">
        <v>1261</v>
      </c>
      <c r="X103" s="2" t="s">
        <v>771</v>
      </c>
      <c r="Y103" s="2" t="str">
        <f>HYPERLINK(".\links\CDD\AGAP004853-PA-CDD.txt","CDD")</f>
        <v>CDD</v>
      </c>
      <c r="Z103" s="15">
        <v>1.9999999999999999E-38</v>
      </c>
      <c r="AA103" s="2">
        <v>85.6</v>
      </c>
      <c r="AB103" s="13" t="str">
        <f>HYPERLINK(".\links\pep\AGAP004853-PA-sulf.txt","2")</f>
        <v>2</v>
      </c>
      <c r="AC103" s="13" t="str">
        <f>HYPERLINK(".\links\Sigp\AGAP004853-PA-SigP.txt","CYT")</f>
        <v>CYT</v>
      </c>
      <c r="AD103" s="2" t="s">
        <v>102</v>
      </c>
      <c r="AE103" s="2">
        <v>75.537000000000006</v>
      </c>
      <c r="AF103" s="2">
        <v>8.76</v>
      </c>
      <c r="AG103" s="2" t="s">
        <v>102</v>
      </c>
      <c r="AH103" s="2" t="s">
        <v>102</v>
      </c>
      <c r="AI103" s="2" t="s">
        <v>1262</v>
      </c>
      <c r="AJ103" s="13">
        <v>0</v>
      </c>
      <c r="AK103" s="2" t="s">
        <v>102</v>
      </c>
      <c r="AL103" s="2" t="s">
        <v>102</v>
      </c>
      <c r="AM103" s="2" t="s">
        <v>102</v>
      </c>
      <c r="AN103" s="13" t="str">
        <f>HYPERLINK(".\links\gpi\AGAP004853-PA-gpi.txt","N")</f>
        <v>N</v>
      </c>
      <c r="AO103" s="14" t="str">
        <f>HYPERLINK(".\links\netoglyc\AGAP004853-PA-netoglyc.txt","1")</f>
        <v>1</v>
      </c>
      <c r="AP103" s="13">
        <v>19.100000000000001</v>
      </c>
      <c r="AQ103" s="2">
        <v>5.2</v>
      </c>
      <c r="AR103" s="2">
        <v>5.3</v>
      </c>
      <c r="AS103" s="2" t="s">
        <v>104</v>
      </c>
      <c r="AT103" s="9" t="str">
        <f>HYPERLINK(".\links\NR-LIGHT\AGAP004853-PA-NR-LIGHT.txt","AGAP004853-PA")</f>
        <v>AGAP004853-PA</v>
      </c>
      <c r="AU103" s="2" t="str">
        <f>HYPERLINK("http://www.ncbi.nlm.nih.gov/sutils/blink.cgi?pid=XP_314338.4","0.0")</f>
        <v>0.0</v>
      </c>
      <c r="AV103" s="2" t="str">
        <f>HYPERLINK("http://www.ncbi.nlm.nih.gov/protein/XP_314338.4","XP_314338.4")</f>
        <v>XP_314338.4</v>
      </c>
      <c r="AW103" s="2">
        <v>100</v>
      </c>
      <c r="AX103" s="2">
        <v>100</v>
      </c>
      <c r="AY103" s="2">
        <v>100</v>
      </c>
      <c r="AZ103" s="2" t="s">
        <v>105</v>
      </c>
      <c r="BA103" s="9" t="str">
        <f>HYPERLINK(".\links\REFSEQ-INVERTEBRATE\AGAP004853-PA-REFSEQ-INVERTEBRATE.txt","AGAP004853-PA")</f>
        <v>AGAP004853-PA</v>
      </c>
      <c r="BB103" s="2" t="str">
        <f>HYPERLINK("http://www.ncbi.nlm.nih.gov/sutils/blink.cgi?pid=XP_314338.4","0.0")</f>
        <v>0.0</v>
      </c>
      <c r="BC103" s="2" t="str">
        <f>HYPERLINK("http://www.ncbi.nlm.nih.gov/protein/XP_314338.4","XP_314338.4")</f>
        <v>XP_314338.4</v>
      </c>
      <c r="BD103" s="2">
        <v>100</v>
      </c>
      <c r="BE103" s="2">
        <v>100</v>
      </c>
      <c r="BF103" s="2">
        <v>100</v>
      </c>
      <c r="BG103" s="2" t="s">
        <v>105</v>
      </c>
      <c r="BH103" s="9" t="str">
        <f>HYPERLINK(".\links\REFSEQ-PROTOZOA\AGAP004853-PA-REFSEQ-PROTOZOA.txt","ras-specific guanine nucleotide-releasing factor RalGPS1")</f>
        <v>ras-specific guanine nucleotide-releasing factor RalGPS1</v>
      </c>
      <c r="BI103" s="2" t="str">
        <f>HYPERLINK("http://www.ncbi.nlm.nih.gov/sutils/blink.cgi?pid=XP_004365649.1","1E-057")</f>
        <v>1E-057</v>
      </c>
      <c r="BJ103" s="2" t="str">
        <f>HYPERLINK("http://www.ncbi.nlm.nih.gov/protein/XP_004365649.1","XP_004365649.1")</f>
        <v>XP_004365649.1</v>
      </c>
      <c r="BK103" s="2">
        <v>32</v>
      </c>
      <c r="BL103" s="2">
        <v>46</v>
      </c>
      <c r="BM103" s="2">
        <v>50</v>
      </c>
      <c r="BN103" s="2" t="s">
        <v>106</v>
      </c>
      <c r="BO103" s="9" t="str">
        <f>HYPERLINK(".\links\SWISSP\AGAP004853-PA-SWISSP.txt","Ras-specific guanine nucleotide-releasing factor RalGPS1")</f>
        <v>Ras-specific guanine nucleotide-releasing factor RalGPS1</v>
      </c>
      <c r="BP103" s="2" t="str">
        <f>HYPERLINK("http://www.uniprot.org/uniprot/Q5JS13","1E-101")</f>
        <v>1E-101</v>
      </c>
      <c r="BQ103" s="2" t="str">
        <f>HYPERLINK("http://www.uniprot.org/uniprot/Q5JS13#expression","Q5JS13")</f>
        <v>Q5JS13</v>
      </c>
      <c r="BR103" s="2">
        <v>38</v>
      </c>
      <c r="BS103" s="2">
        <v>57</v>
      </c>
      <c r="BT103" s="2">
        <v>102</v>
      </c>
      <c r="BU103" s="2" t="s">
        <v>127</v>
      </c>
      <c r="BV103" s="9" t="str">
        <f>HYPERLINK(".\links\FLYBASE\AGAP004853-PA-FLYBASE.txt","FBpp0086182")</f>
        <v>FBpp0086182</v>
      </c>
      <c r="BW103" s="2" t="str">
        <f>HYPERLINK("http://flybase.org/reports/FBgn0034158#alliance_summary_container","1E-162")</f>
        <v>1E-162</v>
      </c>
      <c r="BX103" s="2">
        <v>665</v>
      </c>
      <c r="BY103" s="2">
        <v>47</v>
      </c>
      <c r="BZ103" s="2">
        <v>63</v>
      </c>
      <c r="CA103" s="2">
        <v>83</v>
      </c>
      <c r="CB103" s="9" t="str">
        <f>HYPERLINK(".\links\CDD\AGAP004853-PA-CDD.txt","RasGEF, Guanine nucleotide exchange factor for Ras-like small GTPases")</f>
        <v>RasGEF, Guanine nucleotide exchange factor for Ras-like small GTPases</v>
      </c>
      <c r="CC103" s="15">
        <v>1E-56</v>
      </c>
      <c r="CD103" s="2">
        <v>100.8</v>
      </c>
      <c r="CE103" s="2" t="s">
        <v>1263</v>
      </c>
      <c r="CF103" s="2" t="s">
        <v>1264</v>
      </c>
      <c r="CG103" s="9" t="str">
        <f>HYPERLINK(".\links\KOG\AGAP004853-PA-KOG.txt","Ras1 guanine nucleotide exchange factor")</f>
        <v>Ras1 guanine nucleotide exchange factor</v>
      </c>
      <c r="CH103" s="15">
        <v>2E-41</v>
      </c>
      <c r="CI103" s="2">
        <v>64.400000000000006</v>
      </c>
      <c r="CJ103" s="2" t="s">
        <v>1265</v>
      </c>
      <c r="CK103" s="2" t="s">
        <v>173</v>
      </c>
      <c r="CL103" s="9" t="str">
        <f>HYPERLINK(".\links\PFAM\AGAP004853-PA-PFAM.txt","RasGEF, RasGEF domain")</f>
        <v>RasGEF, RasGEF domain</v>
      </c>
      <c r="CM103" s="15">
        <v>3.0000000000000002E-53</v>
      </c>
      <c r="CN103" s="2">
        <v>96.6</v>
      </c>
      <c r="CO103" s="2" t="s">
        <v>1266</v>
      </c>
      <c r="CP103" s="9" t="str">
        <f>HYPERLINK(".\links\SMART\AGAP004853-PA-SMART.txt","RasGEF, Guanine nucleotide exchange factor for Ras-like small GTPases")</f>
        <v>RasGEF, Guanine nucleotide exchange factor for Ras-like small GTPases</v>
      </c>
      <c r="CQ103" s="15">
        <v>1E-58</v>
      </c>
      <c r="CR103" s="2">
        <v>100.8</v>
      </c>
      <c r="CS103" s="2" t="s">
        <v>1263</v>
      </c>
      <c r="CT103" s="2" t="s">
        <v>1260</v>
      </c>
      <c r="CU103" s="2" t="s">
        <v>1260</v>
      </c>
      <c r="CV103" s="2" t="s">
        <v>1260</v>
      </c>
      <c r="CW103" s="2" t="str">
        <f>HYPERLINK(".\links\pep\AGAP004853-PA-pep.txt","AGAP004853-PA")</f>
        <v>AGAP004853-PA</v>
      </c>
      <c r="CX103" s="2" t="s">
        <v>95</v>
      </c>
      <c r="CY103" s="2">
        <v>674</v>
      </c>
      <c r="CZ103" s="2" t="s">
        <v>113</v>
      </c>
      <c r="DA103" s="2" t="s">
        <v>1267</v>
      </c>
      <c r="DB103" s="2">
        <v>0</v>
      </c>
      <c r="DC103" s="2">
        <v>0</v>
      </c>
      <c r="DD103" s="2" t="str">
        <f>HYPERLINK("https://www.kegg.jp/kegg-bin/search_pathway_text?map=aga&amp;keyword=AGAP004853&amp;mode=1&amp;viewImage=true","AGAP004853")</f>
        <v>AGAP004853</v>
      </c>
      <c r="DE103" s="2" t="s">
        <v>1256</v>
      </c>
      <c r="DF103" s="2" t="s">
        <v>1257</v>
      </c>
      <c r="DG103" s="2" t="s">
        <v>94</v>
      </c>
      <c r="DH103" s="2" t="str">
        <f>HYPERLINK("https://vectorbase.org/vectorbase/app/record/gene/AGAP004853","AGAP004853-RA")</f>
        <v>AGAP004853-RA</v>
      </c>
      <c r="DI103" s="2" t="s">
        <v>135</v>
      </c>
      <c r="DJ103" s="2">
        <v>2629</v>
      </c>
      <c r="DK103" s="2" t="str">
        <f>HYPERLINK(".\links\netoglyc\AGAP004853-PA-netoglyc.txt","1")</f>
        <v>1</v>
      </c>
      <c r="DL103" s="2">
        <v>19.100000000000001</v>
      </c>
      <c r="DM103" s="2">
        <v>5.2</v>
      </c>
      <c r="DN103" s="2">
        <v>5.3</v>
      </c>
      <c r="DO103" s="2" t="s">
        <v>104</v>
      </c>
      <c r="DP103" s="2" t="s">
        <v>102</v>
      </c>
      <c r="DQ103" s="2" t="str">
        <f>HYPERLINK(".\links\Sigp\AGAP004853-PA-SigP.txt","CYT")</f>
        <v>CYT</v>
      </c>
      <c r="DR103" s="2" t="s">
        <v>102</v>
      </c>
      <c r="DS103" s="2">
        <v>75.537000000000006</v>
      </c>
      <c r="DT103" s="2">
        <v>8.76</v>
      </c>
      <c r="DU103" s="2" t="s">
        <v>102</v>
      </c>
      <c r="DV103" s="2" t="s">
        <v>102</v>
      </c>
      <c r="DW103" s="2" t="s">
        <v>1262</v>
      </c>
      <c r="DX103" s="2">
        <v>674</v>
      </c>
      <c r="DY103" s="12">
        <v>0</v>
      </c>
      <c r="DZ103" s="2" t="s">
        <v>102</v>
      </c>
      <c r="EA103" s="2" t="s">
        <v>102</v>
      </c>
      <c r="EB103" s="2" t="s">
        <v>102</v>
      </c>
      <c r="EC103" s="2" t="str">
        <f>HYPERLINK(".\links\gpi\AGAP004853-PA-gpi.txt","Y-NoSP")</f>
        <v>Y-NoSP</v>
      </c>
      <c r="ED103" s="2">
        <v>0.19</v>
      </c>
      <c r="EF103" s="2">
        <v>9</v>
      </c>
      <c r="EG103" s="2" t="str">
        <f>HYPERLINK(".\links\pep\AGAP004853-PA-sulf.txt","2")</f>
        <v>2</v>
      </c>
      <c r="EH103" s="2" t="s">
        <v>102</v>
      </c>
      <c r="EI103" s="2">
        <v>19.139465875370899</v>
      </c>
      <c r="EJ103" s="2">
        <v>5.3412462908011902</v>
      </c>
      <c r="EK103" s="2">
        <v>5.1928783382789296</v>
      </c>
      <c r="EL103" s="2">
        <v>10.5341246290801</v>
      </c>
      <c r="EM103" s="2">
        <v>1</v>
      </c>
      <c r="EN103" s="2">
        <v>1</v>
      </c>
      <c r="EO103" s="2">
        <v>1</v>
      </c>
      <c r="EP103" s="2" t="s">
        <v>102</v>
      </c>
      <c r="EQ103" s="2" t="s">
        <v>102</v>
      </c>
      <c r="ER103" s="2" t="s">
        <v>102</v>
      </c>
      <c r="ES103" s="2" t="s">
        <v>102</v>
      </c>
      <c r="ET103" s="2" t="str">
        <f>HYPERLINK(".\links\REFSEQ-INVERTEBRATE\AGAP004853-PA-REFSEQ-INVERTEBRATE.txt","AGAP004853-PA")</f>
        <v>AGAP004853-PA</v>
      </c>
      <c r="EU103" s="2" t="str">
        <f>HYPERLINK("http://www.ncbi.nlm.nih.gov/sutils/blink.cgi?pid=XP_314338.4","0.0")</f>
        <v>0.0</v>
      </c>
      <c r="EV103" s="2" t="str">
        <f>HYPERLINK("http://www.ncbi.nlm.nih.gov/protein/XP_314338.4","XP_314338.4")</f>
        <v>XP_314338.4</v>
      </c>
      <c r="EW103" s="2">
        <v>100</v>
      </c>
      <c r="EX103" s="2">
        <v>100</v>
      </c>
      <c r="EY103" s="2">
        <v>100</v>
      </c>
      <c r="EZ103" s="2" t="s">
        <v>105</v>
      </c>
    </row>
    <row r="104" spans="1:156" x14ac:dyDescent="0.25">
      <c r="A104" s="2" t="s">
        <v>1268</v>
      </c>
      <c r="B104" s="2">
        <v>0.37348184634672299</v>
      </c>
      <c r="C104" s="2">
        <f t="shared" si="1"/>
        <v>1.2954756030699641</v>
      </c>
      <c r="D104" s="2">
        <v>6.3992845105231702</v>
      </c>
      <c r="E104" s="2">
        <v>16.183138555964501</v>
      </c>
      <c r="F104" s="2">
        <v>5.7503690190545702E-5</v>
      </c>
      <c r="G104" s="2">
        <v>8.4581920422063892E-3</v>
      </c>
      <c r="H104" s="2" t="s">
        <v>1269</v>
      </c>
      <c r="I104" s="2" t="s">
        <v>94</v>
      </c>
      <c r="J104" s="2" t="str">
        <f>HYPERLINK("https://vectorbase.org/vectorbase/app/record/gene/AGAP005144","AGAP005144-RA")</f>
        <v>AGAP005144-RA</v>
      </c>
      <c r="K104" s="2" t="str">
        <f>HYPERLINK(".\links\pep\AGAP005144-PA-pep.txt","AGAP005144-PA")</f>
        <v>AGAP005144-PA</v>
      </c>
      <c r="L104" s="12" t="s">
        <v>95</v>
      </c>
      <c r="M104" s="2">
        <v>327</v>
      </c>
      <c r="N104" s="2">
        <v>0</v>
      </c>
      <c r="O104" s="2">
        <v>0</v>
      </c>
      <c r="P104" s="2" t="s">
        <v>1270</v>
      </c>
      <c r="Q104" s="9" t="s">
        <v>1271</v>
      </c>
      <c r="R104" s="2" t="s">
        <v>388</v>
      </c>
      <c r="S104" s="2" t="str">
        <f>HYPERLINK(".\links\CDD\AGAP005144-PA-CDD.txt","CDD")</f>
        <v>CDD</v>
      </c>
      <c r="T104" s="2">
        <v>6.9999999999999997E-93</v>
      </c>
      <c r="U104" s="2">
        <v>99.3</v>
      </c>
      <c r="V104" s="2" t="s">
        <v>1272</v>
      </c>
      <c r="W104" s="10" t="s">
        <v>1273</v>
      </c>
      <c r="X104" s="2" t="s">
        <v>388</v>
      </c>
      <c r="Y104" s="2" t="str">
        <f>HYPERLINK(".\links\REFSEQ-PROTOZOA\AGAP005144-PA-REFSEQ-PROTOZOA.txt","REFSEQ-PROTOZOA")</f>
        <v>REFSEQ-PROTOZOA</v>
      </c>
      <c r="Z104" s="2">
        <v>0</v>
      </c>
      <c r="AA104" s="2">
        <v>90.8</v>
      </c>
      <c r="AB104" s="13" t="s">
        <v>102</v>
      </c>
      <c r="AC104" s="13" t="str">
        <f>HYPERLINK(".\links\Sigp\AGAP005144-PA-SigP.txt","CYT")</f>
        <v>CYT</v>
      </c>
      <c r="AD104" s="2" t="s">
        <v>102</v>
      </c>
      <c r="AE104" s="2">
        <v>36.997999999999998</v>
      </c>
      <c r="AF104" s="2">
        <v>7.56</v>
      </c>
      <c r="AG104" s="2" t="s">
        <v>102</v>
      </c>
      <c r="AH104" s="2" t="s">
        <v>102</v>
      </c>
      <c r="AI104" s="2" t="s">
        <v>1274</v>
      </c>
      <c r="AJ104" s="13">
        <v>0</v>
      </c>
      <c r="AK104" s="2" t="s">
        <v>102</v>
      </c>
      <c r="AL104" s="2" t="s">
        <v>102</v>
      </c>
      <c r="AM104" s="2" t="s">
        <v>102</v>
      </c>
      <c r="AN104" s="13" t="str">
        <f>HYPERLINK(".\links\gpi\AGAP005144-PA-gpi.txt","N")</f>
        <v>N</v>
      </c>
      <c r="AO104" s="14" t="str">
        <f>HYPERLINK(".\links\netoglyc\AGAP005144-PA-netoglyc.txt","0")</f>
        <v>0</v>
      </c>
      <c r="AP104" s="13">
        <v>10.1</v>
      </c>
      <c r="AQ104" s="2">
        <v>4.9000000000000004</v>
      </c>
      <c r="AR104" s="2">
        <v>4.3</v>
      </c>
      <c r="AS104" s="2">
        <v>0.9</v>
      </c>
      <c r="AT104" s="9" t="str">
        <f>HYPERLINK(".\links\NR-LIGHT\AGAP005144-PA-NR-LIGHT.txt","AGAP005144-PA")</f>
        <v>AGAP005144-PA</v>
      </c>
      <c r="AU104" s="2" t="str">
        <f>HYPERLINK("http://www.ncbi.nlm.nih.gov/sutils/blink.cgi?pid=XP_314028.3","0.0")</f>
        <v>0.0</v>
      </c>
      <c r="AV104" s="2" t="str">
        <f>HYPERLINK("http://www.ncbi.nlm.nih.gov/protein/XP_314028.3","XP_314028.3")</f>
        <v>XP_314028.3</v>
      </c>
      <c r="AW104" s="2">
        <v>100</v>
      </c>
      <c r="AX104" s="2">
        <v>100</v>
      </c>
      <c r="AY104" s="2">
        <v>100</v>
      </c>
      <c r="AZ104" s="2" t="s">
        <v>105</v>
      </c>
      <c r="BA104" s="9" t="str">
        <f>HYPERLINK(".\links\REFSEQ-INVERTEBRATE\AGAP005144-PA-REFSEQ-INVERTEBRATE.txt","AGAP005144-PA")</f>
        <v>AGAP005144-PA</v>
      </c>
      <c r="BB104" s="2" t="str">
        <f>HYPERLINK("http://www.ncbi.nlm.nih.gov/sutils/blink.cgi?pid=XP_314028.3","0.0")</f>
        <v>0.0</v>
      </c>
      <c r="BC104" s="2" t="str">
        <f>HYPERLINK("http://www.ncbi.nlm.nih.gov/protein/XP_314028.3","XP_314028.3")</f>
        <v>XP_314028.3</v>
      </c>
      <c r="BD104" s="2">
        <v>100</v>
      </c>
      <c r="BE104" s="2">
        <v>100</v>
      </c>
      <c r="BF104" s="2">
        <v>100</v>
      </c>
      <c r="BG104" s="2" t="s">
        <v>105</v>
      </c>
      <c r="BH104" s="9" t="str">
        <f>HYPERLINK(".\links\REFSEQ-PROTOZOA\AGAP005144-PA-REFSEQ-PROTOZOA.txt","replication factor C 5")</f>
        <v>replication factor C 5</v>
      </c>
      <c r="BI104" s="2" t="str">
        <f>HYPERLINK("http://www.ncbi.nlm.nih.gov/sutils/blink.cgi?pid=XP_004365833.1","1E-108")</f>
        <v>1E-108</v>
      </c>
      <c r="BJ104" s="2" t="str">
        <f>HYPERLINK("http://www.ncbi.nlm.nih.gov/protein/XP_004365833.1","XP_004365833.1")</f>
        <v>XP_004365833.1</v>
      </c>
      <c r="BK104" s="2">
        <v>62</v>
      </c>
      <c r="BL104" s="2">
        <v>76</v>
      </c>
      <c r="BM104" s="2">
        <v>93</v>
      </c>
      <c r="BN104" s="2" t="s">
        <v>106</v>
      </c>
      <c r="BO104" s="9" t="str">
        <f>HYPERLINK(".\links\SWISSP\AGAP005144-PA-SWISSP.txt","Replication factor C subunit 5")</f>
        <v>Replication factor C subunit 5</v>
      </c>
      <c r="BP104" s="2" t="str">
        <f>HYPERLINK("http://www.uniprot.org/uniprot/P40937","1E-125")</f>
        <v>1E-125</v>
      </c>
      <c r="BQ104" s="2" t="str">
        <f>HYPERLINK("http://www.uniprot.org/uniprot/P40937#expression","P40937")</f>
        <v>P40937</v>
      </c>
      <c r="BR104" s="2">
        <v>68</v>
      </c>
      <c r="BS104" s="2">
        <v>82</v>
      </c>
      <c r="BT104" s="2">
        <v>94</v>
      </c>
      <c r="BU104" s="2" t="s">
        <v>127</v>
      </c>
      <c r="BV104" s="9" t="str">
        <f>HYPERLINK(".\links\FLYBASE\AGAP005144-PA-FLYBASE.txt","FBpp0079609")</f>
        <v>FBpp0079609</v>
      </c>
      <c r="BW104" s="2" t="str">
        <f>HYPERLINK("http://flybase.org/reports/FBgn0032244#alliance_summary_container","1E-170")</f>
        <v>1E-170</v>
      </c>
      <c r="BX104" s="2">
        <v>332</v>
      </c>
      <c r="BY104" s="2">
        <v>70</v>
      </c>
      <c r="BZ104" s="2">
        <v>83</v>
      </c>
      <c r="CA104" s="2">
        <v>96</v>
      </c>
      <c r="CB104" s="9" t="str">
        <f>HYPERLINK(".\links\CDD\AGAP005144-PA-CDD.txt","rfc, replication factor C small subunit")</f>
        <v>rfc, replication factor C small subunit</v>
      </c>
      <c r="CC104" s="15">
        <v>6.9999999999999997E-93</v>
      </c>
      <c r="CD104" s="2">
        <v>99.4</v>
      </c>
      <c r="CE104" s="2" t="s">
        <v>1275</v>
      </c>
      <c r="CF104" s="2" t="s">
        <v>1276</v>
      </c>
      <c r="CG104" s="9" t="str">
        <f>HYPERLINK(".\links\KOG\AGAP005144-PA-KOG.txt","subunit RFC5")</f>
        <v>subunit RFC5</v>
      </c>
      <c r="CH104" s="15">
        <v>9.9999999999999993E-125</v>
      </c>
      <c r="CI104" s="2">
        <v>91.9</v>
      </c>
      <c r="CJ104" s="2" t="s">
        <v>1277</v>
      </c>
      <c r="CK104" s="2" t="s">
        <v>427</v>
      </c>
      <c r="CL104" s="9" t="str">
        <f>HYPERLINK(".\links\PFAM\AGAP005144-PA-PFAM.txt","Rep_fac_C, Replication factor C C-terminal domain")</f>
        <v>Rep_fac_C, Replication factor C C-terminal domain</v>
      </c>
      <c r="CM104" s="15">
        <v>6.0000000000000006E-20</v>
      </c>
      <c r="CN104" s="2">
        <v>101.1</v>
      </c>
      <c r="CO104" s="2" t="s">
        <v>1278</v>
      </c>
      <c r="CP104" s="9" t="str">
        <f>HYPERLINK(".\links\SMART\AGAP005144-PA-SMART.txt","AAA, ATPases associated with a variety of cellular activities")</f>
        <v>AAA, ATPases associated with a variety of cellular activities</v>
      </c>
      <c r="CQ104" s="15">
        <v>1.9999999999999999E-11</v>
      </c>
      <c r="CR104" s="2">
        <v>100</v>
      </c>
      <c r="CS104" s="2" t="s">
        <v>772</v>
      </c>
      <c r="CT104" s="2" t="s">
        <v>1272</v>
      </c>
      <c r="CU104" s="2" t="s">
        <v>1272</v>
      </c>
      <c r="CV104" s="2" t="s">
        <v>1272</v>
      </c>
      <c r="CW104" s="2" t="str">
        <f>HYPERLINK(".\links\pep\AGAP005144-PA-pep.txt","AGAP005144-PA")</f>
        <v>AGAP005144-PA</v>
      </c>
      <c r="CX104" s="2" t="s">
        <v>95</v>
      </c>
      <c r="CY104" s="2">
        <v>327</v>
      </c>
      <c r="CZ104" s="2" t="s">
        <v>113</v>
      </c>
      <c r="DA104" s="2" t="s">
        <v>1279</v>
      </c>
      <c r="DB104" s="2">
        <v>0</v>
      </c>
      <c r="DC104" s="2">
        <v>0</v>
      </c>
      <c r="DD104" s="2" t="str">
        <f>HYPERLINK("https://www.kegg.jp/kegg-bin/search_pathway_text?map=aga&amp;keyword=AGAP005144&amp;mode=1&amp;viewImage=true","AGAP005144")</f>
        <v>AGAP005144</v>
      </c>
      <c r="DE104" s="2" t="s">
        <v>1268</v>
      </c>
      <c r="DF104" s="2" t="s">
        <v>1269</v>
      </c>
      <c r="DG104" s="2" t="s">
        <v>94</v>
      </c>
      <c r="DH104" s="2" t="str">
        <f>HYPERLINK("https://vectorbase.org/vectorbase/app/record/gene/AGAP005144","AGAP005144-RA")</f>
        <v>AGAP005144-RA</v>
      </c>
      <c r="DI104" s="2" t="s">
        <v>118</v>
      </c>
      <c r="DJ104" s="2">
        <v>1148</v>
      </c>
      <c r="DK104" s="2" t="str">
        <f>HYPERLINK(".\links\netoglyc\AGAP005144-PA-netoglyc.txt","0")</f>
        <v>0</v>
      </c>
      <c r="DL104" s="2">
        <v>10.1</v>
      </c>
      <c r="DM104" s="2">
        <v>4.9000000000000004</v>
      </c>
      <c r="DN104" s="2">
        <v>4.3</v>
      </c>
      <c r="DO104" s="2">
        <v>0.9</v>
      </c>
      <c r="DP104" s="2" t="s">
        <v>102</v>
      </c>
      <c r="DQ104" s="2" t="str">
        <f>HYPERLINK(".\links\Sigp\AGAP005144-PA-SigP.txt","CYT")</f>
        <v>CYT</v>
      </c>
      <c r="DR104" s="2" t="s">
        <v>102</v>
      </c>
      <c r="DS104" s="2">
        <v>36.997999999999998</v>
      </c>
      <c r="DT104" s="2">
        <v>7.56</v>
      </c>
      <c r="DU104" s="2" t="s">
        <v>102</v>
      </c>
      <c r="DV104" s="2" t="s">
        <v>102</v>
      </c>
      <c r="DW104" s="2" t="s">
        <v>1274</v>
      </c>
      <c r="DX104" s="2">
        <v>327</v>
      </c>
      <c r="DY104" s="12">
        <v>0</v>
      </c>
      <c r="DZ104" s="2" t="s">
        <v>102</v>
      </c>
      <c r="EA104" s="2" t="s">
        <v>102</v>
      </c>
      <c r="EB104" s="2" t="s">
        <v>102</v>
      </c>
      <c r="EC104" s="2" t="str">
        <f>HYPERLINK(".\links\gpi\AGAP005144-PA-gpi.txt","N")</f>
        <v>N</v>
      </c>
      <c r="ED104" s="2">
        <v>0.23</v>
      </c>
      <c r="EF104" s="2">
        <v>7</v>
      </c>
      <c r="EG104" s="2" t="s">
        <v>102</v>
      </c>
      <c r="EH104" s="2" t="s">
        <v>102</v>
      </c>
      <c r="EI104" s="2">
        <v>10.0917431192661</v>
      </c>
      <c r="EJ104" s="2">
        <v>4.2813455657492403</v>
      </c>
      <c r="EK104" s="2">
        <v>4.8929663608562697</v>
      </c>
      <c r="EL104" s="2">
        <v>9.1743119266054993</v>
      </c>
      <c r="EM104" s="2">
        <v>1</v>
      </c>
      <c r="EN104" s="2">
        <v>2</v>
      </c>
      <c r="EO104" s="2">
        <v>2</v>
      </c>
      <c r="EP104" s="2" t="s">
        <v>102</v>
      </c>
      <c r="EQ104" s="2" t="s">
        <v>102</v>
      </c>
      <c r="ER104" s="2" t="s">
        <v>102</v>
      </c>
      <c r="ES104" s="2" t="s">
        <v>102</v>
      </c>
      <c r="ET104" s="2" t="str">
        <f>HYPERLINK(".\links\REFSEQ-INVERTEBRATE\AGAP005144-PA-REFSEQ-INVERTEBRATE.txt","AGAP005144-PA")</f>
        <v>AGAP005144-PA</v>
      </c>
      <c r="EU104" s="2" t="str">
        <f>HYPERLINK("http://www.ncbi.nlm.nih.gov/sutils/blink.cgi?pid=XP_314028.3","0.0")</f>
        <v>0.0</v>
      </c>
      <c r="EV104" s="2" t="str">
        <f>HYPERLINK("http://www.ncbi.nlm.nih.gov/protein/XP_314028.3","XP_314028.3")</f>
        <v>XP_314028.3</v>
      </c>
      <c r="EW104" s="2">
        <v>100</v>
      </c>
      <c r="EX104" s="2">
        <v>100</v>
      </c>
      <c r="EY104" s="2">
        <v>100</v>
      </c>
      <c r="EZ104" s="2" t="s">
        <v>105</v>
      </c>
    </row>
    <row r="105" spans="1:156" x14ac:dyDescent="0.25">
      <c r="A105" s="2" t="s">
        <v>1280</v>
      </c>
      <c r="B105" s="2">
        <v>0.37193877177301199</v>
      </c>
      <c r="C105" s="2">
        <f t="shared" si="1"/>
        <v>1.2940907318829804</v>
      </c>
      <c r="D105" s="2">
        <v>5.0699359494454601</v>
      </c>
      <c r="E105" s="2">
        <v>11.155044424781201</v>
      </c>
      <c r="F105" s="2">
        <v>8.3803483574587505E-4</v>
      </c>
      <c r="G105" s="2">
        <v>3.0183174475144601E-2</v>
      </c>
      <c r="H105" s="2" t="s">
        <v>93</v>
      </c>
      <c r="I105" s="2" t="s">
        <v>94</v>
      </c>
      <c r="J105" s="2" t="str">
        <f>HYPERLINK("https://vectorbase.org/vectorbase/app/record/gene/AGAP003353","AGAP003353-RA")</f>
        <v>AGAP003353-RA</v>
      </c>
      <c r="K105" s="2" t="str">
        <f>HYPERLINK(".\links\pep\AGAP003353-PA-pep.txt","AGAP003353-PA")</f>
        <v>AGAP003353-PA</v>
      </c>
      <c r="L105" s="12" t="s">
        <v>95</v>
      </c>
      <c r="M105" s="2">
        <v>128</v>
      </c>
      <c r="N105" s="2">
        <v>0</v>
      </c>
      <c r="O105" s="2">
        <v>0</v>
      </c>
      <c r="P105" s="2" t="s">
        <v>102</v>
      </c>
      <c r="Q105" s="9" t="s">
        <v>1281</v>
      </c>
      <c r="R105" s="2" t="s">
        <v>196</v>
      </c>
      <c r="S105" s="2" t="str">
        <f>HYPERLINK(".\links\REFSEQ-INVERTEBRATE\AGAP003353-PA-REFSEQ-INVERTEBRATE.txt","REFSEQ-INVERTEBRATE")</f>
        <v>REFSEQ-INVERTEBRATE</v>
      </c>
      <c r="T105" s="2">
        <v>3.9999999999999997E-71</v>
      </c>
      <c r="U105" s="2">
        <v>100</v>
      </c>
      <c r="V105" s="2" t="s">
        <v>1281</v>
      </c>
      <c r="W105" s="10" t="s">
        <v>1282</v>
      </c>
      <c r="X105" s="2" t="s">
        <v>196</v>
      </c>
      <c r="Y105" s="2" t="str">
        <f>HYPERLINK(".\links\ARTHORPODA\AGAP003353-PA-ARTHORPODA.txt","ARTHORPODA")</f>
        <v>ARTHORPODA</v>
      </c>
      <c r="Z105" s="15">
        <v>4E-92</v>
      </c>
      <c r="AA105" s="2">
        <v>100</v>
      </c>
      <c r="AB105" s="13" t="s">
        <v>102</v>
      </c>
      <c r="AC105" s="13" t="str">
        <f>HYPERLINK(".\links\Sigp\AGAP003353-PA-SigP.txt","CYT")</f>
        <v>CYT</v>
      </c>
      <c r="AD105" s="2" t="s">
        <v>102</v>
      </c>
      <c r="AE105" s="2">
        <v>14.295999999999999</v>
      </c>
      <c r="AF105" s="2">
        <v>6.14</v>
      </c>
      <c r="AG105" s="2" t="s">
        <v>102</v>
      </c>
      <c r="AH105" s="2" t="s">
        <v>102</v>
      </c>
      <c r="AI105" s="2" t="s">
        <v>211</v>
      </c>
      <c r="AJ105" s="13">
        <v>0</v>
      </c>
      <c r="AK105" s="2" t="s">
        <v>102</v>
      </c>
      <c r="AL105" s="2" t="s">
        <v>102</v>
      </c>
      <c r="AM105" s="2" t="s">
        <v>102</v>
      </c>
      <c r="AN105" s="13" t="str">
        <f>HYPERLINK(".\links\gpi\AGAP003353-PA-gpi.txt","N")</f>
        <v>N</v>
      </c>
      <c r="AO105" s="14" t="str">
        <f>HYPERLINK(".\links\netoglyc\AGAP003353-PA-netoglyc.txt","3")</f>
        <v>3</v>
      </c>
      <c r="AP105" s="13">
        <v>15.6</v>
      </c>
      <c r="AQ105" s="2">
        <v>6.3</v>
      </c>
      <c r="AR105" s="2">
        <v>6.3</v>
      </c>
      <c r="AS105" s="2" t="s">
        <v>104</v>
      </c>
      <c r="AT105" s="9" t="str">
        <f>HYPERLINK(".\links\NR-LIGHT\AGAP003353-PA-NR-LIGHT.txt","AGAP003353-PA")</f>
        <v>AGAP003353-PA</v>
      </c>
      <c r="AU105" s="2" t="str">
        <f>HYPERLINK("http://www.ncbi.nlm.nih.gov/sutils/blink.cgi?pid=XP_314253.1","4E-071")</f>
        <v>4E-071</v>
      </c>
      <c r="AV105" s="2" t="str">
        <f>HYPERLINK("http://www.ncbi.nlm.nih.gov/protein/XP_314253.1","XP_314253.1")</f>
        <v>XP_314253.1</v>
      </c>
      <c r="AW105" s="2">
        <v>100</v>
      </c>
      <c r="AX105" s="2">
        <v>100</v>
      </c>
      <c r="AY105" s="2">
        <v>100</v>
      </c>
      <c r="AZ105" s="2" t="s">
        <v>105</v>
      </c>
      <c r="BA105" s="9" t="str">
        <f>HYPERLINK(".\links\REFSEQ-INVERTEBRATE\AGAP003353-PA-REFSEQ-INVERTEBRATE.txt","AGAP003353-PA")</f>
        <v>AGAP003353-PA</v>
      </c>
      <c r="BB105" s="2" t="str">
        <f>HYPERLINK("http://www.ncbi.nlm.nih.gov/sutils/blink.cgi?pid=XP_314253.1","4E-071")</f>
        <v>4E-071</v>
      </c>
      <c r="BC105" s="2" t="str">
        <f>HYPERLINK("http://www.ncbi.nlm.nih.gov/protein/XP_314253.1","XP_314253.1")</f>
        <v>XP_314253.1</v>
      </c>
      <c r="BD105" s="2">
        <v>100</v>
      </c>
      <c r="BE105" s="2">
        <v>100</v>
      </c>
      <c r="BF105" s="2">
        <v>100</v>
      </c>
      <c r="BG105" s="2" t="s">
        <v>105</v>
      </c>
      <c r="BH105" s="9" t="str">
        <f>HYPERLINK(".\links\REFSEQ-PROTOZOA\AGAP003353-PA-REFSEQ-PROTOZOA.txt","putative long-chain-fatty-acid-CoA ligase, partial")</f>
        <v>putative long-chain-fatty-acid-CoA ligase, partial</v>
      </c>
      <c r="BI105" s="2" t="str">
        <f>HYPERLINK("http://www.ncbi.nlm.nih.gov/sutils/blink.cgi?pid=XP_001470155.2","0.088")</f>
        <v>0.088</v>
      </c>
      <c r="BJ105" s="2" t="str">
        <f>HYPERLINK("http://www.ncbi.nlm.nih.gov/protein/XP_001470155.2","XP_001470155.2")</f>
        <v>XP_001470155.2</v>
      </c>
      <c r="BK105" s="2">
        <v>40</v>
      </c>
      <c r="BL105" s="2">
        <v>52</v>
      </c>
      <c r="BM105" s="2">
        <v>7</v>
      </c>
      <c r="BN105" s="2" t="s">
        <v>1283</v>
      </c>
      <c r="BO105" s="9" t="str">
        <f>HYPERLINK(".\links\SWISSP\AGAP003353-PA-SWISSP.txt","PAXIP1-associated glutamate-rich protein 1")</f>
        <v>PAXIP1-associated glutamate-rich protein 1</v>
      </c>
      <c r="BP105" s="2" t="str">
        <f>HYPERLINK("http://www.uniprot.org/uniprot/Q1LZ80","2E-007")</f>
        <v>2E-007</v>
      </c>
      <c r="BQ105" s="2" t="str">
        <f>HYPERLINK("http://www.uniprot.org/uniprot/Q1LZ80#expression","Q1LZ80")</f>
        <v>Q1LZ80</v>
      </c>
      <c r="BR105" s="2">
        <v>30</v>
      </c>
      <c r="BS105" s="2">
        <v>44</v>
      </c>
      <c r="BT105" s="2">
        <v>55</v>
      </c>
      <c r="BU105" s="2" t="s">
        <v>1284</v>
      </c>
      <c r="BV105" s="9" t="str">
        <f>HYPERLINK(".\links\FLYBASE\AGAP003353-PA-FLYBASE.txt","FBpp0073312")</f>
        <v>FBpp0073312</v>
      </c>
      <c r="BW105" s="2" t="str">
        <f>HYPERLINK("http://flybase.org/reports/FBgn0030294#alliance_summary_container","9E-24")</f>
        <v>9E-24</v>
      </c>
      <c r="BX105" s="2">
        <v>122</v>
      </c>
      <c r="BY105" s="2">
        <v>53</v>
      </c>
      <c r="BZ105" s="2">
        <v>64</v>
      </c>
      <c r="CA105" s="2">
        <v>82</v>
      </c>
      <c r="CB105" s="9" t="str">
        <f>HYPERLINK(".\links\CDD\AGAP003353-PA-CDD.txt","PAXIP1_C, PAXIP1-associated-protein-1 C term PTIP binding protein")</f>
        <v>PAXIP1_C, PAXIP1-associated-protein-1 C term PTIP binding protein</v>
      </c>
      <c r="CC105" s="15">
        <v>4.0000000000000001E-8</v>
      </c>
      <c r="CD105" s="2">
        <v>91.8</v>
      </c>
      <c r="CE105" s="2" t="s">
        <v>1285</v>
      </c>
      <c r="CF105" s="2" t="s">
        <v>1286</v>
      </c>
      <c r="CG105" s="9" t="str">
        <f>HYPERLINK(".\links\KOG\AGAP003353-PA-KOG.txt","p53 inducible protein PIR121")</f>
        <v>p53 inducible protein PIR121</v>
      </c>
      <c r="CH105" s="15">
        <v>0.3</v>
      </c>
      <c r="CI105" s="2">
        <v>3.3</v>
      </c>
      <c r="CJ105" s="2" t="s">
        <v>1287</v>
      </c>
      <c r="CK105" s="2" t="s">
        <v>191</v>
      </c>
      <c r="CL105" s="9" t="str">
        <f>HYPERLINK(".\links\PFAM\AGAP003353-PA-PFAM.txt","PAXIP1_C, PAXIP1-associated-protein-1 C term PTIP binding protein")</f>
        <v>PAXIP1_C, PAXIP1-associated-protein-1 C term PTIP binding protein</v>
      </c>
      <c r="CM105" s="15">
        <v>8.9999999999999995E-9</v>
      </c>
      <c r="CN105" s="2">
        <v>91.8</v>
      </c>
      <c r="CO105" s="2" t="s">
        <v>1285</v>
      </c>
      <c r="CP105" s="9" t="str">
        <f>HYPERLINK(".\links\SMART\AGAP003353-PA-SMART.txt","DED, Death effector domain")</f>
        <v>DED, Death effector domain</v>
      </c>
      <c r="CQ105" s="15">
        <v>1.1000000000000001</v>
      </c>
      <c r="CR105" s="2">
        <v>36.700000000000003</v>
      </c>
      <c r="CS105" s="2" t="s">
        <v>1288</v>
      </c>
      <c r="CT105" s="2" t="s">
        <v>1281</v>
      </c>
      <c r="CU105" s="2" t="s">
        <v>1281</v>
      </c>
      <c r="CV105" s="2" t="s">
        <v>1281</v>
      </c>
      <c r="CW105" s="2" t="str">
        <f>HYPERLINK(".\links\pep\AGAP003353-PA-pep.txt","AGAP003353-PA")</f>
        <v>AGAP003353-PA</v>
      </c>
      <c r="CX105" s="2" t="s">
        <v>95</v>
      </c>
      <c r="CY105" s="2">
        <v>128</v>
      </c>
      <c r="CZ105" s="2" t="s">
        <v>113</v>
      </c>
      <c r="DA105" s="2" t="s">
        <v>1289</v>
      </c>
      <c r="DB105" s="2">
        <v>0</v>
      </c>
      <c r="DC105" s="2">
        <v>0</v>
      </c>
      <c r="DD105" s="2" t="str">
        <f>HYPERLINK("https://www.kegg.jp/kegg-bin/search_pathway_text?map=aga&amp;keyword=AGAP003353&amp;mode=1&amp;viewImage=true","AGAP003353")</f>
        <v>AGAP003353</v>
      </c>
      <c r="DE105" s="2" t="s">
        <v>1280</v>
      </c>
      <c r="DF105" s="2" t="s">
        <v>93</v>
      </c>
      <c r="DG105" s="2" t="s">
        <v>94</v>
      </c>
      <c r="DH105" s="2" t="str">
        <f>HYPERLINK("https://vectorbase.org/vectorbase/app/record/gene/AGAP003353","AGAP003353-RA")</f>
        <v>AGAP003353-RA</v>
      </c>
      <c r="DI105" s="2" t="s">
        <v>115</v>
      </c>
      <c r="DJ105" s="2">
        <v>982</v>
      </c>
      <c r="DK105" s="2" t="str">
        <f>HYPERLINK(".\links\netoglyc\AGAP003353-PA-netoglyc.txt","3")</f>
        <v>3</v>
      </c>
      <c r="DL105" s="2">
        <v>15.6</v>
      </c>
      <c r="DM105" s="2">
        <v>6.3</v>
      </c>
      <c r="DN105" s="2">
        <v>6.3</v>
      </c>
      <c r="DO105" s="2" t="s">
        <v>104</v>
      </c>
      <c r="DP105" s="2" t="s">
        <v>102</v>
      </c>
      <c r="DQ105" s="2" t="str">
        <f>HYPERLINK(".\links\Sigp\AGAP003353-PA-SigP.txt","CYT")</f>
        <v>CYT</v>
      </c>
      <c r="DR105" s="2" t="s">
        <v>102</v>
      </c>
      <c r="DS105" s="2">
        <v>14.295999999999999</v>
      </c>
      <c r="DT105" s="2">
        <v>6.14</v>
      </c>
      <c r="DU105" s="2" t="s">
        <v>102</v>
      </c>
      <c r="DV105" s="2" t="s">
        <v>102</v>
      </c>
      <c r="DW105" s="2" t="s">
        <v>211</v>
      </c>
      <c r="DX105" s="2">
        <v>128</v>
      </c>
      <c r="DY105" s="12">
        <v>0</v>
      </c>
      <c r="DZ105" s="2" t="s">
        <v>102</v>
      </c>
      <c r="EA105" s="2" t="s">
        <v>102</v>
      </c>
      <c r="EB105" s="2" t="s">
        <v>102</v>
      </c>
      <c r="EC105" s="2" t="str">
        <f>HYPERLINK(".\links\gpi\AGAP003353-PA-gpi.txt","Y-NoSP")</f>
        <v>Y-NoSP</v>
      </c>
      <c r="ED105" s="2">
        <v>0.36</v>
      </c>
      <c r="EF105" s="2">
        <v>3</v>
      </c>
      <c r="EG105" s="2" t="s">
        <v>102</v>
      </c>
      <c r="EH105" s="2" t="s">
        <v>102</v>
      </c>
      <c r="EI105" s="2">
        <v>15.625</v>
      </c>
      <c r="EJ105" s="2">
        <v>6.25</v>
      </c>
      <c r="EK105" s="2">
        <v>6.25</v>
      </c>
      <c r="EL105" s="2">
        <v>12.5</v>
      </c>
      <c r="EM105" s="2" t="s">
        <v>102</v>
      </c>
      <c r="EN105" s="2">
        <v>2</v>
      </c>
      <c r="EO105" s="2">
        <v>2</v>
      </c>
      <c r="EP105" s="2" t="s">
        <v>102</v>
      </c>
      <c r="EQ105" s="2" t="s">
        <v>102</v>
      </c>
      <c r="ER105" s="2" t="s">
        <v>102</v>
      </c>
      <c r="ES105" s="2" t="s">
        <v>102</v>
      </c>
      <c r="ET105" s="2" t="str">
        <f>HYPERLINK(".\links\REFSEQ-INVERTEBRATE\AGAP003353-PA-REFSEQ-INVERTEBRATE.txt","AGAP003353-PA")</f>
        <v>AGAP003353-PA</v>
      </c>
      <c r="EU105" s="2" t="str">
        <f>HYPERLINK("http://www.ncbi.nlm.nih.gov/sutils/blink.cgi?pid=XP_314253.1","6E-92")</f>
        <v>6E-92</v>
      </c>
      <c r="EV105" s="2" t="str">
        <f>HYPERLINK("http://www.ncbi.nlm.nih.gov/protein/XP_314253.1","XP_314253.1")</f>
        <v>XP_314253.1</v>
      </c>
      <c r="EW105" s="2">
        <v>100</v>
      </c>
      <c r="EX105" s="2">
        <v>100</v>
      </c>
      <c r="EY105" s="2">
        <v>100</v>
      </c>
      <c r="EZ105" s="2" t="s">
        <v>105</v>
      </c>
    </row>
    <row r="106" spans="1:156" x14ac:dyDescent="0.25">
      <c r="A106" s="2" t="s">
        <v>1290</v>
      </c>
      <c r="B106" s="2">
        <v>0.371935041288813</v>
      </c>
      <c r="C106" s="2">
        <f t="shared" si="1"/>
        <v>1.2940873856603561</v>
      </c>
      <c r="D106" s="2">
        <v>6.5216089229468501</v>
      </c>
      <c r="E106" s="2">
        <v>13.0911102497894</v>
      </c>
      <c r="F106" s="2">
        <v>2.9670044833649402E-4</v>
      </c>
      <c r="G106" s="2">
        <v>1.92003530491149E-2</v>
      </c>
      <c r="H106" s="2" t="s">
        <v>1291</v>
      </c>
      <c r="I106" s="2" t="s">
        <v>94</v>
      </c>
      <c r="J106" s="2" t="str">
        <f>HYPERLINK("https://vectorbase.org/vectorbase/app/record/gene/AGAP004711","AGAP004711-RA")</f>
        <v>AGAP004711-RA</v>
      </c>
      <c r="K106" s="2" t="str">
        <f>HYPERLINK(".\links\pep\AGAP004711-PA-pep.txt","AGAP004711-PA")</f>
        <v>AGAP004711-PA</v>
      </c>
      <c r="L106" s="12" t="s">
        <v>95</v>
      </c>
      <c r="M106" s="2">
        <v>613</v>
      </c>
      <c r="N106" s="2">
        <v>0</v>
      </c>
      <c r="O106" s="2">
        <v>1</v>
      </c>
      <c r="P106" s="2" t="s">
        <v>1292</v>
      </c>
      <c r="Q106" s="9" t="s">
        <v>714</v>
      </c>
      <c r="R106" s="2" t="s">
        <v>388</v>
      </c>
      <c r="S106" s="2" t="str">
        <f>HYPERLINK(".\links\CDD\AGAP004711-PA-CDD.txt","CDD")</f>
        <v>CDD</v>
      </c>
      <c r="T106" s="2">
        <v>0</v>
      </c>
      <c r="U106" s="2">
        <v>80.3</v>
      </c>
      <c r="V106" s="2" t="s">
        <v>1293</v>
      </c>
      <c r="W106" s="10" t="s">
        <v>1294</v>
      </c>
      <c r="X106" s="2" t="s">
        <v>672</v>
      </c>
      <c r="Y106" s="2" t="str">
        <f>HYPERLINK(".\links\CDD\AGAP004711-PA-CDD.txt","CDD")</f>
        <v>CDD</v>
      </c>
      <c r="Z106" s="2">
        <v>0</v>
      </c>
      <c r="AA106" s="2">
        <v>94.1</v>
      </c>
      <c r="AB106" s="13" t="str">
        <f>HYPERLINK(".\links\pep\AGAP004711-PA-sulf.txt","4")</f>
        <v>4</v>
      </c>
      <c r="AC106" s="13" t="str">
        <f>HYPERLINK(".\links\Sigp\AGAP004711-PA-SigP.txt","CYT")</f>
        <v>CYT</v>
      </c>
      <c r="AD106" s="2" t="s">
        <v>102</v>
      </c>
      <c r="AE106" s="2">
        <v>68.92</v>
      </c>
      <c r="AF106" s="2">
        <v>7.89</v>
      </c>
      <c r="AG106" s="2" t="s">
        <v>102</v>
      </c>
      <c r="AH106" s="2" t="s">
        <v>102</v>
      </c>
      <c r="AI106" s="2" t="s">
        <v>1295</v>
      </c>
      <c r="AJ106" s="13">
        <v>0</v>
      </c>
      <c r="AK106" s="2" t="s">
        <v>102</v>
      </c>
      <c r="AL106" s="2" t="s">
        <v>102</v>
      </c>
      <c r="AM106" s="2" t="s">
        <v>102</v>
      </c>
      <c r="AN106" s="13" t="str">
        <f>HYPERLINK(".\links\gpi\AGAP004711-PA-gpi.txt","N")</f>
        <v>N</v>
      </c>
      <c r="AO106" s="14" t="str">
        <f>HYPERLINK(".\links\netoglyc\AGAP004711-PA-netoglyc.txt","0")</f>
        <v>0</v>
      </c>
      <c r="AP106" s="13">
        <v>10.3</v>
      </c>
      <c r="AQ106" s="2">
        <v>6</v>
      </c>
      <c r="AR106" s="2">
        <v>4.9000000000000004</v>
      </c>
      <c r="AS106" s="2" t="s">
        <v>104</v>
      </c>
      <c r="AT106" s="9" t="str">
        <f>HYPERLINK(".\links\NR-LIGHT\AGAP004711-PA-NR-LIGHT.txt","AGAP004711-PA")</f>
        <v>AGAP004711-PA</v>
      </c>
      <c r="AU106" s="2" t="str">
        <f>HYPERLINK("http://www.ncbi.nlm.nih.gov/sutils/blink.cgi?pid=XP_318117.4","0.0")</f>
        <v>0.0</v>
      </c>
      <c r="AV106" s="2" t="str">
        <f>HYPERLINK("http://www.ncbi.nlm.nih.gov/protein/XP_318117.4","XP_318117.4")</f>
        <v>XP_318117.4</v>
      </c>
      <c r="AW106" s="2">
        <v>100</v>
      </c>
      <c r="AX106" s="2">
        <v>100</v>
      </c>
      <c r="AY106" s="2">
        <v>100</v>
      </c>
      <c r="AZ106" s="2" t="s">
        <v>105</v>
      </c>
      <c r="BA106" s="9" t="str">
        <f>HYPERLINK(".\links\REFSEQ-INVERTEBRATE\AGAP004711-PA-REFSEQ-INVERTEBRATE.txt","AGAP004711-PA")</f>
        <v>AGAP004711-PA</v>
      </c>
      <c r="BB106" s="2" t="str">
        <f>HYPERLINK("http://www.ncbi.nlm.nih.gov/sutils/blink.cgi?pid=XP_318117.4","0.0")</f>
        <v>0.0</v>
      </c>
      <c r="BC106" s="2" t="str">
        <f>HYPERLINK("http://www.ncbi.nlm.nih.gov/protein/XP_318117.4","XP_318117.4")</f>
        <v>XP_318117.4</v>
      </c>
      <c r="BD106" s="2">
        <v>100</v>
      </c>
      <c r="BE106" s="2">
        <v>100</v>
      </c>
      <c r="BF106" s="2">
        <v>100</v>
      </c>
      <c r="BG106" s="2" t="s">
        <v>105</v>
      </c>
      <c r="BH106" s="9" t="str">
        <f>HYPERLINK(".\links\REFSEQ-PROTOZOA\AGAP004711-PA-REFSEQ-PROTOZOA.txt","ATP-dependent RNA helicase")</f>
        <v>ATP-dependent RNA helicase</v>
      </c>
      <c r="BI106" s="2" t="str">
        <f>HYPERLINK("http://www.ncbi.nlm.nih.gov/sutils/blink.cgi?pid=XP_004346697.1","0.0")</f>
        <v>0.0</v>
      </c>
      <c r="BJ106" s="2" t="str">
        <f>HYPERLINK("http://www.ncbi.nlm.nih.gov/protein/XP_004346697.1","XP_004346697.1")</f>
        <v>XP_004346697.1</v>
      </c>
      <c r="BK106" s="2">
        <v>58</v>
      </c>
      <c r="BL106" s="2">
        <v>74</v>
      </c>
      <c r="BM106" s="2">
        <v>86</v>
      </c>
      <c r="BN106" s="2" t="s">
        <v>106</v>
      </c>
      <c r="BO106" s="9" t="str">
        <f>HYPERLINK(".\links\SWISSP\AGAP004711-PA-SWISSP.txt","ATP-dependent RNA helicase abstrakt")</f>
        <v>ATP-dependent RNA helicase abstrakt</v>
      </c>
      <c r="BP106" s="2" t="str">
        <f>HYPERLINK("http://www.uniprot.org/uniprot/Q9V3C0","0.0")</f>
        <v>0.0</v>
      </c>
      <c r="BQ106" s="2" t="str">
        <f>HYPERLINK("http://www.uniprot.org/uniprot/Q9V3C0#expression","Q9V3C0")</f>
        <v>Q9V3C0</v>
      </c>
      <c r="BR106" s="2">
        <v>78</v>
      </c>
      <c r="BS106" s="2">
        <v>88</v>
      </c>
      <c r="BT106" s="2">
        <v>100</v>
      </c>
      <c r="BU106" s="2" t="s">
        <v>107</v>
      </c>
      <c r="BV106" s="9" t="str">
        <f>HYPERLINK(".\links\FLYBASE\AGAP004711-PA-FLYBASE.txt","FBpp0078606")</f>
        <v>FBpp0078606</v>
      </c>
      <c r="BW106" s="2" t="str">
        <f>HYPERLINK("http://flybase.org/reports/FBgn0015331#alliance_summary_container","0.0")</f>
        <v>0.0</v>
      </c>
      <c r="BX106" s="2">
        <v>619</v>
      </c>
      <c r="BY106" s="2">
        <v>78</v>
      </c>
      <c r="BZ106" s="2">
        <v>88</v>
      </c>
      <c r="CA106" s="2">
        <v>100</v>
      </c>
      <c r="CB106" s="9" t="str">
        <f>HYPERLINK(".\links\CDD\AGAP004711-PA-CDD.txt","SrmB, Superfamily II DNA and RNA helicases")</f>
        <v>SrmB, Superfamily II DNA and RNA helicases</v>
      </c>
      <c r="CC106" s="15">
        <v>9.9999999999999994E-107</v>
      </c>
      <c r="CD106" s="2">
        <v>80.3</v>
      </c>
      <c r="CE106" s="2" t="s">
        <v>719</v>
      </c>
      <c r="CF106" s="2" t="s">
        <v>1296</v>
      </c>
      <c r="CG106" s="9" t="str">
        <f>HYPERLINK(".\links\KOG\AGAP004711-PA-KOG.txt","DEAD-box protein abstrakt")</f>
        <v>DEAD-box protein abstrakt</v>
      </c>
      <c r="CH106" s="15">
        <v>0</v>
      </c>
      <c r="CI106" s="2">
        <v>100</v>
      </c>
      <c r="CJ106" s="2" t="s">
        <v>1297</v>
      </c>
      <c r="CK106" s="2" t="s">
        <v>722</v>
      </c>
      <c r="CL106" s="9" t="str">
        <f>HYPERLINK(".\links\PFAM\AGAP004711-PA-PFAM.txt","DEAD, DEAD/DEAH box helicase")</f>
        <v>DEAD, DEAD/DEAH box helicase</v>
      </c>
      <c r="CM106" s="15">
        <v>9.9999999999999993E-41</v>
      </c>
      <c r="CN106" s="2">
        <v>109.7</v>
      </c>
      <c r="CO106" s="2" t="s">
        <v>723</v>
      </c>
      <c r="CP106" s="9" t="str">
        <f>HYPERLINK(".\links\SMART\AGAP004711-PA-SMART.txt","DEXDc, DEAD-like helicases superfamily")</f>
        <v>DEXDc, DEAD-like helicases superfamily</v>
      </c>
      <c r="CQ106" s="15">
        <v>3.0000000000000002E-40</v>
      </c>
      <c r="CR106" s="2">
        <v>103.5</v>
      </c>
      <c r="CS106" s="2" t="s">
        <v>429</v>
      </c>
      <c r="CT106" s="2" t="s">
        <v>1293</v>
      </c>
      <c r="CU106" s="2" t="s">
        <v>1293</v>
      </c>
      <c r="CV106" s="2" t="s">
        <v>1293</v>
      </c>
      <c r="CW106" s="2" t="str">
        <f>HYPERLINK(".\links\pep\AGAP004711-PA-pep.txt","AGAP004711-PA")</f>
        <v>AGAP004711-PA</v>
      </c>
      <c r="CX106" s="2" t="s">
        <v>95</v>
      </c>
      <c r="CY106" s="2">
        <v>613</v>
      </c>
      <c r="CZ106" s="2" t="s">
        <v>113</v>
      </c>
      <c r="DA106" s="2" t="s">
        <v>1298</v>
      </c>
      <c r="DB106" s="2">
        <v>0</v>
      </c>
      <c r="DC106" s="2">
        <v>1</v>
      </c>
      <c r="DD106" s="2" t="str">
        <f>HYPERLINK("https://www.kegg.jp/kegg-bin/search_pathway_text?map=aga&amp;keyword=AGAP004711&amp;mode=1&amp;viewImage=true","AGAP004711")</f>
        <v>AGAP004711</v>
      </c>
      <c r="DE106" s="2" t="s">
        <v>1290</v>
      </c>
      <c r="DF106" s="2" t="s">
        <v>1291</v>
      </c>
      <c r="DG106" s="2" t="s">
        <v>94</v>
      </c>
      <c r="DH106" s="2" t="str">
        <f>HYPERLINK("https://vectorbase.org/vectorbase/app/record/gene/AGAP004711","AGAP004711-RA")</f>
        <v>AGAP004711-RA</v>
      </c>
      <c r="DI106" s="2" t="s">
        <v>135</v>
      </c>
      <c r="DJ106" s="2">
        <v>2001</v>
      </c>
      <c r="DK106" s="2" t="str">
        <f>HYPERLINK(".\links\netoglyc\AGAP004711-PA-netoglyc.txt","0")</f>
        <v>0</v>
      </c>
      <c r="DL106" s="2">
        <v>10.3</v>
      </c>
      <c r="DM106" s="2">
        <v>6</v>
      </c>
      <c r="DN106" s="2">
        <v>4.9000000000000004</v>
      </c>
      <c r="DO106" s="2" t="s">
        <v>104</v>
      </c>
      <c r="DP106" s="2" t="s">
        <v>1299</v>
      </c>
      <c r="DQ106" s="2" t="str">
        <f>HYPERLINK(".\links\Sigp\AGAP004711-PA-SigP.txt","CYT")</f>
        <v>CYT</v>
      </c>
      <c r="DR106" s="2" t="s">
        <v>102</v>
      </c>
      <c r="DS106" s="2">
        <v>68.92</v>
      </c>
      <c r="DT106" s="2">
        <v>7.89</v>
      </c>
      <c r="DU106" s="2" t="s">
        <v>102</v>
      </c>
      <c r="DV106" s="2" t="s">
        <v>102</v>
      </c>
      <c r="DW106" s="2" t="s">
        <v>1295</v>
      </c>
      <c r="DX106" s="2">
        <v>613</v>
      </c>
      <c r="DY106" s="12">
        <v>0</v>
      </c>
      <c r="DZ106" s="2" t="s">
        <v>102</v>
      </c>
      <c r="EA106" s="2" t="s">
        <v>102</v>
      </c>
      <c r="EB106" s="2" t="s">
        <v>102</v>
      </c>
      <c r="EC106" s="2" t="str">
        <f>HYPERLINK(".\links\gpi\AGAP004711-PA-gpi.txt","Y-NoSP")</f>
        <v>Y-NoSP</v>
      </c>
      <c r="ED106" s="2">
        <v>0.19</v>
      </c>
      <c r="EF106" s="2">
        <v>10</v>
      </c>
      <c r="EG106" s="2" t="str">
        <f>HYPERLINK(".\links\pep\AGAP004711-PA-sulf.txt","4")</f>
        <v>4</v>
      </c>
      <c r="EH106" s="2" t="s">
        <v>102</v>
      </c>
      <c r="EI106" s="2">
        <v>10.2773246329527</v>
      </c>
      <c r="EJ106" s="2">
        <v>4.8939641109298497</v>
      </c>
      <c r="EK106" s="2">
        <v>6.03588907014682</v>
      </c>
      <c r="EL106" s="2">
        <v>10.9298531810767</v>
      </c>
      <c r="EM106" s="2" t="s">
        <v>102</v>
      </c>
      <c r="EN106" s="2">
        <v>5</v>
      </c>
      <c r="EO106" s="2">
        <v>5</v>
      </c>
      <c r="EP106" s="2" t="s">
        <v>102</v>
      </c>
      <c r="EQ106" s="2" t="s">
        <v>102</v>
      </c>
      <c r="ER106" s="2" t="s">
        <v>102</v>
      </c>
      <c r="ES106" s="2" t="s">
        <v>102</v>
      </c>
      <c r="ET106" s="2" t="str">
        <f>HYPERLINK(".\links\REFSEQ-INVERTEBRATE\AGAP004711-PA-REFSEQ-INVERTEBRATE.txt","AGAP004711-PA")</f>
        <v>AGAP004711-PA</v>
      </c>
      <c r="EU106" s="2" t="str">
        <f>HYPERLINK("http://www.ncbi.nlm.nih.gov/sutils/blink.cgi?pid=XP_318117.4","0.0")</f>
        <v>0.0</v>
      </c>
      <c r="EV106" s="2" t="str">
        <f>HYPERLINK("http://www.ncbi.nlm.nih.gov/protein/XP_318117.4","XP_318117.4")</f>
        <v>XP_318117.4</v>
      </c>
      <c r="EW106" s="2">
        <v>100</v>
      </c>
      <c r="EX106" s="2">
        <v>100</v>
      </c>
      <c r="EY106" s="2">
        <v>100</v>
      </c>
      <c r="EZ106" s="2" t="s">
        <v>105</v>
      </c>
    </row>
    <row r="107" spans="1:156" x14ac:dyDescent="0.25">
      <c r="A107" s="2" t="s">
        <v>1300</v>
      </c>
      <c r="B107" s="2">
        <v>0.37165311265235501</v>
      </c>
      <c r="C107" s="2">
        <f t="shared" si="1"/>
        <v>1.2938345223483656</v>
      </c>
      <c r="D107" s="2">
        <v>6.6319242783810699</v>
      </c>
      <c r="E107" s="2">
        <v>10.387927881906601</v>
      </c>
      <c r="F107" s="2">
        <v>1.2684189044439901E-3</v>
      </c>
      <c r="G107" s="2">
        <v>3.5909067121466701E-2</v>
      </c>
      <c r="H107" s="2" t="s">
        <v>93</v>
      </c>
      <c r="I107" s="2" t="s">
        <v>94</v>
      </c>
      <c r="J107" s="2" t="str">
        <f>HYPERLINK("https://vectorbase.org/vectorbase/app/record/gene/AGAP012521","AGAP012521-RA")</f>
        <v>AGAP012521-RA</v>
      </c>
      <c r="K107" s="2" t="str">
        <f>HYPERLINK(".\links\pep\AGAP012521-PA-pep.txt","AGAP012521-PA")</f>
        <v>AGAP012521-PA</v>
      </c>
      <c r="L107" s="12" t="s">
        <v>95</v>
      </c>
      <c r="M107" s="2">
        <v>661</v>
      </c>
      <c r="N107" s="2">
        <v>0</v>
      </c>
      <c r="O107" s="2">
        <v>1</v>
      </c>
      <c r="P107" s="2" t="s">
        <v>102</v>
      </c>
      <c r="Q107" s="9" t="s">
        <v>1301</v>
      </c>
      <c r="R107" s="2" t="s">
        <v>196</v>
      </c>
      <c r="S107" s="2" t="str">
        <f>HYPERLINK(".\links\REFSEQ-INVERTEBRATE\AGAP012521-PA-REFSEQ-INVERTEBRATE.txt","REFSEQ-INVERTEBRATE")</f>
        <v>REFSEQ-INVERTEBRATE</v>
      </c>
      <c r="T107" s="2">
        <v>0</v>
      </c>
      <c r="U107" s="2">
        <v>100</v>
      </c>
      <c r="V107" s="2" t="s">
        <v>1301</v>
      </c>
      <c r="W107" s="10" t="s">
        <v>1302</v>
      </c>
      <c r="X107" s="2" t="s">
        <v>771</v>
      </c>
      <c r="Y107" s="2" t="str">
        <f>HYPERLINK(".\links\UNIPROTKB\AGAP012521-PA-UNIPROTKB.txt","UNIPROTKB")</f>
        <v>UNIPROTKB</v>
      </c>
      <c r="Z107" s="15">
        <v>6.9999999999999997E-32</v>
      </c>
      <c r="AA107" s="2">
        <v>79</v>
      </c>
      <c r="AB107" s="13" t="str">
        <f>HYPERLINK(".\links\pep\AGAP012521-PA-sulf.txt","1")</f>
        <v>1</v>
      </c>
      <c r="AC107" s="13" t="str">
        <f>HYPERLINK(".\links\Sigp\AGAP012521-PA-SigP.txt","CYT")</f>
        <v>CYT</v>
      </c>
      <c r="AD107" s="2" t="s">
        <v>102</v>
      </c>
      <c r="AE107" s="2">
        <v>76.239999999999995</v>
      </c>
      <c r="AF107" s="2">
        <v>5.86</v>
      </c>
      <c r="AG107" s="2" t="s">
        <v>102</v>
      </c>
      <c r="AH107" s="2" t="s">
        <v>102</v>
      </c>
      <c r="AI107" s="2" t="s">
        <v>211</v>
      </c>
      <c r="AJ107" s="13">
        <v>0</v>
      </c>
      <c r="AK107" s="2" t="s">
        <v>102</v>
      </c>
      <c r="AL107" s="2" t="s">
        <v>102</v>
      </c>
      <c r="AM107" s="2" t="s">
        <v>102</v>
      </c>
      <c r="AN107" s="13" t="str">
        <f>HYPERLINK(".\links\gpi\AGAP012521-PA-gpi.txt","N")</f>
        <v>N</v>
      </c>
      <c r="AO107" s="14" t="str">
        <f>HYPERLINK(".\links\netoglyc\AGAP012521-PA-netoglyc.txt","0")</f>
        <v>0</v>
      </c>
      <c r="AP107" s="13">
        <v>12.9</v>
      </c>
      <c r="AQ107" s="2">
        <v>2.7</v>
      </c>
      <c r="AR107" s="2">
        <v>1.5</v>
      </c>
      <c r="AS107" s="2" t="s">
        <v>104</v>
      </c>
      <c r="AT107" s="9" t="str">
        <f>HYPERLINK(".\links\NR-LIGHT\AGAP012521-PA-NR-LIGHT.txt","AGAP012521-PA")</f>
        <v>AGAP012521-PA</v>
      </c>
      <c r="AU107" s="2" t="str">
        <f>HYPERLINK("http://www.ncbi.nlm.nih.gov/sutils/blink.cgi?pid=XP_313518.4","0.0")</f>
        <v>0.0</v>
      </c>
      <c r="AV107" s="2" t="str">
        <f>HYPERLINK("http://www.ncbi.nlm.nih.gov/protein/XP_313518.4","XP_313518.4")</f>
        <v>XP_313518.4</v>
      </c>
      <c r="AW107" s="2">
        <v>100</v>
      </c>
      <c r="AX107" s="2">
        <v>100</v>
      </c>
      <c r="AY107" s="2">
        <v>100</v>
      </c>
      <c r="AZ107" s="2" t="s">
        <v>105</v>
      </c>
      <c r="BA107" s="9" t="str">
        <f>HYPERLINK(".\links\REFSEQ-INVERTEBRATE\AGAP012521-PA-REFSEQ-INVERTEBRATE.txt","AGAP012521-PA")</f>
        <v>AGAP012521-PA</v>
      </c>
      <c r="BB107" s="2" t="str">
        <f>HYPERLINK("http://www.ncbi.nlm.nih.gov/sutils/blink.cgi?pid=XP_313518.4","0.0")</f>
        <v>0.0</v>
      </c>
      <c r="BC107" s="2" t="str">
        <f>HYPERLINK("http://www.ncbi.nlm.nih.gov/protein/XP_313518.4","XP_313518.4")</f>
        <v>XP_313518.4</v>
      </c>
      <c r="BD107" s="2">
        <v>100</v>
      </c>
      <c r="BE107" s="2">
        <v>100</v>
      </c>
      <c r="BF107" s="2">
        <v>100</v>
      </c>
      <c r="BG107" s="2" t="s">
        <v>105</v>
      </c>
      <c r="BH107" s="9" t="str">
        <f>HYPERLINK(".\links\REFSEQ-PROTOZOA\AGAP012521-PA-REFSEQ-PROTOZOA.txt","hypothetical protein TTHERM_00561660")</f>
        <v>hypothetical protein TTHERM_00561660</v>
      </c>
      <c r="BI107" s="2" t="str">
        <f>HYPERLINK("http://www.ncbi.nlm.nih.gov/sutils/blink.cgi?pid=XP_001010219.2","6E-020")</f>
        <v>6E-020</v>
      </c>
      <c r="BJ107" s="2" t="str">
        <f>HYPERLINK("http://www.ncbi.nlm.nih.gov/protein/XP_001010219.2","XP_001010219.2")</f>
        <v>XP_001010219.2</v>
      </c>
      <c r="BK107" s="2">
        <v>20</v>
      </c>
      <c r="BL107" s="2">
        <v>43</v>
      </c>
      <c r="BM107" s="2">
        <v>43</v>
      </c>
      <c r="BN107" s="2" t="s">
        <v>539</v>
      </c>
      <c r="BO107" s="9" t="str">
        <f>HYPERLINK(".\links\SWISSP\AGAP012521-PA-SWISSP.txt","GRIP and coiled-coil domain-containing protein 1")</f>
        <v>GRIP and coiled-coil domain-containing protein 1</v>
      </c>
      <c r="BP107" s="2" t="str">
        <f>HYPERLINK("http://www.uniprot.org/uniprot/Q96CN9","2E-048")</f>
        <v>2E-048</v>
      </c>
      <c r="BQ107" s="2" t="str">
        <f>HYPERLINK("http://www.uniprot.org/uniprot/Q96CN9#expression","Q96CN9")</f>
        <v>Q96CN9</v>
      </c>
      <c r="BR107" s="2">
        <v>26</v>
      </c>
      <c r="BS107" s="2">
        <v>47</v>
      </c>
      <c r="BT107" s="2">
        <v>78</v>
      </c>
      <c r="BU107" s="2" t="s">
        <v>127</v>
      </c>
      <c r="BV107" s="9" t="str">
        <f>HYPERLINK(".\links\FLYBASE\AGAP012521-PA-FLYBASE.txt","FBpp0081842")</f>
        <v>FBpp0081842</v>
      </c>
      <c r="BW107" s="2" t="str">
        <f>HYPERLINK("http://flybase.org/reports/FBgn0037881#alliance_summary_container","1E-95")</f>
        <v>1E-95</v>
      </c>
      <c r="BX107" s="2">
        <v>695</v>
      </c>
      <c r="BY107" s="2">
        <v>32</v>
      </c>
      <c r="BZ107" s="2">
        <v>56</v>
      </c>
      <c r="CA107" s="2">
        <v>99</v>
      </c>
      <c r="CB107" s="9" t="str">
        <f>HYPERLINK(".\links\CDD\AGAP012521-PA-CDD.txt","GRIP, GRIP domain")</f>
        <v>GRIP, GRIP domain</v>
      </c>
      <c r="CC107" s="15">
        <v>2.0000000000000001E-9</v>
      </c>
      <c r="CD107" s="2">
        <v>100</v>
      </c>
      <c r="CE107" s="2" t="s">
        <v>1303</v>
      </c>
      <c r="CF107" s="2" t="s">
        <v>1304</v>
      </c>
      <c r="CG107" s="9" t="str">
        <f>HYPERLINK(".\links\KOG\AGAP012521-PA-KOG.txt","coiled-coil containing protein kinase")</f>
        <v>coiled-coil containing protein kinase</v>
      </c>
      <c r="CH107" s="15">
        <v>2.0000000000000002E-5</v>
      </c>
      <c r="CI107" s="2">
        <v>30.8</v>
      </c>
      <c r="CJ107" s="2" t="s">
        <v>1305</v>
      </c>
      <c r="CK107" s="2" t="s">
        <v>173</v>
      </c>
      <c r="CL107" s="9" t="str">
        <f>HYPERLINK(".\links\PFAM\AGAP012521-PA-PFAM.txt","GRIP, GRIP domain")</f>
        <v>GRIP, GRIP domain</v>
      </c>
      <c r="CM107" s="15">
        <v>3E-10</v>
      </c>
      <c r="CN107" s="2">
        <v>100</v>
      </c>
      <c r="CO107" s="2" t="s">
        <v>1303</v>
      </c>
      <c r="CP107" s="9" t="str">
        <f>HYPERLINK(".\links\SMART\AGAP012521-PA-SMART.txt","Grip, golgin-97, RanBP2alpha,Imh1p and p230/golgin-245")</f>
        <v>Grip, golgin-97, RanBP2alpha,Imh1p and p230/golgin-245</v>
      </c>
      <c r="CQ107" s="15">
        <v>1.9999999999999999E-6</v>
      </c>
      <c r="CR107" s="2">
        <v>100</v>
      </c>
      <c r="CS107" s="2" t="s">
        <v>1306</v>
      </c>
      <c r="CT107" s="2" t="s">
        <v>1301</v>
      </c>
      <c r="CU107" s="2" t="s">
        <v>1301</v>
      </c>
      <c r="CV107" s="2" t="s">
        <v>1301</v>
      </c>
      <c r="CW107" s="2" t="str">
        <f>HYPERLINK(".\links\pep\AGAP012521-PA-pep.txt","AGAP012521-PA")</f>
        <v>AGAP012521-PA</v>
      </c>
      <c r="CX107" s="2" t="s">
        <v>95</v>
      </c>
      <c r="CY107" s="2">
        <v>661</v>
      </c>
      <c r="CZ107" s="2" t="s">
        <v>113</v>
      </c>
      <c r="DA107" s="2" t="s">
        <v>1307</v>
      </c>
      <c r="DB107" s="2">
        <v>0</v>
      </c>
      <c r="DC107" s="2">
        <v>1</v>
      </c>
      <c r="DD107" s="2" t="str">
        <f>HYPERLINK("https://www.kegg.jp/kegg-bin/search_pathway_text?map=aga&amp;keyword=AGAP012521&amp;mode=1&amp;viewImage=true","AGAP012521")</f>
        <v>AGAP012521</v>
      </c>
      <c r="DE107" s="2" t="s">
        <v>1300</v>
      </c>
      <c r="DF107" s="2" t="s">
        <v>93</v>
      </c>
      <c r="DG107" s="2" t="s">
        <v>94</v>
      </c>
      <c r="DH107" s="2" t="str">
        <f>HYPERLINK("https://vectorbase.org/vectorbase/app/record/gene/AGAP012521","AGAP012521-RA")</f>
        <v>AGAP012521-RA</v>
      </c>
      <c r="DI107" s="2" t="s">
        <v>135</v>
      </c>
      <c r="DJ107" s="2">
        <v>2048</v>
      </c>
      <c r="DK107" s="2" t="str">
        <f>HYPERLINK(".\links\netoglyc\AGAP012521-PA-netoglyc.txt","0")</f>
        <v>0</v>
      </c>
      <c r="DL107" s="2">
        <v>12.9</v>
      </c>
      <c r="DM107" s="2">
        <v>2.7</v>
      </c>
      <c r="DN107" s="2">
        <v>1.5</v>
      </c>
      <c r="DO107" s="2" t="s">
        <v>104</v>
      </c>
      <c r="DP107" s="2" t="s">
        <v>1308</v>
      </c>
      <c r="DQ107" s="2" t="str">
        <f>HYPERLINK(".\links\Sigp\AGAP012521-PA-SigP.txt","CYT")</f>
        <v>CYT</v>
      </c>
      <c r="DR107" s="2" t="s">
        <v>102</v>
      </c>
      <c r="DS107" s="2">
        <v>76.239999999999995</v>
      </c>
      <c r="DT107" s="2">
        <v>5.86</v>
      </c>
      <c r="DU107" s="2" t="s">
        <v>102</v>
      </c>
      <c r="DV107" s="2" t="s">
        <v>102</v>
      </c>
      <c r="DW107" s="2" t="s">
        <v>211</v>
      </c>
      <c r="DX107" s="2">
        <v>661</v>
      </c>
      <c r="DY107" s="12">
        <v>0</v>
      </c>
      <c r="DZ107" s="2" t="s">
        <v>102</v>
      </c>
      <c r="EA107" s="2" t="s">
        <v>102</v>
      </c>
      <c r="EB107" s="2" t="s">
        <v>102</v>
      </c>
      <c r="EC107" s="2" t="str">
        <f>HYPERLINK(".\links\gpi\AGAP012521-PA-gpi.txt","N")</f>
        <v>N</v>
      </c>
      <c r="ED107" s="2">
        <v>0.35</v>
      </c>
      <c r="EF107" s="2">
        <v>4</v>
      </c>
      <c r="EG107" s="2" t="str">
        <f>HYPERLINK(".\links\pep\AGAP012521-PA-sulf.txt","1")</f>
        <v>1</v>
      </c>
      <c r="EH107" s="2" t="s">
        <v>102</v>
      </c>
      <c r="EI107" s="2">
        <v>12.859304084720099</v>
      </c>
      <c r="EJ107" s="2">
        <v>1.51285930408472</v>
      </c>
      <c r="EK107" s="2">
        <v>2.7231467473525002</v>
      </c>
      <c r="EL107" s="2">
        <v>4.2360060514372204</v>
      </c>
      <c r="EM107" s="2" t="s">
        <v>102</v>
      </c>
      <c r="EN107" s="2">
        <v>2</v>
      </c>
      <c r="EO107" s="2">
        <v>2</v>
      </c>
      <c r="EP107" s="2" t="s">
        <v>102</v>
      </c>
      <c r="EQ107" s="2" t="s">
        <v>102</v>
      </c>
      <c r="ER107" s="2" t="s">
        <v>102</v>
      </c>
      <c r="ES107" s="2" t="s">
        <v>102</v>
      </c>
      <c r="ET107" s="2" t="str">
        <f>HYPERLINK(".\links\REFSEQ-INVERTEBRATE\AGAP012521-PA-REFSEQ-INVERTEBRATE.txt","AGAP012521-PA")</f>
        <v>AGAP012521-PA</v>
      </c>
      <c r="EU107" s="2" t="str">
        <f>HYPERLINK("http://www.ncbi.nlm.nih.gov/sutils/blink.cgi?pid=XP_313518.4","0.0")</f>
        <v>0.0</v>
      </c>
      <c r="EV107" s="2" t="str">
        <f>HYPERLINK("http://www.ncbi.nlm.nih.gov/protein/XP_313518.4","XP_313518.4")</f>
        <v>XP_313518.4</v>
      </c>
      <c r="EW107" s="2">
        <v>100</v>
      </c>
      <c r="EX107" s="2">
        <v>100</v>
      </c>
      <c r="EY107" s="2">
        <v>100</v>
      </c>
      <c r="EZ107" s="2" t="s">
        <v>105</v>
      </c>
    </row>
    <row r="108" spans="1:156" x14ac:dyDescent="0.25">
      <c r="A108" s="2" t="s">
        <v>1309</v>
      </c>
      <c r="B108" s="2">
        <v>0.37128242810033102</v>
      </c>
      <c r="C108" s="2">
        <f t="shared" si="1"/>
        <v>1.29350212856627</v>
      </c>
      <c r="D108" s="2">
        <v>6.8309288371371002</v>
      </c>
      <c r="E108" s="2">
        <v>11.1524952538458</v>
      </c>
      <c r="F108" s="2">
        <v>8.3918719494567497E-4</v>
      </c>
      <c r="G108" s="2">
        <v>3.0183174475144601E-2</v>
      </c>
      <c r="H108" s="2" t="s">
        <v>503</v>
      </c>
      <c r="I108" s="2" t="s">
        <v>88</v>
      </c>
      <c r="J108" s="8" t="s">
        <v>504</v>
      </c>
      <c r="Q108" s="9"/>
      <c r="W108" s="10"/>
      <c r="AB108" s="9"/>
      <c r="AC108" s="9"/>
      <c r="AJ108" s="9"/>
      <c r="AN108" s="9"/>
      <c r="AO108" s="11"/>
      <c r="AP108" s="9"/>
      <c r="AT108" s="9"/>
      <c r="BA108" s="9"/>
      <c r="BH108" s="9"/>
      <c r="BO108" s="9"/>
      <c r="BV108" s="9"/>
      <c r="CB108" s="9"/>
      <c r="CG108" s="9"/>
      <c r="CL108" s="9"/>
      <c r="CP108" s="9"/>
      <c r="DE108" s="2" t="s">
        <v>1309</v>
      </c>
      <c r="DF108" s="2" t="s">
        <v>503</v>
      </c>
      <c r="DG108" s="2" t="s">
        <v>88</v>
      </c>
      <c r="DH108" s="8" t="s">
        <v>504</v>
      </c>
      <c r="DI108" s="2" t="s">
        <v>135</v>
      </c>
      <c r="DJ108" s="2">
        <v>2092</v>
      </c>
      <c r="DQ108" s="2" t="s">
        <v>141</v>
      </c>
      <c r="DS108" s="2">
        <v>55335</v>
      </c>
      <c r="DT108" s="2">
        <v>8.74</v>
      </c>
      <c r="DX108" s="2">
        <v>483</v>
      </c>
      <c r="DY108" s="12"/>
    </row>
    <row r="109" spans="1:156" x14ac:dyDescent="0.25">
      <c r="A109" s="2" t="s">
        <v>1310</v>
      </c>
      <c r="B109" s="2">
        <v>0.36890441523105799</v>
      </c>
      <c r="C109" s="2">
        <f t="shared" si="1"/>
        <v>1.291371788517147</v>
      </c>
      <c r="D109" s="2">
        <v>7.5026498221437299</v>
      </c>
      <c r="E109" s="2">
        <v>9.1238541765600605</v>
      </c>
      <c r="F109" s="2">
        <v>2.5229785739349299E-3</v>
      </c>
      <c r="G109" s="2">
        <v>4.6810324315669602E-2</v>
      </c>
      <c r="H109" s="2" t="s">
        <v>1311</v>
      </c>
      <c r="I109" s="2" t="s">
        <v>94</v>
      </c>
      <c r="J109" s="2" t="str">
        <f>HYPERLINK("https://vectorbase.org/vectorbase/app/record/gene/AGAP012516","AGAP012516-RA")</f>
        <v>AGAP012516-RA</v>
      </c>
      <c r="K109" s="2" t="str">
        <f>HYPERLINK(".\links\pep\AGAP012516-PA-pep.txt","AGAP012516-PA")</f>
        <v>AGAP012516-PA</v>
      </c>
      <c r="L109" s="12" t="s">
        <v>95</v>
      </c>
      <c r="M109" s="2">
        <v>742</v>
      </c>
      <c r="N109" s="2">
        <v>0</v>
      </c>
      <c r="O109" s="2">
        <v>3</v>
      </c>
      <c r="P109" s="2" t="s">
        <v>1312</v>
      </c>
      <c r="Q109" s="9" t="s">
        <v>1313</v>
      </c>
      <c r="R109" s="2" t="s">
        <v>420</v>
      </c>
      <c r="S109" s="2" t="str">
        <f>HYPERLINK(".\links\KOG\AGAP012516-PA-KOG.txt","KOG")</f>
        <v>KOG</v>
      </c>
      <c r="T109" s="2">
        <v>0</v>
      </c>
      <c r="U109" s="2">
        <v>104.4</v>
      </c>
      <c r="V109" s="2" t="s">
        <v>1314</v>
      </c>
      <c r="W109" s="10" t="s">
        <v>1315</v>
      </c>
      <c r="X109" s="2" t="s">
        <v>388</v>
      </c>
      <c r="Y109" s="2" t="str">
        <f>HYPERLINK(".\links\REFSEQVERTEBRATE95\AGAP012516-PA-REFSEQVERTEBRATE95.txt","REFSEQVERTEBRATE95")</f>
        <v>REFSEQVERTEBRATE95</v>
      </c>
      <c r="Z109" s="2">
        <v>0</v>
      </c>
      <c r="AA109" s="2">
        <v>100</v>
      </c>
      <c r="AB109" s="13" t="s">
        <v>102</v>
      </c>
      <c r="AC109" s="13" t="str">
        <f>HYPERLINK(".\links\Sigp\AGAP012516-PA-SigP.txt","CYT")</f>
        <v>CYT</v>
      </c>
      <c r="AD109" s="2" t="s">
        <v>102</v>
      </c>
      <c r="AE109" s="2">
        <v>84.98</v>
      </c>
      <c r="AF109" s="2">
        <v>7.22</v>
      </c>
      <c r="AG109" s="2" t="s">
        <v>102</v>
      </c>
      <c r="AH109" s="2" t="s">
        <v>102</v>
      </c>
      <c r="AI109" s="2" t="s">
        <v>482</v>
      </c>
      <c r="AJ109" s="13">
        <v>0</v>
      </c>
      <c r="AK109" s="2" t="s">
        <v>102</v>
      </c>
      <c r="AL109" s="2" t="s">
        <v>102</v>
      </c>
      <c r="AM109" s="2" t="s">
        <v>102</v>
      </c>
      <c r="AN109" s="13" t="str">
        <f>HYPERLINK(".\links\gpi\AGAP012516-PA-gpi.txt","N")</f>
        <v>N</v>
      </c>
      <c r="AO109" s="14" t="str">
        <f>HYPERLINK(".\links\netoglyc\AGAP012516-PA-netoglyc.txt","0")</f>
        <v>0</v>
      </c>
      <c r="AP109" s="13">
        <v>10.6</v>
      </c>
      <c r="AQ109" s="2">
        <v>4.4000000000000004</v>
      </c>
      <c r="AR109" s="2">
        <v>4.9000000000000004</v>
      </c>
      <c r="AS109" s="2" t="s">
        <v>104</v>
      </c>
      <c r="AT109" s="9" t="str">
        <f>HYPERLINK(".\links\NR-LIGHT\AGAP012516-PA-NR-LIGHT.txt","AGAP012516-PA")</f>
        <v>AGAP012516-PA</v>
      </c>
      <c r="AU109" s="2" t="str">
        <f>HYPERLINK("http://www.ncbi.nlm.nih.gov/sutils/blink.cgi?pid=XP_307419.2","0.0")</f>
        <v>0.0</v>
      </c>
      <c r="AV109" s="2" t="str">
        <f>HYPERLINK("http://www.ncbi.nlm.nih.gov/protein/XP_307419.2","XP_307419.2")</f>
        <v>XP_307419.2</v>
      </c>
      <c r="AW109" s="2">
        <v>100</v>
      </c>
      <c r="AX109" s="2">
        <v>100</v>
      </c>
      <c r="AY109" s="2">
        <v>100</v>
      </c>
      <c r="AZ109" s="2" t="s">
        <v>105</v>
      </c>
      <c r="BA109" s="9" t="str">
        <f>HYPERLINK(".\links\REFSEQ-INVERTEBRATE\AGAP012516-PA-REFSEQ-INVERTEBRATE.txt","AGAP012516-PA")</f>
        <v>AGAP012516-PA</v>
      </c>
      <c r="BB109" s="2" t="str">
        <f>HYPERLINK("http://www.ncbi.nlm.nih.gov/sutils/blink.cgi?pid=XP_307419.2","0.0")</f>
        <v>0.0</v>
      </c>
      <c r="BC109" s="2" t="str">
        <f>HYPERLINK("http://www.ncbi.nlm.nih.gov/protein/XP_307419.2","XP_307419.2")</f>
        <v>XP_307419.2</v>
      </c>
      <c r="BD109" s="2">
        <v>100</v>
      </c>
      <c r="BE109" s="2">
        <v>100</v>
      </c>
      <c r="BF109" s="2">
        <v>100</v>
      </c>
      <c r="BG109" s="2" t="s">
        <v>105</v>
      </c>
      <c r="BH109" s="9" t="str">
        <f>HYPERLINK(".\links\REFSEQ-PROTOZOA\AGAP012516-PA-REFSEQ-PROTOZOA.txt","set-domain-containing protein")</f>
        <v>set-domain-containing protein</v>
      </c>
      <c r="BI109" s="2" t="str">
        <f>HYPERLINK("http://www.ncbi.nlm.nih.gov/sutils/blink.cgi?pid=XP_004992157.1","8E-090")</f>
        <v>8E-090</v>
      </c>
      <c r="BJ109" s="2" t="str">
        <f>HYPERLINK("http://www.ncbi.nlm.nih.gov/protein/XP_004992157.1","XP_004992157.1")</f>
        <v>XP_004992157.1</v>
      </c>
      <c r="BK109" s="2">
        <v>66</v>
      </c>
      <c r="BL109" s="2">
        <v>79</v>
      </c>
      <c r="BM109" s="2">
        <v>45</v>
      </c>
      <c r="BN109" s="2" t="s">
        <v>435</v>
      </c>
      <c r="BO109" s="9" t="str">
        <f>HYPERLINK(".\links\SWISSP\AGAP012516-PA-SWISSP.txt","Histone-lysine N-methyltransferase E(z)")</f>
        <v>Histone-lysine N-methyltransferase E(z)</v>
      </c>
      <c r="BP109" s="2" t="str">
        <f>HYPERLINK("http://www.uniprot.org/uniprot/P42124","0.0")</f>
        <v>0.0</v>
      </c>
      <c r="BQ109" s="2" t="str">
        <f>HYPERLINK("http://www.uniprot.org/uniprot/P42124#expression","P42124")</f>
        <v>P42124</v>
      </c>
      <c r="BR109" s="2">
        <v>63</v>
      </c>
      <c r="BS109" s="2">
        <v>73</v>
      </c>
      <c r="BT109" s="2">
        <v>102</v>
      </c>
      <c r="BU109" s="2" t="s">
        <v>107</v>
      </c>
      <c r="BV109" s="9" t="str">
        <f>HYPERLINK(".\links\FLYBASE\AGAP012516-PA-FLYBASE.txt","FBpp0271846")</f>
        <v>FBpp0271846</v>
      </c>
      <c r="BW109" s="2" t="str">
        <f>HYPERLINK("http://flybase.org/reports/FBgn0000629#alliance_summary_container","0.0")</f>
        <v>0.0</v>
      </c>
      <c r="BX109" s="2">
        <v>760</v>
      </c>
      <c r="BY109" s="2">
        <v>61</v>
      </c>
      <c r="BZ109" s="2">
        <v>73</v>
      </c>
      <c r="CA109" s="2">
        <v>102</v>
      </c>
      <c r="CB109" s="9" t="str">
        <f>HYPERLINK(".\links\CDD\AGAP012516-PA-CDD.txt","SET, SET (Su(var)3-9, Enhancer-of-zeste, Trithorax) domain")</f>
        <v>SET, SET (Su(var)3-9, Enhancer-of-zeste, Trithorax) domain</v>
      </c>
      <c r="CC109" s="15">
        <v>6.0000000000000003E-36</v>
      </c>
      <c r="CD109" s="2">
        <v>96</v>
      </c>
      <c r="CE109" s="2" t="s">
        <v>487</v>
      </c>
      <c r="CF109" s="2" t="s">
        <v>1316</v>
      </c>
      <c r="CG109" s="9" t="str">
        <f>HYPERLINK(".\links\KOG\AGAP012516-PA-KOG.txt","Transcriptional repressor EZH1")</f>
        <v>Transcriptional repressor EZH1</v>
      </c>
      <c r="CH109" s="15">
        <v>0</v>
      </c>
      <c r="CI109" s="2">
        <v>104.5</v>
      </c>
      <c r="CJ109" s="2" t="s">
        <v>1317</v>
      </c>
      <c r="CK109" s="2" t="s">
        <v>309</v>
      </c>
      <c r="CL109" s="9" t="str">
        <f>HYPERLINK(".\links\PFAM\AGAP012516-PA-PFAM.txt","SET, SET domain")</f>
        <v>SET, SET domain</v>
      </c>
      <c r="CM109" s="15">
        <v>5.9999999999999999E-24</v>
      </c>
      <c r="CN109" s="2">
        <v>99.1</v>
      </c>
      <c r="CO109" s="2" t="s">
        <v>1318</v>
      </c>
      <c r="CP109" s="9" t="str">
        <f>HYPERLINK(".\links\SMART\AGAP012516-PA-SMART.txt","SET, SET (Su(var)3-9, Enhancer-of-zeste, Trithorax) domain")</f>
        <v>SET, SET (Su(var)3-9, Enhancer-of-zeste, Trithorax) domain</v>
      </c>
      <c r="CQ109" s="15">
        <v>5.0000000000000003E-38</v>
      </c>
      <c r="CR109" s="2">
        <v>96</v>
      </c>
      <c r="CS109" s="2" t="s">
        <v>487</v>
      </c>
      <c r="CT109" s="2" t="s">
        <v>1314</v>
      </c>
      <c r="CU109" s="2" t="s">
        <v>1314</v>
      </c>
      <c r="CV109" s="2" t="s">
        <v>1314</v>
      </c>
      <c r="CW109" s="2" t="str">
        <f>HYPERLINK(".\links\pep\AGAP012516-PA-pep.txt","AGAP012516-PA")</f>
        <v>AGAP012516-PA</v>
      </c>
      <c r="CX109" s="2" t="s">
        <v>95</v>
      </c>
      <c r="CY109" s="2">
        <v>742</v>
      </c>
      <c r="CZ109" s="2" t="s">
        <v>113</v>
      </c>
      <c r="DA109" s="2" t="s">
        <v>1319</v>
      </c>
      <c r="DB109" s="2">
        <v>0</v>
      </c>
      <c r="DC109" s="2">
        <v>3</v>
      </c>
      <c r="DD109" s="2" t="str">
        <f>HYPERLINK("https://www.kegg.jp/kegg-bin/search_pathway_text?map=aga&amp;keyword=AGAP012516&amp;mode=1&amp;viewImage=true","AGAP012516")</f>
        <v>AGAP012516</v>
      </c>
      <c r="DE109" s="2" t="s">
        <v>1310</v>
      </c>
      <c r="DF109" s="2" t="s">
        <v>1311</v>
      </c>
      <c r="DG109" s="2" t="s">
        <v>94</v>
      </c>
      <c r="DH109" s="2" t="str">
        <f>HYPERLINK("https://vectorbase.org/vectorbase/app/record/gene/AGAP012516","AGAP012516-RA")</f>
        <v>AGAP012516-RA</v>
      </c>
      <c r="DI109" s="2" t="s">
        <v>135</v>
      </c>
      <c r="DJ109" s="2">
        <v>2323</v>
      </c>
      <c r="DK109" s="2" t="str">
        <f>HYPERLINK(".\links\netoglyc\AGAP012516-PA-netoglyc.txt","0")</f>
        <v>0</v>
      </c>
      <c r="DL109" s="2">
        <v>10.6</v>
      </c>
      <c r="DM109" s="2">
        <v>4.4000000000000004</v>
      </c>
      <c r="DN109" s="2">
        <v>4.9000000000000004</v>
      </c>
      <c r="DO109" s="2" t="s">
        <v>104</v>
      </c>
      <c r="DP109" s="2" t="s">
        <v>102</v>
      </c>
      <c r="DQ109" s="2" t="str">
        <f>HYPERLINK(".\links\Sigp\AGAP012516-PA-SigP.txt","CYT")</f>
        <v>CYT</v>
      </c>
      <c r="DR109" s="2" t="s">
        <v>102</v>
      </c>
      <c r="DS109" s="2">
        <v>84.98</v>
      </c>
      <c r="DT109" s="2">
        <v>7.22</v>
      </c>
      <c r="DU109" s="2" t="s">
        <v>102</v>
      </c>
      <c r="DV109" s="2" t="s">
        <v>102</v>
      </c>
      <c r="DW109" s="2" t="s">
        <v>482</v>
      </c>
      <c r="DX109" s="2">
        <v>742</v>
      </c>
      <c r="DY109" s="12">
        <v>0</v>
      </c>
      <c r="DZ109" s="2" t="s">
        <v>102</v>
      </c>
      <c r="EA109" s="2" t="s">
        <v>102</v>
      </c>
      <c r="EB109" s="2" t="s">
        <v>102</v>
      </c>
      <c r="EC109" s="2" t="str">
        <f>HYPERLINK(".\links\gpi\AGAP012516-PA-gpi.txt","N")</f>
        <v>N</v>
      </c>
      <c r="ED109" s="2">
        <v>0.25</v>
      </c>
      <c r="EF109" s="2">
        <v>37</v>
      </c>
      <c r="EG109" s="2" t="s">
        <v>102</v>
      </c>
      <c r="EH109" s="2" t="s">
        <v>102</v>
      </c>
      <c r="EI109" s="2">
        <v>10.646900269541799</v>
      </c>
      <c r="EJ109" s="2">
        <v>4.8517520215633398</v>
      </c>
      <c r="EK109" s="2">
        <v>4.44743935309973</v>
      </c>
      <c r="EL109" s="2">
        <v>9.2991913746630708</v>
      </c>
      <c r="EM109" s="2">
        <v>1</v>
      </c>
      <c r="EN109" s="2">
        <v>1</v>
      </c>
      <c r="EO109" s="2">
        <v>2</v>
      </c>
      <c r="EP109" s="2" t="s">
        <v>102</v>
      </c>
      <c r="EQ109" s="2" t="s">
        <v>102</v>
      </c>
      <c r="ER109" s="2" t="s">
        <v>102</v>
      </c>
      <c r="ES109" s="2" t="s">
        <v>102</v>
      </c>
      <c r="ET109" s="2" t="str">
        <f>HYPERLINK(".\links\REFSEQ-INVERTEBRATE\AGAP012516-PA-REFSEQ-INVERTEBRATE.txt","AGAP012516-PA")</f>
        <v>AGAP012516-PA</v>
      </c>
      <c r="EU109" s="2" t="str">
        <f>HYPERLINK("http://www.ncbi.nlm.nih.gov/sutils/blink.cgi?pid=XP_307419.2","0.0")</f>
        <v>0.0</v>
      </c>
      <c r="EV109" s="2" t="str">
        <f>HYPERLINK("http://www.ncbi.nlm.nih.gov/protein/XP_307419.2","XP_307419.2")</f>
        <v>XP_307419.2</v>
      </c>
      <c r="EW109" s="2">
        <v>100</v>
      </c>
      <c r="EX109" s="2">
        <v>100</v>
      </c>
      <c r="EY109" s="2">
        <v>100</v>
      </c>
      <c r="EZ109" s="2" t="s">
        <v>105</v>
      </c>
    </row>
    <row r="110" spans="1:156" x14ac:dyDescent="0.25">
      <c r="A110" s="2" t="s">
        <v>1320</v>
      </c>
      <c r="B110" s="2">
        <v>0.36828482564409099</v>
      </c>
      <c r="C110" s="2">
        <f t="shared" si="1"/>
        <v>1.29081730631377</v>
      </c>
      <c r="D110" s="2">
        <v>5.0983255623562602</v>
      </c>
      <c r="E110" s="2">
        <v>9.1496449783641296</v>
      </c>
      <c r="F110" s="2">
        <v>2.48766327694351E-3</v>
      </c>
      <c r="G110" s="2">
        <v>4.66650700727822E-2</v>
      </c>
      <c r="H110" s="2" t="s">
        <v>1321</v>
      </c>
      <c r="I110" s="2" t="s">
        <v>94</v>
      </c>
      <c r="J110" s="2" t="str">
        <f>HYPERLINK("https://vectorbase.org/vectorbase/app/record/gene/AGAP000879","AGAP000879-RA")</f>
        <v>AGAP000879-RA</v>
      </c>
      <c r="K110" s="2" t="str">
        <f>HYPERLINK(".\links\pep\AGAP000879-PA-pep.txt","AGAP000879-PA")</f>
        <v>AGAP000879-PA</v>
      </c>
      <c r="L110" s="12" t="s">
        <v>95</v>
      </c>
      <c r="M110" s="2">
        <v>549</v>
      </c>
      <c r="N110" s="2">
        <v>0</v>
      </c>
      <c r="O110" s="2">
        <v>1</v>
      </c>
      <c r="P110" s="2" t="s">
        <v>1322</v>
      </c>
      <c r="Q110" s="9" t="s">
        <v>1323</v>
      </c>
      <c r="R110" s="2" t="s">
        <v>444</v>
      </c>
      <c r="S110" s="2" t="str">
        <f>HYPERLINK(".\links\PFAM\AGAP000879-PA-PFAM.txt","PFAM")</f>
        <v>PFAM</v>
      </c>
      <c r="T110" s="2">
        <v>6.0000000000000003E-96</v>
      </c>
      <c r="U110" s="2">
        <v>101</v>
      </c>
      <c r="V110" s="2" t="s">
        <v>1324</v>
      </c>
      <c r="W110" s="10" t="s">
        <v>1325</v>
      </c>
      <c r="X110" s="2" t="s">
        <v>224</v>
      </c>
      <c r="Y110" s="2" t="str">
        <f>HYPERLINK(".\links\UNIPROTKB\AGAP000879-PA-UNIPROTKB.txt","UNIPROTKB")</f>
        <v>UNIPROTKB</v>
      </c>
      <c r="Z110" s="2">
        <v>0</v>
      </c>
      <c r="AA110" s="2">
        <v>93.3</v>
      </c>
      <c r="AB110" s="13" t="s">
        <v>102</v>
      </c>
      <c r="AC110" s="13" t="str">
        <f>HYPERLINK(".\links\Sigp\AGAP000879-PA-SigP.txt","SIG")</f>
        <v>SIG</v>
      </c>
      <c r="AD110" s="2" t="s">
        <v>228</v>
      </c>
      <c r="AE110" s="2">
        <v>61.691000000000003</v>
      </c>
      <c r="AF110" s="2">
        <v>5.64</v>
      </c>
      <c r="AG110" s="2">
        <v>59.796999999999997</v>
      </c>
      <c r="AH110" s="2">
        <v>5.64</v>
      </c>
      <c r="AI110" s="2" t="s">
        <v>1326</v>
      </c>
      <c r="AJ110" s="13">
        <v>0</v>
      </c>
      <c r="AK110" s="2" t="s">
        <v>102</v>
      </c>
      <c r="AL110" s="2" t="s">
        <v>102</v>
      </c>
      <c r="AM110" s="2" t="s">
        <v>102</v>
      </c>
      <c r="AN110" s="13" t="str">
        <f>HYPERLINK(".\links\gpi\AGAP000879-PA-gpi.txt","N")</f>
        <v>N</v>
      </c>
      <c r="AO110" s="14" t="str">
        <f>HYPERLINK(".\links\netoglyc\AGAP000879-PA-netoglyc.txt","2")</f>
        <v>2</v>
      </c>
      <c r="AP110" s="13">
        <v>14.4</v>
      </c>
      <c r="AQ110" s="2">
        <v>8.6999999999999993</v>
      </c>
      <c r="AR110" s="2">
        <v>5.8</v>
      </c>
      <c r="AS110" s="2">
        <v>1.1000000000000001</v>
      </c>
      <c r="AT110" s="9" t="str">
        <f>HYPERLINK(".\links\NR-LIGHT\AGAP000879-PA-NR-LIGHT.txt","AGAP000879-PA")</f>
        <v>AGAP000879-PA</v>
      </c>
      <c r="AU110" s="2" t="str">
        <f>HYPERLINK("http://www.ncbi.nlm.nih.gov/sutils/blink.cgi?pid=XP_316854.4","0.0")</f>
        <v>0.0</v>
      </c>
      <c r="AV110" s="2" t="str">
        <f>HYPERLINK("http://www.ncbi.nlm.nih.gov/protein/XP_316854.4","XP_316854.4")</f>
        <v>XP_316854.4</v>
      </c>
      <c r="AW110" s="2">
        <v>100</v>
      </c>
      <c r="AX110" s="2">
        <v>100</v>
      </c>
      <c r="AY110" s="2">
        <v>100</v>
      </c>
      <c r="AZ110" s="2" t="s">
        <v>105</v>
      </c>
      <c r="BA110" s="9" t="str">
        <f>HYPERLINK(".\links\REFSEQ-INVERTEBRATE\AGAP000879-PA-REFSEQ-INVERTEBRATE.txt","AGAP000879-PA")</f>
        <v>AGAP000879-PA</v>
      </c>
      <c r="BB110" s="2" t="str">
        <f>HYPERLINK("http://www.ncbi.nlm.nih.gov/sutils/blink.cgi?pid=XP_316854.4","0.0")</f>
        <v>0.0</v>
      </c>
      <c r="BC110" s="2" t="str">
        <f>HYPERLINK("http://www.ncbi.nlm.nih.gov/protein/XP_316854.4","XP_316854.4")</f>
        <v>XP_316854.4</v>
      </c>
      <c r="BD110" s="2">
        <v>100</v>
      </c>
      <c r="BE110" s="2">
        <v>100</v>
      </c>
      <c r="BF110" s="2">
        <v>100</v>
      </c>
      <c r="BG110" s="2" t="s">
        <v>105</v>
      </c>
      <c r="BH110" s="9" t="str">
        <f>HYPERLINK(".\links\REFSEQ-PROTOZOA\AGAP000879-PA-REFSEQ-PROTOZOA.txt","gluconolactonase")</f>
        <v>gluconolactonase</v>
      </c>
      <c r="BI110" s="2" t="str">
        <f>HYPERLINK("http://www.ncbi.nlm.nih.gov/sutils/blink.cgi?pid=XP_002681591.1","2E-011")</f>
        <v>2E-011</v>
      </c>
      <c r="BJ110" s="2" t="str">
        <f>HYPERLINK("http://www.ncbi.nlm.nih.gov/protein/XP_002681591.1","XP_002681591.1")</f>
        <v>XP_002681591.1</v>
      </c>
      <c r="BK110" s="2">
        <v>34</v>
      </c>
      <c r="BL110" s="2">
        <v>52</v>
      </c>
      <c r="BM110" s="2">
        <v>26</v>
      </c>
      <c r="BN110" s="2" t="s">
        <v>1212</v>
      </c>
      <c r="BO110" s="9" t="str">
        <f>HYPERLINK(".\links\SWISSP\AGAP000879-PA-SWISSP.txt","Protein yellow")</f>
        <v>Protein yellow</v>
      </c>
      <c r="BP110" s="2" t="str">
        <f>HYPERLINK("http://www.uniprot.org/uniprot/Q9BI18","0.0")</f>
        <v>0.0</v>
      </c>
      <c r="BQ110" s="2" t="str">
        <f>HYPERLINK("http://www.uniprot.org/uniprot/Q9BI18#expression","Q9BI18")</f>
        <v>Q9BI18</v>
      </c>
      <c r="BR110" s="2">
        <v>60</v>
      </c>
      <c r="BS110" s="2">
        <v>74</v>
      </c>
      <c r="BT110" s="2">
        <v>94</v>
      </c>
      <c r="BU110" s="2" t="s">
        <v>1327</v>
      </c>
      <c r="BV110" s="9" t="str">
        <f>HYPERLINK(".\links\FLYBASE\AGAP000879-PA-FLYBASE.txt","FBpp0070070")</f>
        <v>FBpp0070070</v>
      </c>
      <c r="BW110" s="2" t="str">
        <f>HYPERLINK("http://flybase.org/reports/FBgn0004034#alliance_summary_container","0.0")</f>
        <v>0.0</v>
      </c>
      <c r="BX110" s="2">
        <v>541</v>
      </c>
      <c r="BY110" s="2">
        <v>70</v>
      </c>
      <c r="BZ110" s="2">
        <v>85</v>
      </c>
      <c r="CA110" s="2">
        <v>76</v>
      </c>
      <c r="CB110" s="9" t="str">
        <f>HYPERLINK(".\links\CDD\AGAP000879-PA-CDD.txt","MRJP, Major royal jelly protein")</f>
        <v>MRJP, Major royal jelly protein</v>
      </c>
      <c r="CC110" s="15">
        <v>3.0000000000000001E-95</v>
      </c>
      <c r="CD110" s="2">
        <v>101</v>
      </c>
      <c r="CE110" s="2" t="s">
        <v>1328</v>
      </c>
      <c r="CF110" s="2" t="s">
        <v>1329</v>
      </c>
      <c r="CG110" s="9" t="str">
        <f>HYPERLINK(".\links\KOG\AGAP000879-PA-KOG.txt","Zn2+ transporter")</f>
        <v>Zn2+ transporter</v>
      </c>
      <c r="CH110" s="15">
        <v>0.05</v>
      </c>
      <c r="CI110" s="2">
        <v>11.1</v>
      </c>
      <c r="CJ110" s="2" t="s">
        <v>1330</v>
      </c>
      <c r="CK110" s="2" t="s">
        <v>640</v>
      </c>
      <c r="CL110" s="9" t="str">
        <f>HYPERLINK(".\links\PFAM\AGAP000879-PA-PFAM.txt","MRJP, Major royal jelly protein")</f>
        <v>MRJP, Major royal jelly protein</v>
      </c>
      <c r="CM110" s="15">
        <v>6.0000000000000003E-96</v>
      </c>
      <c r="CN110" s="2">
        <v>101</v>
      </c>
      <c r="CO110" s="2" t="s">
        <v>1328</v>
      </c>
      <c r="CP110" s="9" t="str">
        <f>HYPERLINK(".\links\SMART\AGAP000879-PA-SMART.txt","PRP, Major prion protein")</f>
        <v>PRP, Major prion protein</v>
      </c>
      <c r="CQ110" s="15">
        <v>0.26</v>
      </c>
      <c r="CR110" s="2">
        <v>21.6</v>
      </c>
      <c r="CS110" s="2" t="s">
        <v>1331</v>
      </c>
      <c r="CT110" s="2" t="s">
        <v>1324</v>
      </c>
      <c r="CU110" s="2" t="s">
        <v>1324</v>
      </c>
      <c r="CV110" s="2" t="s">
        <v>1324</v>
      </c>
      <c r="CW110" s="2" t="str">
        <f>HYPERLINK(".\links\pep\AGAP000879-PA-pep.txt","AGAP000879-PA")</f>
        <v>AGAP000879-PA</v>
      </c>
      <c r="CX110" s="2" t="s">
        <v>95</v>
      </c>
      <c r="CY110" s="2">
        <v>549</v>
      </c>
      <c r="CZ110" s="2" t="s">
        <v>113</v>
      </c>
      <c r="DA110" s="2" t="s">
        <v>1332</v>
      </c>
      <c r="DB110" s="2">
        <v>0</v>
      </c>
      <c r="DC110" s="2">
        <v>1</v>
      </c>
      <c r="DD110" s="2" t="str">
        <f>HYPERLINK("https://www.kegg.jp/kegg-bin/search_pathway_text?map=aga&amp;keyword=AGAP000879&amp;mode=1&amp;viewImage=true","AGAP000879")</f>
        <v>AGAP000879</v>
      </c>
      <c r="DE110" s="2" t="s">
        <v>1320</v>
      </c>
      <c r="DF110" s="2" t="s">
        <v>1321</v>
      </c>
      <c r="DG110" s="2" t="s">
        <v>94</v>
      </c>
      <c r="DH110" s="2" t="str">
        <f>HYPERLINK("https://vectorbase.org/vectorbase/app/record/gene/AGAP000879","AGAP000879-RA")</f>
        <v>AGAP000879-RA</v>
      </c>
      <c r="DI110" s="2" t="s">
        <v>90</v>
      </c>
      <c r="DJ110" s="2">
        <v>1896</v>
      </c>
      <c r="DK110" s="2" t="str">
        <f>HYPERLINK(".\links\netoglyc\AGAP000879-PA-netoglyc.txt","2")</f>
        <v>2</v>
      </c>
      <c r="DL110" s="2">
        <v>14.4</v>
      </c>
      <c r="DM110" s="2">
        <v>8.6999999999999993</v>
      </c>
      <c r="DN110" s="2">
        <v>5.8</v>
      </c>
      <c r="DO110" s="2">
        <v>1.1000000000000001</v>
      </c>
      <c r="DP110" s="2" t="s">
        <v>1333</v>
      </c>
      <c r="DQ110" s="2" t="str">
        <f>HYPERLINK(".\links\Sigp\AGAP000879-PA-SigP.txt","SIG")</f>
        <v>SIG</v>
      </c>
      <c r="DR110" s="2" t="s">
        <v>228</v>
      </c>
      <c r="DS110" s="2">
        <v>61.691000000000003</v>
      </c>
      <c r="DT110" s="2">
        <v>5.64</v>
      </c>
      <c r="DU110" s="2">
        <v>59.796999999999997</v>
      </c>
      <c r="DV110" s="2">
        <v>5.64</v>
      </c>
      <c r="DW110" s="2" t="s">
        <v>1326</v>
      </c>
      <c r="DX110" s="2">
        <v>549</v>
      </c>
      <c r="DY110" s="12">
        <v>0</v>
      </c>
      <c r="DZ110" s="2" t="s">
        <v>102</v>
      </c>
      <c r="EA110" s="2" t="s">
        <v>102</v>
      </c>
      <c r="EB110" s="2" t="s">
        <v>102</v>
      </c>
      <c r="EC110" s="2" t="str">
        <f>HYPERLINK(".\links\gpi\AGAP000879-PA-gpi.txt","N")</f>
        <v>N</v>
      </c>
      <c r="ED110" s="2">
        <v>0.24</v>
      </c>
      <c r="EF110" s="2">
        <v>7</v>
      </c>
      <c r="EG110" s="2" t="s">
        <v>102</v>
      </c>
      <c r="EH110" s="2" t="s">
        <v>102</v>
      </c>
      <c r="EI110" s="2">
        <v>14.3897996357013</v>
      </c>
      <c r="EJ110" s="2">
        <v>5.8287795992714004</v>
      </c>
      <c r="EK110" s="2">
        <v>8.7431693989070993</v>
      </c>
      <c r="EL110" s="2">
        <v>14.571948998178501</v>
      </c>
      <c r="EM110" s="2" t="s">
        <v>102</v>
      </c>
      <c r="EN110" s="2" t="s">
        <v>102</v>
      </c>
      <c r="EO110" s="2" t="s">
        <v>102</v>
      </c>
      <c r="EP110" s="2" t="s">
        <v>102</v>
      </c>
      <c r="EQ110" s="2" t="s">
        <v>102</v>
      </c>
      <c r="ER110" s="2" t="s">
        <v>102</v>
      </c>
      <c r="ES110" s="2" t="s">
        <v>102</v>
      </c>
      <c r="ET110" s="2" t="str">
        <f>HYPERLINK(".\links\REFSEQ-INVERTEBRATE\AGAP000879-PA-REFSEQ-INVERTEBRATE.txt","AGAP000879-PA")</f>
        <v>AGAP000879-PA</v>
      </c>
      <c r="EU110" s="2" t="str">
        <f>HYPERLINK("http://www.ncbi.nlm.nih.gov/sutils/blink.cgi?pid=XP_316854.4","0.0")</f>
        <v>0.0</v>
      </c>
      <c r="EV110" s="2" t="str">
        <f>HYPERLINK("http://www.ncbi.nlm.nih.gov/protein/XP_316854.4","XP_316854.4")</f>
        <v>XP_316854.4</v>
      </c>
      <c r="EW110" s="2">
        <v>100</v>
      </c>
      <c r="EX110" s="2">
        <v>100</v>
      </c>
      <c r="EY110" s="2">
        <v>100</v>
      </c>
      <c r="EZ110" s="2" t="s">
        <v>105</v>
      </c>
    </row>
    <row r="111" spans="1:156" x14ac:dyDescent="0.25">
      <c r="A111" s="2" t="s">
        <v>1334</v>
      </c>
      <c r="B111" s="2">
        <v>0.36751861459284801</v>
      </c>
      <c r="C111" s="2">
        <f t="shared" si="1"/>
        <v>1.2901319390906234</v>
      </c>
      <c r="D111" s="2">
        <v>7.09055562556353</v>
      </c>
      <c r="E111" s="2">
        <v>21.884528410168901</v>
      </c>
      <c r="F111" s="2">
        <v>2.89559100681256E-6</v>
      </c>
      <c r="G111" s="2">
        <v>2.03828924086698E-3</v>
      </c>
      <c r="H111" s="2" t="s">
        <v>93</v>
      </c>
      <c r="I111" s="2" t="s">
        <v>94</v>
      </c>
      <c r="J111" s="2" t="str">
        <f>HYPERLINK("https://vectorbase.org/vectorbase/app/record/gene/AGAP004490","AGAP004490-RA")</f>
        <v>AGAP004490-RA</v>
      </c>
      <c r="K111" s="2" t="str">
        <f>HYPERLINK(".\links\pep\AGAP004490-PA-pep.txt","AGAP004490-PA")</f>
        <v>AGAP004490-PA</v>
      </c>
      <c r="L111" s="12" t="s">
        <v>95</v>
      </c>
      <c r="M111" s="2">
        <v>497</v>
      </c>
      <c r="N111" s="2">
        <v>0</v>
      </c>
      <c r="O111" s="2">
        <v>1</v>
      </c>
      <c r="P111" s="2" t="s">
        <v>102</v>
      </c>
      <c r="Q111" s="9" t="s">
        <v>1335</v>
      </c>
      <c r="R111" s="2" t="s">
        <v>196</v>
      </c>
      <c r="S111" s="2" t="str">
        <f>HYPERLINK(".\links\REFSEQ-INVERTEBRATE\AGAP004490-PA-REFSEQ-INVERTEBRATE.txt","REFSEQ-INVERTEBRATE")</f>
        <v>REFSEQ-INVERTEBRATE</v>
      </c>
      <c r="T111" s="2">
        <v>0</v>
      </c>
      <c r="U111" s="2">
        <v>100</v>
      </c>
      <c r="V111" s="2" t="s">
        <v>1335</v>
      </c>
      <c r="W111" s="10" t="s">
        <v>1336</v>
      </c>
      <c r="X111" s="2" t="s">
        <v>420</v>
      </c>
      <c r="Y111" s="2" t="str">
        <f>HYPERLINK(".\links\SMART\AGAP004490-PA-SMART.txt","SMART")</f>
        <v>SMART</v>
      </c>
      <c r="Z111" s="15">
        <v>4.9999999999999998E-8</v>
      </c>
      <c r="AA111" s="2">
        <v>89.3</v>
      </c>
      <c r="AB111" s="13" t="s">
        <v>102</v>
      </c>
      <c r="AC111" s="13" t="str">
        <f>HYPERLINK(".\links\Sigp\AGAP004490-PA-SigP.txt","CYT")</f>
        <v>CYT</v>
      </c>
      <c r="AD111" s="2" t="s">
        <v>102</v>
      </c>
      <c r="AE111" s="2">
        <v>55.579000000000001</v>
      </c>
      <c r="AF111" s="2">
        <v>9.34</v>
      </c>
      <c r="AG111" s="2" t="s">
        <v>102</v>
      </c>
      <c r="AH111" s="2" t="s">
        <v>102</v>
      </c>
      <c r="AI111" s="2" t="s">
        <v>124</v>
      </c>
      <c r="AJ111" s="13">
        <v>0</v>
      </c>
      <c r="AK111" s="2" t="s">
        <v>102</v>
      </c>
      <c r="AL111" s="2" t="s">
        <v>102</v>
      </c>
      <c r="AM111" s="2" t="s">
        <v>102</v>
      </c>
      <c r="AN111" s="13" t="str">
        <f>HYPERLINK(".\links\gpi\AGAP004490-PA-gpi.txt","N")</f>
        <v>N</v>
      </c>
      <c r="AO111" s="14" t="str">
        <f>HYPERLINK(".\links\netoglyc\AGAP004490-PA-netoglyc.txt","0")</f>
        <v>0</v>
      </c>
      <c r="AP111" s="13">
        <v>11.5</v>
      </c>
      <c r="AQ111" s="2">
        <v>6.6</v>
      </c>
      <c r="AR111" s="2">
        <v>3.4</v>
      </c>
      <c r="AS111" s="2" t="s">
        <v>104</v>
      </c>
      <c r="AT111" s="9" t="str">
        <f>HYPERLINK(".\links\NR-LIGHT\AGAP004490-PA-NR-LIGHT.txt","AGAP004490-PA")</f>
        <v>AGAP004490-PA</v>
      </c>
      <c r="AU111" s="2" t="str">
        <f>HYPERLINK("http://www.ncbi.nlm.nih.gov/sutils/blink.cgi?pid=XP_313788.4","0.0")</f>
        <v>0.0</v>
      </c>
      <c r="AV111" s="2" t="str">
        <f>HYPERLINK("http://www.ncbi.nlm.nih.gov/protein/XP_313788.4","XP_313788.4")</f>
        <v>XP_313788.4</v>
      </c>
      <c r="AW111" s="2">
        <v>100</v>
      </c>
      <c r="AX111" s="2">
        <v>100</v>
      </c>
      <c r="AY111" s="2">
        <v>100</v>
      </c>
      <c r="AZ111" s="2" t="s">
        <v>105</v>
      </c>
      <c r="BA111" s="9" t="str">
        <f>HYPERLINK(".\links\REFSEQ-INVERTEBRATE\AGAP004490-PA-REFSEQ-INVERTEBRATE.txt","AGAP004490-PA")</f>
        <v>AGAP004490-PA</v>
      </c>
      <c r="BB111" s="2" t="str">
        <f>HYPERLINK("http://www.ncbi.nlm.nih.gov/sutils/blink.cgi?pid=XP_313788.4","0.0")</f>
        <v>0.0</v>
      </c>
      <c r="BC111" s="2" t="str">
        <f>HYPERLINK("http://www.ncbi.nlm.nih.gov/protein/XP_313788.4","XP_313788.4")</f>
        <v>XP_313788.4</v>
      </c>
      <c r="BD111" s="2">
        <v>100</v>
      </c>
      <c r="BE111" s="2">
        <v>100</v>
      </c>
      <c r="BF111" s="2">
        <v>100</v>
      </c>
      <c r="BG111" s="2" t="s">
        <v>105</v>
      </c>
      <c r="BH111" s="9" t="str">
        <f>HYPERLINK(".\links\REFSEQ-PROTOZOA\AGAP004490-PA-REFSEQ-PROTOZOA.txt","hypothetical protein")</f>
        <v>hypothetical protein</v>
      </c>
      <c r="BI111" s="2" t="str">
        <f>HYPERLINK("http://www.ncbi.nlm.nih.gov/sutils/blink.cgi?pid=XP_001744928.1","1E-026")</f>
        <v>1E-026</v>
      </c>
      <c r="BJ111" s="2" t="str">
        <f>HYPERLINK("http://www.ncbi.nlm.nih.gov/protein/XP_001744928.1","XP_001744928.1")</f>
        <v>XP_001744928.1</v>
      </c>
      <c r="BK111" s="2">
        <v>29</v>
      </c>
      <c r="BL111" s="2">
        <v>43</v>
      </c>
      <c r="BM111" s="2">
        <v>110</v>
      </c>
      <c r="BN111" s="2" t="s">
        <v>248</v>
      </c>
      <c r="BO111" s="9" t="str">
        <f>HYPERLINK(".\links\SWISSP\AGAP004490-PA-SWISSP.txt","G patch domain-containing protein 4")</f>
        <v>G patch domain-containing protein 4</v>
      </c>
      <c r="BP111" s="2" t="str">
        <f>HYPERLINK("http://www.uniprot.org/uniprot/Q4V842","6E-034")</f>
        <v>6E-034</v>
      </c>
      <c r="BQ111" s="2" t="str">
        <f>HYPERLINK("http://www.uniprot.org/uniprot/Q4V842#expression","Q4V842")</f>
        <v>Q4V842</v>
      </c>
      <c r="BR111" s="2">
        <v>29</v>
      </c>
      <c r="BS111" s="2">
        <v>46</v>
      </c>
      <c r="BT111" s="2">
        <v>113</v>
      </c>
      <c r="BU111" s="2" t="s">
        <v>625</v>
      </c>
      <c r="BV111" s="9" t="str">
        <f>HYPERLINK(".\links\FLYBASE\AGAP004490-PA-FLYBASE.txt","FBpp0085137")</f>
        <v>FBpp0085137</v>
      </c>
      <c r="BW111" s="2" t="str">
        <f>HYPERLINK("http://flybase.org/reports/FBgn0039829#alliance_summary_container","5E-57")</f>
        <v>5E-57</v>
      </c>
      <c r="BX111" s="2">
        <v>357</v>
      </c>
      <c r="BY111" s="2">
        <v>50</v>
      </c>
      <c r="BZ111" s="2">
        <v>67</v>
      </c>
      <c r="CA111" s="2">
        <v>55</v>
      </c>
      <c r="CB111" s="9" t="str">
        <f>HYPERLINK(".\links\CDD\AGAP004490-PA-CDD.txt","G_patch, glycine rich nucleic binding domain")</f>
        <v>G_patch, glycine rich nucleic binding domain</v>
      </c>
      <c r="CC111" s="15">
        <v>8.9999999999999999E-8</v>
      </c>
      <c r="CD111" s="2">
        <v>91.5</v>
      </c>
      <c r="CE111" s="2" t="s">
        <v>1337</v>
      </c>
      <c r="CF111" s="2" t="s">
        <v>1338</v>
      </c>
      <c r="CG111" s="9" t="str">
        <f>HYPERLINK(".\links\KOG\AGAP004490-PA-KOG.txt","Telomerase elongation inhibitor/RNA maturation protein PINX1")</f>
        <v>Telomerase elongation inhibitor/RNA maturation protein PINX1</v>
      </c>
      <c r="CH111" s="15">
        <v>4E-14</v>
      </c>
      <c r="CI111" s="2">
        <v>82.8</v>
      </c>
      <c r="CJ111" s="2" t="s">
        <v>1339</v>
      </c>
      <c r="CK111" s="2" t="s">
        <v>1340</v>
      </c>
      <c r="CL111" s="9" t="str">
        <f>HYPERLINK(".\links\PFAM\AGAP004490-PA-PFAM.txt","G-patch, G-patch domain")</f>
        <v>G-patch, G-patch domain</v>
      </c>
      <c r="CM111" s="15">
        <v>4.0000000000000001E-8</v>
      </c>
      <c r="CN111" s="2">
        <v>93.3</v>
      </c>
      <c r="CO111" s="2" t="s">
        <v>1341</v>
      </c>
      <c r="CP111" s="9" t="str">
        <f>HYPERLINK(".\links\SMART\AGAP004490-PA-SMART.txt","G_patch, glycine rich nucleic binding domain")</f>
        <v>G_patch, glycine rich nucleic binding domain</v>
      </c>
      <c r="CQ111" s="15">
        <v>8.0000000000000003E-10</v>
      </c>
      <c r="CR111" s="2">
        <v>91.5</v>
      </c>
      <c r="CS111" s="2" t="s">
        <v>1337</v>
      </c>
      <c r="CT111" s="2" t="s">
        <v>1335</v>
      </c>
      <c r="CU111" s="2" t="s">
        <v>1335</v>
      </c>
      <c r="CV111" s="2" t="s">
        <v>1335</v>
      </c>
      <c r="CW111" s="2" t="str">
        <f>HYPERLINK(".\links\pep\AGAP004490-PA-pep.txt","AGAP004490-PA")</f>
        <v>AGAP004490-PA</v>
      </c>
      <c r="CX111" s="2" t="s">
        <v>95</v>
      </c>
      <c r="CY111" s="2">
        <v>497</v>
      </c>
      <c r="CZ111" s="2" t="s">
        <v>113</v>
      </c>
      <c r="DA111" s="2" t="s">
        <v>1342</v>
      </c>
      <c r="DB111" s="2">
        <v>0</v>
      </c>
      <c r="DC111" s="2">
        <v>1</v>
      </c>
      <c r="DD111" s="2" t="str">
        <f>HYPERLINK("https://www.kegg.jp/kegg-bin/search_pathway_text?map=aga&amp;keyword=AGAP004490&amp;mode=1&amp;viewImage=true","AGAP004490")</f>
        <v>AGAP004490</v>
      </c>
      <c r="DE111" s="2" t="s">
        <v>1334</v>
      </c>
      <c r="DF111" s="2" t="s">
        <v>93</v>
      </c>
      <c r="DG111" s="2" t="s">
        <v>94</v>
      </c>
      <c r="DH111" s="2" t="str">
        <f>HYPERLINK("https://vectorbase.org/vectorbase/app/record/gene/AGAP004490","AGAP004490-RA")</f>
        <v>AGAP004490-RA</v>
      </c>
      <c r="DI111" s="2" t="s">
        <v>90</v>
      </c>
      <c r="DJ111" s="2">
        <v>1711</v>
      </c>
      <c r="DK111" s="2" t="str">
        <f>HYPERLINK(".\links\netoglyc\AGAP004490-PA-netoglyc.txt","0")</f>
        <v>0</v>
      </c>
      <c r="DL111" s="2">
        <v>11.5</v>
      </c>
      <c r="DM111" s="2">
        <v>6.6</v>
      </c>
      <c r="DN111" s="2">
        <v>3.4</v>
      </c>
      <c r="DO111" s="2" t="s">
        <v>104</v>
      </c>
      <c r="DP111" s="2" t="s">
        <v>102</v>
      </c>
      <c r="DQ111" s="2" t="str">
        <f>HYPERLINK(".\links\Sigp\AGAP004490-PA-SigP.txt","CYT")</f>
        <v>CYT</v>
      </c>
      <c r="DR111" s="2" t="s">
        <v>102</v>
      </c>
      <c r="DS111" s="2">
        <v>55.579000000000001</v>
      </c>
      <c r="DT111" s="2">
        <v>9.34</v>
      </c>
      <c r="DU111" s="2" t="s">
        <v>102</v>
      </c>
      <c r="DV111" s="2" t="s">
        <v>102</v>
      </c>
      <c r="DW111" s="2" t="s">
        <v>124</v>
      </c>
      <c r="DX111" s="2">
        <v>497</v>
      </c>
      <c r="DY111" s="12">
        <v>0</v>
      </c>
      <c r="DZ111" s="2" t="s">
        <v>102</v>
      </c>
      <c r="EA111" s="2" t="s">
        <v>102</v>
      </c>
      <c r="EB111" s="2" t="s">
        <v>102</v>
      </c>
      <c r="EC111" s="2" t="str">
        <f>HYPERLINK(".\links\gpi\AGAP004490-PA-gpi.txt","N")</f>
        <v>N</v>
      </c>
      <c r="ED111" s="2">
        <v>0.3</v>
      </c>
      <c r="EF111" s="2">
        <v>1</v>
      </c>
      <c r="EG111" s="2" t="s">
        <v>102</v>
      </c>
      <c r="EH111" s="2" t="s">
        <v>102</v>
      </c>
      <c r="EI111" s="2">
        <v>11.4688128772636</v>
      </c>
      <c r="EJ111" s="2">
        <v>3.420523138833</v>
      </c>
      <c r="EK111" s="2">
        <v>6.63983903420523</v>
      </c>
      <c r="EL111" s="2">
        <v>10.0603621730382</v>
      </c>
      <c r="EM111" s="2" t="s">
        <v>102</v>
      </c>
      <c r="EN111" s="2">
        <v>3</v>
      </c>
      <c r="EO111" s="2">
        <v>3</v>
      </c>
      <c r="EP111" s="2" t="s">
        <v>102</v>
      </c>
      <c r="EQ111" s="2" t="s">
        <v>102</v>
      </c>
      <c r="ER111" s="2" t="s">
        <v>102</v>
      </c>
      <c r="ES111" s="2" t="s">
        <v>102</v>
      </c>
      <c r="ET111" s="2" t="str">
        <f>HYPERLINK(".\links\REFSEQ-INVERTEBRATE\AGAP004490-PA-REFSEQ-INVERTEBRATE.txt","AGAP004490-PA")</f>
        <v>AGAP004490-PA</v>
      </c>
      <c r="EU111" s="2" t="str">
        <f>HYPERLINK("http://www.ncbi.nlm.nih.gov/sutils/blink.cgi?pid=XP_313788.4","0.0")</f>
        <v>0.0</v>
      </c>
      <c r="EV111" s="2" t="str">
        <f>HYPERLINK("http://www.ncbi.nlm.nih.gov/protein/XP_313788.4","XP_313788.4")</f>
        <v>XP_313788.4</v>
      </c>
      <c r="EW111" s="2">
        <v>100</v>
      </c>
      <c r="EX111" s="2">
        <v>100</v>
      </c>
      <c r="EY111" s="2">
        <v>100</v>
      </c>
      <c r="EZ111" s="2" t="s">
        <v>105</v>
      </c>
    </row>
    <row r="112" spans="1:156" x14ac:dyDescent="0.25">
      <c r="A112" s="2" t="s">
        <v>1343</v>
      </c>
      <c r="B112" s="2">
        <v>0.36710593190845298</v>
      </c>
      <c r="C112" s="2">
        <f t="shared" si="1"/>
        <v>1.2897629498341334</v>
      </c>
      <c r="D112" s="2">
        <v>5.7250897268049297</v>
      </c>
      <c r="E112" s="2">
        <v>15.9221650871983</v>
      </c>
      <c r="F112" s="2">
        <v>6.6001245671321699E-5</v>
      </c>
      <c r="G112" s="2">
        <v>8.7458876960918395E-3</v>
      </c>
      <c r="H112" s="2" t="s">
        <v>93</v>
      </c>
      <c r="I112" s="2" t="s">
        <v>94</v>
      </c>
      <c r="J112" s="2" t="str">
        <f>HYPERLINK("https://vectorbase.org/vectorbase/app/record/gene/AGAP010271","AGAP010271-RA")</f>
        <v>AGAP010271-RA</v>
      </c>
      <c r="K112" s="2" t="str">
        <f>HYPERLINK(".\links\pep\AGAP010271-PA-pep.txt","AGAP010271-PA")</f>
        <v>AGAP010271-PA</v>
      </c>
      <c r="L112" s="12" t="s">
        <v>95</v>
      </c>
      <c r="M112" s="2">
        <v>697</v>
      </c>
      <c r="N112" s="2">
        <v>0</v>
      </c>
      <c r="O112" s="2">
        <v>1</v>
      </c>
      <c r="P112" s="2" t="s">
        <v>102</v>
      </c>
      <c r="Q112" s="9" t="s">
        <v>1344</v>
      </c>
      <c r="R112" s="2" t="s">
        <v>196</v>
      </c>
      <c r="S112" s="2" t="str">
        <f>HYPERLINK(".\links\KOG\AGAP010271-PA-KOG.txt","KOG")</f>
        <v>KOG</v>
      </c>
      <c r="T112" s="2">
        <v>0</v>
      </c>
      <c r="U112" s="2">
        <v>95</v>
      </c>
      <c r="V112" s="2" t="s">
        <v>1345</v>
      </c>
      <c r="W112" s="10" t="s">
        <v>1346</v>
      </c>
      <c r="X112" s="2" t="s">
        <v>447</v>
      </c>
      <c r="Y112" s="2" t="str">
        <f>HYPERLINK(".\links\UNIPROTKB\AGAP010271-PA-UNIPROTKB.txt","UNIPROTKB")</f>
        <v>UNIPROTKB</v>
      </c>
      <c r="Z112" s="15">
        <v>0</v>
      </c>
      <c r="AA112" s="2">
        <v>79</v>
      </c>
      <c r="AB112" s="13" t="str">
        <f>HYPERLINK(".\links\pep\AGAP010271-PA-sulf.txt","3")</f>
        <v>3</v>
      </c>
      <c r="AC112" s="13" t="str">
        <f>HYPERLINK(".\links\Sigp\AGAP010271-PA-SigP.txt","CYT")</f>
        <v>CYT</v>
      </c>
      <c r="AD112" s="2" t="s">
        <v>102</v>
      </c>
      <c r="AE112" s="2">
        <v>78.944999999999993</v>
      </c>
      <c r="AF112" s="2">
        <v>9.19</v>
      </c>
      <c r="AG112" s="2" t="s">
        <v>102</v>
      </c>
      <c r="AH112" s="2" t="s">
        <v>102</v>
      </c>
      <c r="AI112" s="2" t="s">
        <v>611</v>
      </c>
      <c r="AJ112" s="13">
        <v>0</v>
      </c>
      <c r="AK112" s="2" t="s">
        <v>102</v>
      </c>
      <c r="AL112" s="2" t="s">
        <v>102</v>
      </c>
      <c r="AM112" s="2" t="s">
        <v>102</v>
      </c>
      <c r="AN112" s="13" t="str">
        <f>HYPERLINK(".\links\gpi\AGAP010271-PA-gpi.txt","N")</f>
        <v>N</v>
      </c>
      <c r="AO112" s="14" t="str">
        <f>HYPERLINK(".\links\netoglyc\AGAP010271-PA-netoglyc.txt","0")</f>
        <v>0</v>
      </c>
      <c r="AP112" s="13">
        <v>13.6</v>
      </c>
      <c r="AQ112" s="2">
        <v>5.9</v>
      </c>
      <c r="AR112" s="2">
        <v>5.3</v>
      </c>
      <c r="AS112" s="2" t="s">
        <v>104</v>
      </c>
      <c r="AT112" s="9" t="str">
        <f>HYPERLINK(".\links\NR-LIGHT\AGAP010271-PA-NR-LIGHT.txt","AGAP010271-PA, partial")</f>
        <v>AGAP010271-PA, partial</v>
      </c>
      <c r="AU112" s="2" t="str">
        <f>HYPERLINK("http://www.ncbi.nlm.nih.gov/sutils/blink.cgi?pid=XP_319462.4","0.0")</f>
        <v>0.0</v>
      </c>
      <c r="AV112" s="2" t="str">
        <f>HYPERLINK("http://www.ncbi.nlm.nih.gov/protein/XP_319462.4","XP_319462.4")</f>
        <v>XP_319462.4</v>
      </c>
      <c r="AW112" s="2">
        <v>100</v>
      </c>
      <c r="AX112" s="2">
        <v>100</v>
      </c>
      <c r="AY112" s="2">
        <v>100</v>
      </c>
      <c r="AZ112" s="2" t="s">
        <v>105</v>
      </c>
      <c r="BA112" s="9" t="str">
        <f>HYPERLINK(".\links\REFSEQ-INVERTEBRATE\AGAP010271-PA-REFSEQ-INVERTEBRATE.txt","AGAP010271-PA, partial")</f>
        <v>AGAP010271-PA, partial</v>
      </c>
      <c r="BB112" s="2" t="str">
        <f>HYPERLINK("http://www.ncbi.nlm.nih.gov/sutils/blink.cgi?pid=XP_319462.4","0.0")</f>
        <v>0.0</v>
      </c>
      <c r="BC112" s="2" t="str">
        <f>HYPERLINK("http://www.ncbi.nlm.nih.gov/protein/XP_319462.4","XP_319462.4")</f>
        <v>XP_319462.4</v>
      </c>
      <c r="BD112" s="2">
        <v>100</v>
      </c>
      <c r="BE112" s="2">
        <v>100</v>
      </c>
      <c r="BF112" s="2">
        <v>100</v>
      </c>
      <c r="BG112" s="2" t="s">
        <v>105</v>
      </c>
      <c r="BH112" s="9" t="str">
        <f>HYPERLINK(".\links\REFSEQ-PROTOZOA\AGAP010271-PA-REFSEQ-PROTOZOA.txt","nitric-oxide synthase")</f>
        <v>nitric-oxide synthase</v>
      </c>
      <c r="BI112" s="2" t="str">
        <f>HYPERLINK("http://www.ncbi.nlm.nih.gov/sutils/blink.cgi?pid=XP_004343475.2","3E-042")</f>
        <v>3E-042</v>
      </c>
      <c r="BJ112" s="2" t="str">
        <f>HYPERLINK("http://www.ncbi.nlm.nih.gov/protein/XP_004343475.2","XP_004343475.2")</f>
        <v>XP_004343475.2</v>
      </c>
      <c r="BK112" s="2">
        <v>32</v>
      </c>
      <c r="BL112" s="2">
        <v>49</v>
      </c>
      <c r="BM112" s="2">
        <v>43</v>
      </c>
      <c r="BN112" s="2" t="s">
        <v>106</v>
      </c>
      <c r="BO112" s="9" t="str">
        <f>HYPERLINK(".\links\SWISSP\AGAP010271-PA-SWISSP.txt","Nitric oxide-associated protein 1")</f>
        <v>Nitric oxide-associated protein 1</v>
      </c>
      <c r="BP112" s="2" t="str">
        <f>HYPERLINK("http://www.uniprot.org/uniprot/Q32LB9","1E-094")</f>
        <v>1E-094</v>
      </c>
      <c r="BQ112" s="2" t="str">
        <f>HYPERLINK("http://www.uniprot.org/uniprot/Q32LB9#expression","Q32LB9")</f>
        <v>Q32LB9</v>
      </c>
      <c r="BR112" s="2">
        <v>38</v>
      </c>
      <c r="BS112" s="2">
        <v>54</v>
      </c>
      <c r="BT112" s="2">
        <v>80</v>
      </c>
      <c r="BU112" s="2" t="s">
        <v>1284</v>
      </c>
      <c r="BV112" s="9" t="str">
        <f>HYPERLINK(".\links\FLYBASE\AGAP010271-PA-FLYBASE.txt","FBpp0085924")</f>
        <v>FBpp0085924</v>
      </c>
      <c r="BW112" s="2" t="str">
        <f>HYPERLINK("http://flybase.org/reports/FBgn0034307#alliance_summary_container","0.0")</f>
        <v>0.0</v>
      </c>
      <c r="BX112" s="2">
        <v>624</v>
      </c>
      <c r="BY112" s="2">
        <v>48</v>
      </c>
      <c r="BZ112" s="2">
        <v>67</v>
      </c>
      <c r="CA112" s="2">
        <v>90</v>
      </c>
      <c r="CB112" s="9" t="str">
        <f>HYPERLINK(".\links\CDD\AGAP010271-PA-CDD.txt","YqeH, Circularly permuted YqeH GTPase")</f>
        <v>YqeH, Circularly permuted YqeH GTPase</v>
      </c>
      <c r="CC112" s="15">
        <v>2.0000000000000001E-59</v>
      </c>
      <c r="CD112" s="2">
        <v>101.6</v>
      </c>
      <c r="CE112" s="2" t="s">
        <v>1347</v>
      </c>
      <c r="CF112" s="2" t="s">
        <v>1348</v>
      </c>
      <c r="CG112" s="9" t="str">
        <f>HYPERLINK(".\links\KOG\AGAP010271-PA-KOG.txt","Predicted GTPases")</f>
        <v>Predicted GTPases</v>
      </c>
      <c r="CH112" s="15">
        <v>9.9999999999999995E-127</v>
      </c>
      <c r="CI112" s="2">
        <v>95.8</v>
      </c>
      <c r="CJ112" s="2" t="s">
        <v>1349</v>
      </c>
      <c r="CK112" s="2" t="s">
        <v>191</v>
      </c>
      <c r="CL112" s="9" t="str">
        <f>HYPERLINK(".\links\PFAM\AGAP010271-PA-PFAM.txt","MMR_HSR1, 50S ribosome-binding GTPase")</f>
        <v>MMR_HSR1, 50S ribosome-binding GTPase</v>
      </c>
      <c r="CM112" s="15">
        <v>9.9999999999999995E-8</v>
      </c>
      <c r="CN112" s="2">
        <v>56.3</v>
      </c>
      <c r="CO112" s="2" t="s">
        <v>1350</v>
      </c>
      <c r="CP112" s="9" t="str">
        <f>HYPERLINK(".\links\SMART\AGAP010271-PA-SMART.txt","RAB, Rab subfamily of small GTPases")</f>
        <v>RAB, Rab subfamily of small GTPases</v>
      </c>
      <c r="CQ112" s="15">
        <v>9.4E-2</v>
      </c>
      <c r="CR112" s="2">
        <v>40.200000000000003</v>
      </c>
      <c r="CS112" s="2" t="s">
        <v>1351</v>
      </c>
      <c r="CT112" s="2" t="s">
        <v>1345</v>
      </c>
      <c r="CU112" s="2" t="s">
        <v>1345</v>
      </c>
      <c r="CV112" s="2" t="s">
        <v>1345</v>
      </c>
      <c r="CW112" s="2" t="str">
        <f>HYPERLINK(".\links\pep\AGAP010271-PA-pep.txt","AGAP010271-PA")</f>
        <v>AGAP010271-PA</v>
      </c>
      <c r="CX112" s="2" t="s">
        <v>95</v>
      </c>
      <c r="CY112" s="2">
        <v>697</v>
      </c>
      <c r="CZ112" s="2" t="s">
        <v>113</v>
      </c>
      <c r="DA112" s="2" t="s">
        <v>1352</v>
      </c>
      <c r="DB112" s="2">
        <v>0</v>
      </c>
      <c r="DC112" s="2">
        <v>1</v>
      </c>
      <c r="DD112" s="2" t="str">
        <f>HYPERLINK("https://www.kegg.jp/kegg-bin/search_pathway_text?map=aga&amp;keyword=AGAP010271&amp;mode=1&amp;viewImage=true","AGAP010271")</f>
        <v>AGAP010271</v>
      </c>
      <c r="DE112" s="2" t="s">
        <v>1343</v>
      </c>
      <c r="DF112" s="2" t="s">
        <v>93</v>
      </c>
      <c r="DG112" s="2" t="s">
        <v>94</v>
      </c>
      <c r="DH112" s="2" t="str">
        <f>HYPERLINK("https://vectorbase.org/vectorbase/app/record/gene/AGAP010271","AGAP010271-RA")</f>
        <v>AGAP010271-RA</v>
      </c>
      <c r="DI112" s="2" t="s">
        <v>118</v>
      </c>
      <c r="DJ112" s="2">
        <v>2279</v>
      </c>
      <c r="DK112" s="2" t="str">
        <f>HYPERLINK(".\links\netoglyc\AGAP010271-PA-netoglyc.txt","0")</f>
        <v>0</v>
      </c>
      <c r="DL112" s="2">
        <v>13.6</v>
      </c>
      <c r="DM112" s="2">
        <v>5.9</v>
      </c>
      <c r="DN112" s="2">
        <v>5.3</v>
      </c>
      <c r="DO112" s="2" t="s">
        <v>104</v>
      </c>
      <c r="DP112" s="2" t="s">
        <v>1353</v>
      </c>
      <c r="DQ112" s="2" t="str">
        <f>HYPERLINK(".\links\Sigp\AGAP010271-PA-SigP.txt","CYT")</f>
        <v>CYT</v>
      </c>
      <c r="DR112" s="2" t="s">
        <v>102</v>
      </c>
      <c r="DS112" s="2">
        <v>78.944999999999993</v>
      </c>
      <c r="DT112" s="2">
        <v>9.19</v>
      </c>
      <c r="DU112" s="2" t="s">
        <v>102</v>
      </c>
      <c r="DV112" s="2" t="s">
        <v>102</v>
      </c>
      <c r="DW112" s="2" t="s">
        <v>611</v>
      </c>
      <c r="DX112" s="2">
        <v>697</v>
      </c>
      <c r="DY112" s="12">
        <v>0</v>
      </c>
      <c r="DZ112" s="2" t="s">
        <v>102</v>
      </c>
      <c r="EA112" s="2" t="s">
        <v>102</v>
      </c>
      <c r="EB112" s="2" t="s">
        <v>102</v>
      </c>
      <c r="EC112" s="2" t="str">
        <f>HYPERLINK(".\links\gpi\AGAP010271-PA-gpi.txt","Y-NoSP")</f>
        <v>Y-NoSP</v>
      </c>
      <c r="ED112" s="2">
        <v>0.2</v>
      </c>
      <c r="EF112" s="2">
        <v>16</v>
      </c>
      <c r="EG112" s="2" t="str">
        <f>HYPERLINK(".\links\pep\AGAP010271-PA-sulf.txt","3")</f>
        <v>3</v>
      </c>
      <c r="EH112" s="2" t="s">
        <v>102</v>
      </c>
      <c r="EI112" s="2">
        <v>13.6298421807747</v>
      </c>
      <c r="EJ112" s="2">
        <v>5.3084648493543796</v>
      </c>
      <c r="EK112" s="2">
        <v>5.8823529411764701</v>
      </c>
      <c r="EL112" s="2">
        <v>11.190817790530801</v>
      </c>
      <c r="EM112" s="2">
        <v>1</v>
      </c>
      <c r="EN112" s="2">
        <v>2</v>
      </c>
      <c r="EO112" s="2">
        <v>3</v>
      </c>
      <c r="EP112" s="2" t="s">
        <v>102</v>
      </c>
      <c r="EQ112" s="2" t="s">
        <v>102</v>
      </c>
      <c r="ER112" s="2" t="s">
        <v>102</v>
      </c>
      <c r="ES112" s="2" t="s">
        <v>102</v>
      </c>
      <c r="ET112" s="2" t="str">
        <f>HYPERLINK(".\links\REFSEQ-INVERTEBRATE\AGAP010271-PA-REFSEQ-INVERTEBRATE.txt","AGAP010271-PA, partial")</f>
        <v>AGAP010271-PA, partial</v>
      </c>
      <c r="EU112" s="2" t="str">
        <f>HYPERLINK("http://www.ncbi.nlm.nih.gov/sutils/blink.cgi?pid=XP_319462.4","0.0")</f>
        <v>0.0</v>
      </c>
      <c r="EV112" s="2" t="str">
        <f>HYPERLINK("http://www.ncbi.nlm.nih.gov/protein/XP_319462.4","XP_319462.4")</f>
        <v>XP_319462.4</v>
      </c>
      <c r="EW112" s="2">
        <v>100</v>
      </c>
      <c r="EX112" s="2">
        <v>100</v>
      </c>
      <c r="EY112" s="2">
        <v>100</v>
      </c>
      <c r="EZ112" s="2" t="s">
        <v>105</v>
      </c>
    </row>
    <row r="113" spans="1:156" x14ac:dyDescent="0.25">
      <c r="A113" s="2" t="s">
        <v>1354</v>
      </c>
      <c r="B113" s="2">
        <v>0.36517631150010899</v>
      </c>
      <c r="C113" s="2">
        <f t="shared" si="1"/>
        <v>1.2880390309087224</v>
      </c>
      <c r="D113" s="2">
        <v>6.3172204172815096</v>
      </c>
      <c r="E113" s="2">
        <v>11.714187757536299</v>
      </c>
      <c r="F113" s="2">
        <v>6.2025378182620596E-4</v>
      </c>
      <c r="G113" s="2">
        <v>2.77845500904421E-2</v>
      </c>
      <c r="H113" s="2" t="s">
        <v>93</v>
      </c>
      <c r="I113" s="2" t="s">
        <v>94</v>
      </c>
      <c r="J113" s="2" t="str">
        <f>HYPERLINK("https://vectorbase.org/vectorbase/app/record/gene/AGAP029368","AGAP029368-RA")</f>
        <v>AGAP029368-RA</v>
      </c>
      <c r="K113" s="2" t="str">
        <f>HYPERLINK(".\links\pep\AGAP029368-PA-pep.txt","AGAP029368-PA")</f>
        <v>AGAP029368-PA</v>
      </c>
      <c r="L113" s="12" t="s">
        <v>95</v>
      </c>
      <c r="M113" s="2">
        <v>1554</v>
      </c>
      <c r="N113" s="2">
        <v>0</v>
      </c>
      <c r="O113" s="2">
        <v>1</v>
      </c>
      <c r="P113" s="2" t="s">
        <v>102</v>
      </c>
      <c r="Q113" s="9" t="s">
        <v>607</v>
      </c>
      <c r="R113" s="2" t="s">
        <v>608</v>
      </c>
      <c r="V113" s="2" t="s">
        <v>1355</v>
      </c>
      <c r="W113" s="10" t="s">
        <v>607</v>
      </c>
      <c r="X113" s="2" t="s">
        <v>608</v>
      </c>
      <c r="Z113" s="15"/>
      <c r="AB113" s="13" t="str">
        <f>HYPERLINK(".\links\pep\AGAP029368-PA-sulf.txt","2")</f>
        <v>2</v>
      </c>
      <c r="AC113" s="13" t="str">
        <f>HYPERLINK(".\links\Sigp\AGAP029368-PA-SigP.txt","CYT")</f>
        <v>CYT</v>
      </c>
      <c r="AD113" s="2" t="s">
        <v>102</v>
      </c>
      <c r="AE113" s="2">
        <v>175.078</v>
      </c>
      <c r="AF113" s="2">
        <v>8.61</v>
      </c>
      <c r="AG113" s="2" t="s">
        <v>102</v>
      </c>
      <c r="AH113" s="2" t="s">
        <v>102</v>
      </c>
      <c r="AI113" s="2" t="s">
        <v>211</v>
      </c>
      <c r="AJ113" s="13">
        <v>0</v>
      </c>
      <c r="AK113" s="2" t="s">
        <v>102</v>
      </c>
      <c r="AL113" s="2" t="s">
        <v>102</v>
      </c>
      <c r="AM113" s="2" t="s">
        <v>102</v>
      </c>
      <c r="AN113" s="9" t="str">
        <f>HYPERLINK(".\links\gpi\AGAP029368-PA-gpi.txt","N")</f>
        <v>N</v>
      </c>
      <c r="AO113" s="14" t="str">
        <f>HYPERLINK(".\links\netoglyc\AGAP029368-PA-netoglyc.txt","3")</f>
        <v>3</v>
      </c>
      <c r="AP113" s="13">
        <v>18.3</v>
      </c>
      <c r="AQ113" s="2">
        <v>2.5</v>
      </c>
      <c r="AR113" s="2">
        <v>3.3</v>
      </c>
      <c r="AS113" s="2" t="s">
        <v>104</v>
      </c>
      <c r="AT113" s="9" t="str">
        <f>HYPERLINK(".\links\NR-LIGHT\AGAP029368-PA-NR-LIGHT.txt","hypothetical protein AND_008462")</f>
        <v>hypothetical protein AND_008462</v>
      </c>
      <c r="AU113" s="2" t="str">
        <f>HYPERLINK("http://www.ncbi.nlm.nih.gov/sutils/blink.cgi?pid=ETN59934.1","4E-032")</f>
        <v>4E-032</v>
      </c>
      <c r="AV113" s="2" t="str">
        <f>HYPERLINK("http://www.ncbi.nlm.nih.gov/protein/ETN59934.1","ETN59934.1")</f>
        <v>ETN59934.1</v>
      </c>
      <c r="AW113" s="2">
        <v>46</v>
      </c>
      <c r="AX113" s="2">
        <v>61</v>
      </c>
      <c r="AY113" s="2">
        <v>95</v>
      </c>
      <c r="AZ113" s="2" t="s">
        <v>360</v>
      </c>
      <c r="BA113" s="9" t="str">
        <f>HYPERLINK(".\links\REFSEQ-INVERTEBRATE\AGAP029368-PA-REFSEQ-INVERTEBRATE.txt","uncharacterized protein LOC111682010")</f>
        <v>uncharacterized protein LOC111682010</v>
      </c>
      <c r="BB113" s="2" t="str">
        <f>HYPERLINK("http://www.ncbi.nlm.nih.gov/sutils/blink.cgi?pid=XP_023299689.1","4E-024")</f>
        <v>4E-024</v>
      </c>
      <c r="BC113" s="2" t="str">
        <f>HYPERLINK("http://www.ncbi.nlm.nih.gov/protein/XP_023299689.1","XP_023299689.1")</f>
        <v>XP_023299689.1</v>
      </c>
      <c r="BD113" s="2">
        <v>19</v>
      </c>
      <c r="BE113" s="2">
        <v>36</v>
      </c>
      <c r="BF113" s="2">
        <v>30</v>
      </c>
      <c r="BG113" s="2" t="s">
        <v>1356</v>
      </c>
      <c r="BH113" s="9" t="str">
        <f>HYPERLINK(".\links\REFSEQ-PROTOZOA\AGAP029368-PA-REFSEQ-PROTOZOA.txt","viral A-type inclusion protein")</f>
        <v>viral A-type inclusion protein</v>
      </c>
      <c r="BI113" s="2" t="str">
        <f>HYPERLINK("http://www.ncbi.nlm.nih.gov/sutils/blink.cgi?pid=XP_001310118.1","8E-018")</f>
        <v>8E-018</v>
      </c>
      <c r="BJ113" s="2" t="str">
        <f>HYPERLINK("http://www.ncbi.nlm.nih.gov/protein/XP_001310118.1","XP_001310118.1")</f>
        <v>XP_001310118.1</v>
      </c>
      <c r="BK113" s="2">
        <v>19</v>
      </c>
      <c r="BL113" s="2">
        <v>40</v>
      </c>
      <c r="BM113" s="2">
        <v>35</v>
      </c>
      <c r="BN113" s="2" t="s">
        <v>292</v>
      </c>
      <c r="BO113" s="9" t="str">
        <f>HYPERLINK(".\links\SWISSP\AGAP029368-PA-SWISSP.txt","Serine-rich adhesin for platelets")</f>
        <v>Serine-rich adhesin for platelets</v>
      </c>
      <c r="BP113" s="2" t="str">
        <f>HYPERLINK("http://www.uniprot.org/uniprot/Q2FUW1","1E-011")</f>
        <v>1E-011</v>
      </c>
      <c r="BQ113" s="2" t="str">
        <f>HYPERLINK("http://www.uniprot.org/uniprot/Q2FUW1#expression","Q2FUW1")</f>
        <v>Q2FUW1</v>
      </c>
      <c r="BR113" s="2">
        <v>16</v>
      </c>
      <c r="BS113" s="2">
        <v>36</v>
      </c>
      <c r="BT113" s="2">
        <v>41</v>
      </c>
      <c r="BU113" s="2" t="s">
        <v>1357</v>
      </c>
      <c r="BV113" s="9" t="str">
        <f>HYPERLINK(".\links\FLYBASE\AGAP029368-PA-FLYBASE.txt","FBpp0086850")</f>
        <v>FBpp0086850</v>
      </c>
      <c r="BW113" s="2" t="str">
        <f>HYPERLINK("http://flybase.org/reports/FBgn0033806#alliance_summary_container","2E-05")</f>
        <v>2E-05</v>
      </c>
      <c r="BX113" s="2">
        <v>844</v>
      </c>
      <c r="BY113" s="2">
        <v>33</v>
      </c>
      <c r="BZ113" s="2">
        <v>58</v>
      </c>
      <c r="CA113" s="2">
        <v>11</v>
      </c>
      <c r="CB113" s="9" t="str">
        <f>HYPERLINK(".\links\CDD\AGAP029368-PA-CDD.txt","transcription_coactivator_CAPER, splicing factor, CC1-like family")</f>
        <v>transcription_coactivator_CAPER, splicing factor, CC1-like family</v>
      </c>
      <c r="CC113" s="15">
        <v>1.2E-2</v>
      </c>
      <c r="CD113" s="2">
        <v>18.8</v>
      </c>
      <c r="CE113" s="2" t="s">
        <v>1358</v>
      </c>
      <c r="CF113" s="2" t="s">
        <v>1359</v>
      </c>
      <c r="CG113" s="9" t="str">
        <f>HYPERLINK(".\links\KOG\AGAP029368-PA-KOG.txt","Transcriptional coactivator CAPER (RRM superfamily)")</f>
        <v>Transcriptional coactivator CAPER (RRM superfamily)</v>
      </c>
      <c r="CH113" s="15">
        <v>1E-3</v>
      </c>
      <c r="CI113" s="2">
        <v>16.8</v>
      </c>
      <c r="CJ113" s="2" t="s">
        <v>1360</v>
      </c>
      <c r="CK113" s="2" t="s">
        <v>309</v>
      </c>
      <c r="CL113" s="9" t="str">
        <f>HYPERLINK(".\links\PFAM\AGAP029368-PA-PFAM.txt","DUF1777, Protein of unknown function (DUF1777)")</f>
        <v>DUF1777, Protein of unknown function (DUF1777)</v>
      </c>
      <c r="CM113" s="15">
        <v>3.7999999999999999E-2</v>
      </c>
      <c r="CN113" s="2">
        <v>52.6</v>
      </c>
      <c r="CO113" s="2" t="s">
        <v>1361</v>
      </c>
      <c r="CP113" s="9" t="str">
        <f>HYPERLINK(".\links\SMART\AGAP029368-PA-SMART.txt","Alpha-L-AF_C, Alpha-L-arabinofuranosidase C-terminus")</f>
        <v>Alpha-L-AF_C, Alpha-L-arabinofuranosidase C-terminus</v>
      </c>
      <c r="CQ113" s="15">
        <v>0.56999999999999995</v>
      </c>
      <c r="CR113" s="2">
        <v>25.9</v>
      </c>
      <c r="CS113" s="2" t="s">
        <v>1362</v>
      </c>
      <c r="CT113" s="2" t="s">
        <v>1355</v>
      </c>
      <c r="CU113" s="2" t="s">
        <v>1355</v>
      </c>
      <c r="CV113" s="2" t="s">
        <v>1355</v>
      </c>
      <c r="CW113" s="2" t="str">
        <f>HYPERLINK(".\links\pep\AGAP029368-PA-pep.txt","AGAP029368-PA")</f>
        <v>AGAP029368-PA</v>
      </c>
      <c r="CX113" s="2" t="s">
        <v>95</v>
      </c>
      <c r="CY113" s="2">
        <v>1554</v>
      </c>
      <c r="CZ113" s="2" t="s">
        <v>113</v>
      </c>
      <c r="DA113" s="2" t="s">
        <v>1363</v>
      </c>
      <c r="DB113" s="2">
        <v>0</v>
      </c>
      <c r="DC113" s="2">
        <v>1</v>
      </c>
      <c r="DD113" s="2" t="str">
        <f>HYPERLINK("https://www.kegg.jp/kegg-bin/search_pathway_text?map=aga&amp;keyword=AGAP029368&amp;mode=1&amp;viewImage=true","AGAP029368")</f>
        <v>AGAP029368</v>
      </c>
      <c r="DE113" s="2" t="s">
        <v>1354</v>
      </c>
      <c r="DF113" s="2" t="s">
        <v>93</v>
      </c>
      <c r="DG113" s="2" t="s">
        <v>94</v>
      </c>
      <c r="DH113" s="2" t="str">
        <f>HYPERLINK("https://vectorbase.org/vectorbase/app/record/gene/AGAP029368","AGAP029368-RA")</f>
        <v>AGAP029368-RA</v>
      </c>
      <c r="DI113" s="2" t="s">
        <v>118</v>
      </c>
      <c r="DJ113" s="2">
        <v>4791</v>
      </c>
      <c r="DK113" s="2" t="str">
        <f>HYPERLINK(".\links\netoglyc\AGAP029368-PA-netoglyc.txt","3")</f>
        <v>3</v>
      </c>
      <c r="DL113" s="2">
        <v>18.3</v>
      </c>
      <c r="DM113" s="2">
        <v>2.5</v>
      </c>
      <c r="DN113" s="2">
        <v>3.3</v>
      </c>
      <c r="DO113" s="2" t="s">
        <v>104</v>
      </c>
      <c r="DP113" s="2" t="s">
        <v>1364</v>
      </c>
      <c r="DQ113" s="2" t="str">
        <f>HYPERLINK(".\links\Sigp\AGAP029368-PA-SigP.txt","CYT")</f>
        <v>CYT</v>
      </c>
      <c r="DR113" s="2" t="s">
        <v>102</v>
      </c>
      <c r="DS113" s="2">
        <v>175.078</v>
      </c>
      <c r="DT113" s="2">
        <v>8.61</v>
      </c>
      <c r="DU113" s="2" t="s">
        <v>102</v>
      </c>
      <c r="DV113" s="2" t="s">
        <v>102</v>
      </c>
      <c r="DW113" s="2" t="s">
        <v>211</v>
      </c>
      <c r="DX113" s="2">
        <v>1554</v>
      </c>
      <c r="DY113" s="12">
        <v>0</v>
      </c>
      <c r="DZ113" s="2" t="s">
        <v>102</v>
      </c>
      <c r="EA113" s="2" t="s">
        <v>102</v>
      </c>
      <c r="EB113" s="2" t="s">
        <v>102</v>
      </c>
      <c r="EC113" s="2" t="str">
        <f>HYPERLINK(".\links\gpi\AGAP029368-PA-gpi.txt","N")</f>
        <v>N</v>
      </c>
      <c r="ED113" s="2">
        <v>0.35</v>
      </c>
      <c r="EF113" s="2">
        <v>41</v>
      </c>
      <c r="EG113" s="2" t="str">
        <f>HYPERLINK(".\links\pep\AGAP029368-PA-sulf.txt","2")</f>
        <v>2</v>
      </c>
      <c r="EH113" s="2" t="s">
        <v>102</v>
      </c>
      <c r="EI113" s="2">
        <v>18.339768339768298</v>
      </c>
      <c r="EJ113" s="2">
        <v>3.2818532818532802</v>
      </c>
      <c r="EK113" s="2">
        <v>2.50965250965251</v>
      </c>
      <c r="EL113" s="2">
        <v>5.7915057915057897</v>
      </c>
      <c r="EM113" s="2">
        <v>1</v>
      </c>
      <c r="EN113" s="2">
        <v>1</v>
      </c>
      <c r="EO113" s="2">
        <v>3</v>
      </c>
      <c r="EP113" s="2" t="s">
        <v>102</v>
      </c>
      <c r="EQ113" s="2" t="s">
        <v>102</v>
      </c>
      <c r="ER113" s="2" t="s">
        <v>102</v>
      </c>
      <c r="ES113" s="2" t="s">
        <v>102</v>
      </c>
      <c r="ET113" s="2" t="str">
        <f>HYPERLINK(".\links\REFSEQ-INVERTEBRATE\AGAP029368-PA-REFSEQ-INVERTEBRATE.txt","uncharacterized protein LOC118517156 isoform X3")</f>
        <v>uncharacterized protein LOC118517156 isoform X3</v>
      </c>
      <c r="EU113" s="2" t="str">
        <f>HYPERLINK("http://www.ncbi.nlm.nih.gov/sutils/blink.cgi?pid=XP_035918917.1","8E-37")</f>
        <v>8E-37</v>
      </c>
      <c r="EV113" s="2" t="str">
        <f>HYPERLINK("http://www.ncbi.nlm.nih.gov/protein/XP_035918917.1","XP_035918917.1")</f>
        <v>XP_035918917.1</v>
      </c>
      <c r="EW113" s="2">
        <v>46</v>
      </c>
      <c r="EX113" s="2">
        <v>62</v>
      </c>
      <c r="EY113" s="2">
        <v>14</v>
      </c>
      <c r="EZ113" s="2" t="s">
        <v>370</v>
      </c>
    </row>
    <row r="114" spans="1:156" x14ac:dyDescent="0.25">
      <c r="A114" s="2" t="s">
        <v>1365</v>
      </c>
      <c r="B114" s="2">
        <v>0.36514582412151703</v>
      </c>
      <c r="C114" s="2">
        <f t="shared" si="1"/>
        <v>1.2880118120457289</v>
      </c>
      <c r="D114" s="2">
        <v>7.3152712037747003</v>
      </c>
      <c r="E114" s="2">
        <v>9.1618966098044901</v>
      </c>
      <c r="F114" s="2">
        <v>2.47106331782611E-3</v>
      </c>
      <c r="G114" s="2">
        <v>4.6651971258958397E-2</v>
      </c>
      <c r="H114" s="2" t="s">
        <v>1366</v>
      </c>
      <c r="I114" s="2" t="s">
        <v>94</v>
      </c>
      <c r="J114" s="2" t="str">
        <f>HYPERLINK("https://vectorbase.org/vectorbase/app/record/gene/AGAP004723","AGAP004723-RA")</f>
        <v>AGAP004723-RA</v>
      </c>
      <c r="K114" s="2" t="str">
        <f>HYPERLINK(".\links\pep\AGAP004723-PA-pep.txt","AGAP004723-PA")</f>
        <v>AGAP004723-PA</v>
      </c>
      <c r="L114" s="12" t="s">
        <v>95</v>
      </c>
      <c r="M114" s="2">
        <v>177</v>
      </c>
      <c r="N114" s="2">
        <v>0</v>
      </c>
      <c r="O114" s="2">
        <v>0</v>
      </c>
      <c r="P114" s="2" t="s">
        <v>1367</v>
      </c>
      <c r="Q114" s="9" t="s">
        <v>1368</v>
      </c>
      <c r="R114" s="2" t="s">
        <v>388</v>
      </c>
      <c r="S114" s="2" t="str">
        <f>HYPERLINK(".\links\KOG\AGAP004723-PA-KOG.txt","KOG")</f>
        <v>KOG</v>
      </c>
      <c r="T114" s="2">
        <v>1.9999999999999999E-23</v>
      </c>
      <c r="U114" s="2">
        <v>71.099999999999994</v>
      </c>
      <c r="V114" s="2" t="s">
        <v>1369</v>
      </c>
      <c r="W114" s="10" t="s">
        <v>1370</v>
      </c>
      <c r="X114" s="2" t="s">
        <v>388</v>
      </c>
      <c r="Y114" s="2" t="str">
        <f>HYPERLINK(".\links\UNIPROTKB\AGAP004723-PA-UNIPROTKB.txt","UNIPROTKB")</f>
        <v>UNIPROTKB</v>
      </c>
      <c r="Z114" s="15">
        <v>2.0000000000000001E-56</v>
      </c>
      <c r="AA114" s="2">
        <v>90.7</v>
      </c>
      <c r="AB114" s="13" t="s">
        <v>102</v>
      </c>
      <c r="AC114" s="13" t="str">
        <f>HYPERLINK(".\links\Sigp\AGAP004723-PA-SigP.txt","CYT")</f>
        <v>CYT</v>
      </c>
      <c r="AD114" s="2" t="s">
        <v>102</v>
      </c>
      <c r="AE114" s="2">
        <v>20.295999999999999</v>
      </c>
      <c r="AF114" s="2">
        <v>5.53</v>
      </c>
      <c r="AG114" s="2" t="s">
        <v>102</v>
      </c>
      <c r="AH114" s="2" t="s">
        <v>102</v>
      </c>
      <c r="AI114" s="2" t="s">
        <v>211</v>
      </c>
      <c r="AJ114" s="13">
        <v>0</v>
      </c>
      <c r="AK114" s="2" t="s">
        <v>102</v>
      </c>
      <c r="AL114" s="2" t="s">
        <v>102</v>
      </c>
      <c r="AM114" s="2" t="s">
        <v>102</v>
      </c>
      <c r="AN114" s="13" t="str">
        <f>HYPERLINK(".\links\gpi\AGAP004723-PA-gpi.txt","N")</f>
        <v>N</v>
      </c>
      <c r="AO114" s="14" t="str">
        <f>HYPERLINK(".\links\netoglyc\AGAP004723-PA-netoglyc.txt","1")</f>
        <v>1</v>
      </c>
      <c r="AP114" s="13">
        <v>10.7</v>
      </c>
      <c r="AQ114" s="2">
        <v>4</v>
      </c>
      <c r="AR114" s="2">
        <v>4.5</v>
      </c>
      <c r="AS114" s="2" t="s">
        <v>104</v>
      </c>
      <c r="AT114" s="9" t="str">
        <f>HYPERLINK(".\links\NR-LIGHT\AGAP004723-PA-NR-LIGHT.txt","AGAP004723-PA")</f>
        <v>AGAP004723-PA</v>
      </c>
      <c r="AU114" s="2" t="str">
        <f>HYPERLINK("http://www.ncbi.nlm.nih.gov/sutils/blink.cgi?pid=XP_318105.4","5E-095")</f>
        <v>5E-095</v>
      </c>
      <c r="AV114" s="2" t="str">
        <f>HYPERLINK("http://www.ncbi.nlm.nih.gov/protein/XP_318105.4","XP_318105.4")</f>
        <v>XP_318105.4</v>
      </c>
      <c r="AW114" s="2">
        <v>93</v>
      </c>
      <c r="AX114" s="2">
        <v>93</v>
      </c>
      <c r="AY114" s="2">
        <v>100</v>
      </c>
      <c r="AZ114" s="2" t="s">
        <v>105</v>
      </c>
      <c r="BA114" s="9" t="str">
        <f>HYPERLINK(".\links\REFSEQ-INVERTEBRATE\AGAP004723-PA-REFSEQ-INVERTEBRATE.txt","AGAP004723-PA")</f>
        <v>AGAP004723-PA</v>
      </c>
      <c r="BB114" s="2" t="str">
        <f>HYPERLINK("http://www.ncbi.nlm.nih.gov/sutils/blink.cgi?pid=XP_318105.4","4E-095")</f>
        <v>4E-095</v>
      </c>
      <c r="BC114" s="2" t="str">
        <f>HYPERLINK("http://www.ncbi.nlm.nih.gov/protein/XP_318105.4","XP_318105.4")</f>
        <v>XP_318105.4</v>
      </c>
      <c r="BD114" s="2">
        <v>93</v>
      </c>
      <c r="BE114" s="2">
        <v>93</v>
      </c>
      <c r="BF114" s="2">
        <v>100</v>
      </c>
      <c r="BG114" s="2" t="s">
        <v>105</v>
      </c>
      <c r="BH114" s="9" t="str">
        <f>HYPERLINK(".\links\REFSEQ-PROTOZOA\AGAP004723-PA-REFSEQ-PROTOZOA.txt","chromo' (CHRromatin Organization MOdifier) domain containing protein")</f>
        <v>chromo' (CHRromatin Organization MOdifier) domain containing protein</v>
      </c>
      <c r="BI114" s="2" t="str">
        <f>HYPERLINK("http://www.ncbi.nlm.nih.gov/sutils/blink.cgi?pid=XP_004341423.1","3E-017")</f>
        <v>3E-017</v>
      </c>
      <c r="BJ114" s="2" t="str">
        <f>HYPERLINK("http://www.ncbi.nlm.nih.gov/protein/XP_004341423.1","XP_004341423.1")</f>
        <v>XP_004341423.1</v>
      </c>
      <c r="BK114" s="2">
        <v>30</v>
      </c>
      <c r="BL114" s="2">
        <v>46</v>
      </c>
      <c r="BM114" s="2">
        <v>48</v>
      </c>
      <c r="BN114" s="2" t="s">
        <v>600</v>
      </c>
      <c r="BO114" s="9" t="str">
        <f>HYPERLINK(".\links\SWISSP\AGAP004723-PA-SWISSP.txt","Chromobox protein homolog 1")</f>
        <v>Chromobox protein homolog 1</v>
      </c>
      <c r="BP114" s="2" t="str">
        <f>HYPERLINK("http://www.uniprot.org/uniprot/P83917","5E-053")</f>
        <v>5E-053</v>
      </c>
      <c r="BQ114" s="2" t="str">
        <f>HYPERLINK("http://www.uniprot.org/uniprot/P83917#expression","P83917")</f>
        <v>P83917</v>
      </c>
      <c r="BR114" s="2">
        <v>58</v>
      </c>
      <c r="BS114" s="2">
        <v>70</v>
      </c>
      <c r="BT114" s="2">
        <v>96</v>
      </c>
      <c r="BU114" s="2" t="s">
        <v>662</v>
      </c>
      <c r="BV114" s="9" t="str">
        <f>HYPERLINK(".\links\FLYBASE\AGAP004723-PA-FLYBASE.txt","FBpp0291019")</f>
        <v>FBpp0291019</v>
      </c>
      <c r="BW114" s="2" t="str">
        <f>HYPERLINK("http://flybase.org/reports/FBgn0030082#alliance_summary_container","5E-53")</f>
        <v>5E-53</v>
      </c>
      <c r="BX114" s="2">
        <v>240</v>
      </c>
      <c r="BY114" s="2">
        <v>54</v>
      </c>
      <c r="BZ114" s="2">
        <v>69</v>
      </c>
      <c r="CA114" s="2">
        <v>66</v>
      </c>
      <c r="CB114" s="9" t="str">
        <f>HYPERLINK(".\links\CDD\AGAP004723-PA-CDD.txt","Chromo_shadow, Chromo shadow domain")</f>
        <v>Chromo_shadow, Chromo shadow domain</v>
      </c>
      <c r="CC114" s="15">
        <v>8.9999999999999994E-21</v>
      </c>
      <c r="CD114" s="2">
        <v>98.1</v>
      </c>
      <c r="CE114" s="2" t="s">
        <v>1371</v>
      </c>
      <c r="CF114" s="2" t="s">
        <v>1372</v>
      </c>
      <c r="CG114" s="9" t="str">
        <f>HYPERLINK(".\links\KOG\AGAP004723-PA-KOG.txt","Heterochromatin-associated protein HP1 and related CHROMO domain proteins")</f>
        <v>Heterochromatin-associated protein HP1 and related CHROMO domain proteins</v>
      </c>
      <c r="CH114" s="15">
        <v>1.9999999999999999E-23</v>
      </c>
      <c r="CI114" s="2">
        <v>71.099999999999994</v>
      </c>
      <c r="CJ114" s="2" t="s">
        <v>1373</v>
      </c>
      <c r="CK114" s="2" t="s">
        <v>398</v>
      </c>
      <c r="CL114" s="9" t="str">
        <f>HYPERLINK(".\links\PFAM\AGAP004723-PA-PFAM.txt","Chromo_shadow, Chromo shadow domain")</f>
        <v>Chromo_shadow, Chromo shadow domain</v>
      </c>
      <c r="CM114" s="15">
        <v>1.9999999999999998E-21</v>
      </c>
      <c r="CN114" s="2">
        <v>98.1</v>
      </c>
      <c r="CO114" s="2" t="s">
        <v>1371</v>
      </c>
      <c r="CP114" s="9" t="str">
        <f>HYPERLINK(".\links\SMART\AGAP004723-PA-SMART.txt","ChSh, Chromo Shadow Domain")</f>
        <v>ChSh, Chromo Shadow Domain</v>
      </c>
      <c r="CQ114" s="15">
        <v>3.9999999999999999E-19</v>
      </c>
      <c r="CR114" s="2">
        <v>101.6</v>
      </c>
      <c r="CS114" s="2" t="s">
        <v>1374</v>
      </c>
      <c r="CT114" s="2" t="s">
        <v>1369</v>
      </c>
      <c r="CU114" s="2" t="s">
        <v>1369</v>
      </c>
      <c r="CV114" s="2" t="s">
        <v>1369</v>
      </c>
      <c r="CW114" s="2" t="str">
        <f>HYPERLINK(".\links\pep\AGAP004723-PA-pep.txt","AGAP004723-PA")</f>
        <v>AGAP004723-PA</v>
      </c>
      <c r="CX114" s="2" t="s">
        <v>95</v>
      </c>
      <c r="CY114" s="2">
        <v>177</v>
      </c>
      <c r="CZ114" s="2" t="s">
        <v>113</v>
      </c>
      <c r="DA114" s="2" t="s">
        <v>1375</v>
      </c>
      <c r="DB114" s="2">
        <v>0</v>
      </c>
      <c r="DC114" s="2">
        <v>0</v>
      </c>
      <c r="DD114" s="2" t="str">
        <f>HYPERLINK("https://www.kegg.jp/kegg-bin/search_pathway_text?map=aga&amp;keyword=AGAP004723&amp;mode=1&amp;viewImage=true","AGAP004723")</f>
        <v>AGAP004723</v>
      </c>
      <c r="DE114" s="2" t="s">
        <v>1365</v>
      </c>
      <c r="DF114" s="2" t="s">
        <v>1366</v>
      </c>
      <c r="DG114" s="2" t="s">
        <v>94</v>
      </c>
      <c r="DH114" s="2" t="str">
        <f>HYPERLINK("https://vectorbase.org/vectorbase/app/record/gene/AGAP004723","AGAP004723-RA")</f>
        <v>AGAP004723-RA</v>
      </c>
      <c r="DI114" s="2" t="s">
        <v>135</v>
      </c>
      <c r="DJ114" s="2">
        <v>1111</v>
      </c>
      <c r="DK114" s="2" t="str">
        <f>HYPERLINK(".\links\netoglyc\AGAP004723-PA-netoglyc.txt","1")</f>
        <v>1</v>
      </c>
      <c r="DL114" s="2">
        <v>10.7</v>
      </c>
      <c r="DM114" s="2">
        <v>4</v>
      </c>
      <c r="DN114" s="2">
        <v>4.5</v>
      </c>
      <c r="DO114" s="2" t="s">
        <v>104</v>
      </c>
      <c r="DP114" s="2" t="s">
        <v>1376</v>
      </c>
      <c r="DQ114" s="2" t="str">
        <f>HYPERLINK(".\links\Sigp\AGAP004723-PA-SigP.txt","CYT")</f>
        <v>CYT</v>
      </c>
      <c r="DR114" s="2" t="s">
        <v>102</v>
      </c>
      <c r="DS114" s="2">
        <v>20.295999999999999</v>
      </c>
      <c r="DT114" s="2">
        <v>5.53</v>
      </c>
      <c r="DU114" s="2" t="s">
        <v>102</v>
      </c>
      <c r="DV114" s="2" t="s">
        <v>102</v>
      </c>
      <c r="DW114" s="2" t="s">
        <v>211</v>
      </c>
      <c r="DX114" s="2">
        <v>177</v>
      </c>
      <c r="DY114" s="12">
        <v>0</v>
      </c>
      <c r="DZ114" s="2" t="s">
        <v>102</v>
      </c>
      <c r="EA114" s="2" t="s">
        <v>102</v>
      </c>
      <c r="EB114" s="2" t="s">
        <v>102</v>
      </c>
      <c r="EC114" s="2" t="str">
        <f>HYPERLINK(".\links\gpi\AGAP004723-PA-gpi.txt","N")</f>
        <v>N</v>
      </c>
      <c r="ED114" s="2">
        <v>0.4</v>
      </c>
      <c r="EF114" s="2">
        <v>2</v>
      </c>
      <c r="EG114" s="2" t="s">
        <v>102</v>
      </c>
      <c r="EH114" s="2" t="s">
        <v>102</v>
      </c>
      <c r="EI114" s="2">
        <v>10.7344632768362</v>
      </c>
      <c r="EJ114" s="2">
        <v>4.5197740112994396</v>
      </c>
      <c r="EK114" s="2">
        <v>3.9548022598870101</v>
      </c>
      <c r="EL114" s="2">
        <v>8.4745762711864394</v>
      </c>
      <c r="EM114" s="2" t="s">
        <v>102</v>
      </c>
      <c r="EN114" s="2">
        <v>1</v>
      </c>
      <c r="EO114" s="2">
        <v>1</v>
      </c>
      <c r="EP114" s="2" t="s">
        <v>102</v>
      </c>
      <c r="EQ114" s="2" t="s">
        <v>102</v>
      </c>
      <c r="ER114" s="2" t="s">
        <v>102</v>
      </c>
      <c r="ES114" s="2" t="s">
        <v>102</v>
      </c>
      <c r="ET114" s="2" t="str">
        <f>HYPERLINK(".\links\REFSEQ-INVERTEBRATE\AGAP004723-PA-REFSEQ-INVERTEBRATE.txt","chromobox protein homolog 1-like")</f>
        <v>chromobox protein homolog 1-like</v>
      </c>
      <c r="EU114" s="2" t="str">
        <f>HYPERLINK("http://www.ncbi.nlm.nih.gov/sutils/blink.cgi?pid=XP_035912706.1","1E-114")</f>
        <v>1E-114</v>
      </c>
      <c r="EV114" s="2" t="str">
        <f>HYPERLINK("http://www.ncbi.nlm.nih.gov/protein/XP_035912706.1","XP_035912706.1")</f>
        <v>XP_035912706.1</v>
      </c>
      <c r="EW114" s="2">
        <v>90</v>
      </c>
      <c r="EX114" s="2">
        <v>96</v>
      </c>
      <c r="EY114" s="2">
        <v>99</v>
      </c>
      <c r="EZ114" s="2" t="s">
        <v>370</v>
      </c>
    </row>
    <row r="115" spans="1:156" x14ac:dyDescent="0.25">
      <c r="A115" s="2" t="s">
        <v>1377</v>
      </c>
      <c r="B115" s="2">
        <v>0.36402924708665202</v>
      </c>
      <c r="C115" s="2">
        <f t="shared" si="1"/>
        <v>1.2870153381011333</v>
      </c>
      <c r="D115" s="2">
        <v>5.6102694913848197</v>
      </c>
      <c r="E115" s="2">
        <v>11.4265555816682</v>
      </c>
      <c r="F115" s="2">
        <v>7.24017819952915E-4</v>
      </c>
      <c r="G115" s="2">
        <v>2.9060416152416502E-2</v>
      </c>
      <c r="H115" s="2" t="s">
        <v>93</v>
      </c>
      <c r="I115" s="2" t="s">
        <v>94</v>
      </c>
      <c r="J115" s="2" t="str">
        <f>HYPERLINK("https://vectorbase.org/vectorbase/app/record/gene/AGAP007971","AGAP007971-RA")</f>
        <v>AGAP007971-RA</v>
      </c>
      <c r="K115" s="2" t="str">
        <f>HYPERLINK(".\links\pep\AGAP007971-PA-pep.txt","AGAP007971-PA")</f>
        <v>AGAP007971-PA</v>
      </c>
      <c r="L115" s="12" t="s">
        <v>95</v>
      </c>
      <c r="M115" s="2">
        <v>443</v>
      </c>
      <c r="N115" s="2">
        <v>0</v>
      </c>
      <c r="O115" s="2">
        <v>0</v>
      </c>
      <c r="P115" s="2" t="s">
        <v>102</v>
      </c>
      <c r="Q115" s="9" t="s">
        <v>738</v>
      </c>
      <c r="R115" s="2" t="s">
        <v>420</v>
      </c>
      <c r="S115" s="2" t="str">
        <f>HYPERLINK(".\links\KOG\AGAP007971-PA-KOG.txt","KOG")</f>
        <v>KOG</v>
      </c>
      <c r="T115" s="2">
        <v>1.9999999999999999E-11</v>
      </c>
      <c r="U115" s="2">
        <v>48.7</v>
      </c>
      <c r="V115" s="2" t="s">
        <v>1378</v>
      </c>
      <c r="W115" s="10" t="s">
        <v>1379</v>
      </c>
      <c r="X115" s="2" t="s">
        <v>420</v>
      </c>
      <c r="Y115" s="2" t="str">
        <f>HYPERLINK(".\links\UNIPROTKB\AGAP007971-PA-UNIPROTKB.txt","UNIPROTKB")</f>
        <v>UNIPROTKB</v>
      </c>
      <c r="Z115" s="15">
        <v>2.0000000000000001E-33</v>
      </c>
      <c r="AA115" s="2">
        <v>64.7</v>
      </c>
      <c r="AB115" s="13" t="s">
        <v>102</v>
      </c>
      <c r="AC115" s="13" t="str">
        <f>HYPERLINK(".\links\Sigp\AGAP007971-PA-SigP.txt","CYT")</f>
        <v>CYT</v>
      </c>
      <c r="AD115" s="2" t="s">
        <v>102</v>
      </c>
      <c r="AE115" s="2">
        <v>51.029000000000003</v>
      </c>
      <c r="AF115" s="2">
        <v>6.8</v>
      </c>
      <c r="AG115" s="2" t="s">
        <v>102</v>
      </c>
      <c r="AH115" s="2" t="s">
        <v>102</v>
      </c>
      <c r="AI115" s="2" t="s">
        <v>934</v>
      </c>
      <c r="AJ115" s="13">
        <v>0</v>
      </c>
      <c r="AK115" s="2" t="s">
        <v>102</v>
      </c>
      <c r="AL115" s="2" t="s">
        <v>102</v>
      </c>
      <c r="AM115" s="2" t="s">
        <v>102</v>
      </c>
      <c r="AN115" s="13" t="str">
        <f>HYPERLINK(".\links\gpi\AGAP007971-PA-gpi.txt","N")</f>
        <v>N</v>
      </c>
      <c r="AO115" s="14" t="str">
        <f>HYPERLINK(".\links\netoglyc\AGAP007971-PA-netoglyc.txt","0")</f>
        <v>0</v>
      </c>
      <c r="AP115" s="13">
        <v>11.3</v>
      </c>
      <c r="AQ115" s="2">
        <v>3.6</v>
      </c>
      <c r="AR115" s="2">
        <v>2.9</v>
      </c>
      <c r="AS115" s="2" t="s">
        <v>104</v>
      </c>
      <c r="AT115" s="9" t="str">
        <f>HYPERLINK(".\links\NR-LIGHT\AGAP007971-PA-NR-LIGHT.txt","AGAP007971-PA, partial")</f>
        <v>AGAP007971-PA, partial</v>
      </c>
      <c r="AU115" s="2" t="str">
        <f>HYPERLINK("http://www.ncbi.nlm.nih.gov/sutils/blink.cgi?pid=XP_001689041.1","2E-062")</f>
        <v>2E-062</v>
      </c>
      <c r="AV115" s="2" t="str">
        <f>HYPERLINK("http://www.ncbi.nlm.nih.gov/protein/XP_001689041.1","XP_001689041.1")</f>
        <v>XP_001689041.1</v>
      </c>
      <c r="AW115" s="2">
        <v>51</v>
      </c>
      <c r="AX115" s="2">
        <v>62</v>
      </c>
      <c r="AY115" s="2">
        <v>66</v>
      </c>
      <c r="AZ115" s="2" t="s">
        <v>105</v>
      </c>
      <c r="BA115" s="9" t="str">
        <f>HYPERLINK(".\links\REFSEQ-INVERTEBRATE\AGAP007971-PA-REFSEQ-INVERTEBRATE.txt","AGAP007971-PA, partial")</f>
        <v>AGAP007971-PA, partial</v>
      </c>
      <c r="BB115" s="2" t="str">
        <f>HYPERLINK("http://www.ncbi.nlm.nih.gov/sutils/blink.cgi?pid=XP_001689041.1","2E-062")</f>
        <v>2E-062</v>
      </c>
      <c r="BC115" s="2" t="str">
        <f>HYPERLINK("http://www.ncbi.nlm.nih.gov/protein/XP_001689041.1","XP_001689041.1")</f>
        <v>XP_001689041.1</v>
      </c>
      <c r="BD115" s="2">
        <v>51</v>
      </c>
      <c r="BE115" s="2">
        <v>62</v>
      </c>
      <c r="BF115" s="2">
        <v>66</v>
      </c>
      <c r="BG115" s="2" t="s">
        <v>105</v>
      </c>
      <c r="BH115" s="9" t="str">
        <f>HYPERLINK(".\links\REFSEQ-PROTOZOA\AGAP007971-PA-REFSEQ-PROTOZOA.txt","zinc finger, c2h2 type family protein")</f>
        <v>zinc finger, c2h2 type family protein</v>
      </c>
      <c r="BI115" s="2" t="str">
        <f>HYPERLINK("http://www.ncbi.nlm.nih.gov/sutils/blink.cgi?pid=XP_002372116.1","4E-029")</f>
        <v>4E-029</v>
      </c>
      <c r="BJ115" s="2" t="str">
        <f>HYPERLINK("http://www.ncbi.nlm.nih.gov/protein/XP_002372116.1","XP_002372116.1")</f>
        <v>XP_002372116.1</v>
      </c>
      <c r="BK115" s="2">
        <v>28</v>
      </c>
      <c r="BL115" s="2">
        <v>50</v>
      </c>
      <c r="BM115" s="2">
        <v>86</v>
      </c>
      <c r="BN115" s="2" t="s">
        <v>741</v>
      </c>
      <c r="BO115" s="9" t="str">
        <f>HYPERLINK(".\links\SWISSP\AGAP007971-PA-SWISSP.txt","Zinc finger protein 83")</f>
        <v>Zinc finger protein 83</v>
      </c>
      <c r="BP115" s="2" t="str">
        <f>HYPERLINK("http://www.uniprot.org/uniprot/P51522","1E-036")</f>
        <v>1E-036</v>
      </c>
      <c r="BQ115" s="2" t="str">
        <f>HYPERLINK("http://www.uniprot.org/uniprot/P51522#expression","P51522")</f>
        <v>P51522</v>
      </c>
      <c r="BR115" s="2">
        <v>31</v>
      </c>
      <c r="BS115" s="2">
        <v>45</v>
      </c>
      <c r="BT115" s="2">
        <v>59</v>
      </c>
      <c r="BU115" s="2" t="s">
        <v>127</v>
      </c>
      <c r="BV115" s="9" t="str">
        <f>HYPERLINK(".\links\FLYBASE\AGAP007971-PA-FLYBASE.txt","FBpp0075533")</f>
        <v>FBpp0075533</v>
      </c>
      <c r="BW115" s="2" t="str">
        <f>HYPERLINK("http://flybase.org/reports/FBgn0025874#alliance_summary_container","3E-26")</f>
        <v>3E-26</v>
      </c>
      <c r="BX115" s="2">
        <v>583</v>
      </c>
      <c r="BY115" s="2">
        <v>31</v>
      </c>
      <c r="BZ115" s="2">
        <v>47</v>
      </c>
      <c r="CA115" s="2">
        <v>40</v>
      </c>
      <c r="CB115" s="9" t="str">
        <f>HYPERLINK(".\links\CDD\AGAP007971-PA-CDD.txt","ZF_C2H2, Zinc finger, C2H2 type")</f>
        <v>ZF_C2H2, Zinc finger, C2H2 type</v>
      </c>
      <c r="CC115" s="15">
        <v>7.9999999999999995E-11</v>
      </c>
      <c r="CD115" s="2">
        <v>101.3</v>
      </c>
      <c r="CE115" s="2" t="s">
        <v>569</v>
      </c>
      <c r="CF115" s="2" t="s">
        <v>1380</v>
      </c>
      <c r="CG115" s="9" t="str">
        <f>HYPERLINK(".\links\KOG\AGAP007971-PA-KOG.txt","Zn finger proteins")</f>
        <v>Zn finger proteins</v>
      </c>
      <c r="CH115" s="15">
        <v>2E-12</v>
      </c>
      <c r="CI115" s="2">
        <v>40.5</v>
      </c>
      <c r="CJ115" s="2" t="s">
        <v>686</v>
      </c>
      <c r="CK115" s="2" t="s">
        <v>191</v>
      </c>
      <c r="CL115" s="9" t="str">
        <f>HYPERLINK(".\links\PFAM\AGAP007971-PA-PFAM.txt","zf-AD, Zinc-finger associated domain (zf-AD)")</f>
        <v>zf-AD, Zinc-finger associated domain (zf-AD)</v>
      </c>
      <c r="CM115" s="15">
        <v>9.9999999999999995E-7</v>
      </c>
      <c r="CN115" s="2">
        <v>104.1</v>
      </c>
      <c r="CO115" s="2" t="s">
        <v>687</v>
      </c>
      <c r="CP115" s="9" t="str">
        <f>HYPERLINK(".\links\SMART\AGAP007971-PA-SMART.txt","zf-AD, Zinc-finger associated domain (zf-AD)")</f>
        <v>zf-AD, Zinc-finger associated domain (zf-AD)</v>
      </c>
      <c r="CQ115" s="15">
        <v>2E-8</v>
      </c>
      <c r="CR115" s="2">
        <v>104.1</v>
      </c>
      <c r="CS115" s="2" t="s">
        <v>684</v>
      </c>
      <c r="CT115" s="2" t="s">
        <v>1378</v>
      </c>
      <c r="CU115" s="2" t="s">
        <v>1378</v>
      </c>
      <c r="CV115" s="2" t="s">
        <v>1378</v>
      </c>
      <c r="CW115" s="2" t="str">
        <f>HYPERLINK(".\links\pep\AGAP007971-PA-pep.txt","AGAP007971-PA")</f>
        <v>AGAP007971-PA</v>
      </c>
      <c r="CX115" s="2" t="s">
        <v>95</v>
      </c>
      <c r="CY115" s="2">
        <v>443</v>
      </c>
      <c r="CZ115" s="2" t="s">
        <v>113</v>
      </c>
      <c r="DA115" s="2" t="s">
        <v>1381</v>
      </c>
      <c r="DB115" s="2">
        <v>0</v>
      </c>
      <c r="DC115" s="2">
        <v>0</v>
      </c>
      <c r="DD115" s="2" t="str">
        <f>HYPERLINK("https://www.kegg.jp/kegg-bin/search_pathway_text?map=aga&amp;keyword=AGAP007971&amp;mode=1&amp;viewImage=true","AGAP007971")</f>
        <v>AGAP007971</v>
      </c>
      <c r="DE115" s="2" t="s">
        <v>1377</v>
      </c>
      <c r="DF115" s="2" t="s">
        <v>93</v>
      </c>
      <c r="DG115" s="2" t="s">
        <v>94</v>
      </c>
      <c r="DH115" s="2" t="str">
        <f>HYPERLINK("https://vectorbase.org/vectorbase/app/record/gene/AGAP007971","AGAP007971-RA")</f>
        <v>AGAP007971-RA</v>
      </c>
      <c r="DI115" s="2" t="s">
        <v>135</v>
      </c>
      <c r="DJ115" s="2">
        <v>1565</v>
      </c>
      <c r="DK115" s="2" t="str">
        <f>HYPERLINK(".\links\netoglyc\AGAP007971-PA-netoglyc.txt","0")</f>
        <v>0</v>
      </c>
      <c r="DL115" s="2">
        <v>11.3</v>
      </c>
      <c r="DM115" s="2">
        <v>3.6</v>
      </c>
      <c r="DN115" s="2">
        <v>2.9</v>
      </c>
      <c r="DO115" s="2" t="s">
        <v>104</v>
      </c>
      <c r="DP115" s="2" t="s">
        <v>102</v>
      </c>
      <c r="DQ115" s="2" t="str">
        <f>HYPERLINK(".\links\Sigp\AGAP007971-PA-SigP.txt","CYT")</f>
        <v>CYT</v>
      </c>
      <c r="DR115" s="2" t="s">
        <v>102</v>
      </c>
      <c r="DS115" s="2">
        <v>51.029000000000003</v>
      </c>
      <c r="DT115" s="2">
        <v>6.8</v>
      </c>
      <c r="DU115" s="2" t="s">
        <v>102</v>
      </c>
      <c r="DV115" s="2" t="s">
        <v>102</v>
      </c>
      <c r="DW115" s="2" t="s">
        <v>934</v>
      </c>
      <c r="DX115" s="2">
        <v>443</v>
      </c>
      <c r="DY115" s="12">
        <v>0</v>
      </c>
      <c r="DZ115" s="2" t="s">
        <v>102</v>
      </c>
      <c r="EA115" s="2" t="s">
        <v>102</v>
      </c>
      <c r="EB115" s="2" t="s">
        <v>102</v>
      </c>
      <c r="EC115" s="2" t="str">
        <f>HYPERLINK(".\links\gpi\AGAP007971-PA-gpi.txt","N")</f>
        <v>N</v>
      </c>
      <c r="ED115" s="2">
        <v>0.32</v>
      </c>
      <c r="EE115" s="2" t="s">
        <v>1382</v>
      </c>
      <c r="EF115" s="2">
        <v>33</v>
      </c>
      <c r="EG115" s="2" t="s">
        <v>102</v>
      </c>
      <c r="EH115" s="2" t="s">
        <v>102</v>
      </c>
      <c r="EI115" s="2">
        <v>11.2866817155756</v>
      </c>
      <c r="EJ115" s="2">
        <v>2.9345372460496599</v>
      </c>
      <c r="EK115" s="2">
        <v>3.6117381489842</v>
      </c>
      <c r="EL115" s="2">
        <v>6.5462753950338604</v>
      </c>
      <c r="EM115" s="2" t="s">
        <v>102</v>
      </c>
      <c r="EN115" s="2" t="s">
        <v>102</v>
      </c>
      <c r="EO115" s="2" t="s">
        <v>102</v>
      </c>
      <c r="EP115" s="2" t="s">
        <v>102</v>
      </c>
      <c r="EQ115" s="2" t="s">
        <v>102</v>
      </c>
      <c r="ER115" s="2" t="s">
        <v>102</v>
      </c>
      <c r="ES115" s="2" t="s">
        <v>102</v>
      </c>
      <c r="ET115" s="2" t="str">
        <f>HYPERLINK(".\links\REFSEQ-INVERTEBRATE\AGAP007971-PA-REFSEQ-INVERTEBRATE.txt","zinc finger protein 501-like")</f>
        <v>zinc finger protein 501-like</v>
      </c>
      <c r="EU115" s="2" t="str">
        <f>HYPERLINK("http://www.ncbi.nlm.nih.gov/sutils/blink.cgi?pid=XP_035916108.1","1E-105")</f>
        <v>1E-105</v>
      </c>
      <c r="EV115" s="2" t="str">
        <f>HYPERLINK("http://www.ncbi.nlm.nih.gov/protein/XP_035916108.1","XP_035916108.1")</f>
        <v>XP_035916108.1</v>
      </c>
      <c r="EW115" s="2">
        <v>41</v>
      </c>
      <c r="EX115" s="2">
        <v>57</v>
      </c>
      <c r="EY115" s="2">
        <v>106</v>
      </c>
      <c r="EZ115" s="2" t="s">
        <v>370</v>
      </c>
    </row>
    <row r="116" spans="1:156" x14ac:dyDescent="0.25">
      <c r="A116" s="2" t="s">
        <v>1383</v>
      </c>
      <c r="B116" s="2">
        <v>0.363427811589904</v>
      </c>
      <c r="C116" s="2">
        <f t="shared" si="1"/>
        <v>1.286478914696316</v>
      </c>
      <c r="D116" s="2">
        <v>6.7139192228273696</v>
      </c>
      <c r="E116" s="2">
        <v>9.0422560266223009</v>
      </c>
      <c r="F116" s="2">
        <v>2.6380988698636301E-3</v>
      </c>
      <c r="G116" s="2">
        <v>4.73560370901751E-2</v>
      </c>
      <c r="H116" s="2" t="s">
        <v>1384</v>
      </c>
      <c r="I116" s="2" t="s">
        <v>94</v>
      </c>
      <c r="J116" s="2" t="str">
        <f>HYPERLINK("https://vectorbase.org/vectorbase/app/record/gene/AGAP010212","AGAP010212-RA")</f>
        <v>AGAP010212-RA</v>
      </c>
      <c r="K116" s="2" t="str">
        <f>HYPERLINK(".\links\pep\AGAP010212-PA-pep.txt","AGAP010212-PA")</f>
        <v>AGAP010212-PA</v>
      </c>
      <c r="L116" s="12" t="s">
        <v>95</v>
      </c>
      <c r="M116" s="2">
        <v>128</v>
      </c>
      <c r="N116" s="2">
        <v>0</v>
      </c>
      <c r="O116" s="2">
        <v>0</v>
      </c>
      <c r="P116" s="2" t="s">
        <v>1385</v>
      </c>
      <c r="Q116" s="9" t="s">
        <v>1386</v>
      </c>
      <c r="R116" s="2" t="s">
        <v>101</v>
      </c>
      <c r="S116" s="2" t="str">
        <f>HYPERLINK(".\links\KOG\AGAP010212-PA-KOG.txt","KOG")</f>
        <v>KOG</v>
      </c>
      <c r="T116" s="2">
        <v>2.0000000000000001E-10</v>
      </c>
      <c r="U116" s="2">
        <v>100</v>
      </c>
      <c r="V116" s="2" t="s">
        <v>1387</v>
      </c>
      <c r="W116" s="10" t="s">
        <v>1388</v>
      </c>
      <c r="X116" s="2" t="s">
        <v>101</v>
      </c>
      <c r="Y116" s="2" t="str">
        <f>HYPERLINK(".\links\UNIPROTKB\AGAP010212-PA-UNIPROTKB.txt","UNIPROTKB")</f>
        <v>UNIPROTKB</v>
      </c>
      <c r="Z116" s="15">
        <v>5.9999999999999999E-19</v>
      </c>
      <c r="AA116" s="2">
        <v>96.7</v>
      </c>
      <c r="AB116" s="13" t="s">
        <v>102</v>
      </c>
      <c r="AC116" s="13" t="str">
        <f>HYPERLINK(".\links\Sigp\AGAP010212-PA-SigP.txt","CYT")</f>
        <v>CYT</v>
      </c>
      <c r="AD116" s="2" t="s">
        <v>102</v>
      </c>
      <c r="AE116" s="2">
        <v>14.926</v>
      </c>
      <c r="AF116" s="2">
        <v>7.8</v>
      </c>
      <c r="AG116" s="2" t="s">
        <v>102</v>
      </c>
      <c r="AH116" s="2" t="s">
        <v>102</v>
      </c>
      <c r="AI116" s="2" t="s">
        <v>211</v>
      </c>
      <c r="AJ116" s="13">
        <v>0</v>
      </c>
      <c r="AK116" s="2" t="s">
        <v>102</v>
      </c>
      <c r="AL116" s="2" t="s">
        <v>102</v>
      </c>
      <c r="AM116" s="2" t="s">
        <v>102</v>
      </c>
      <c r="AN116" s="13" t="str">
        <f>HYPERLINK(".\links\gpi\AGAP010212-PA-gpi.txt","N")</f>
        <v>N</v>
      </c>
      <c r="AO116" s="14" t="str">
        <f>HYPERLINK(".\links\netoglyc\AGAP010212-PA-netoglyc.txt","3")</f>
        <v>3</v>
      </c>
      <c r="AP116" s="13">
        <v>15.6</v>
      </c>
      <c r="AQ116" s="2">
        <v>1.6</v>
      </c>
      <c r="AR116" s="2">
        <v>2.2999999999999998</v>
      </c>
      <c r="AS116" s="2" t="s">
        <v>104</v>
      </c>
      <c r="AT116" s="9" t="str">
        <f>HYPERLINK(".\links\NR-LIGHT\AGAP010212-PA-NR-LIGHT.txt","AGAP010212-PA")</f>
        <v>AGAP010212-PA</v>
      </c>
      <c r="AU116" s="2" t="str">
        <f>HYPERLINK("http://www.ncbi.nlm.nih.gov/sutils/blink.cgi?pid=XP_319396.4","3E-065")</f>
        <v>3E-065</v>
      </c>
      <c r="AV116" s="2" t="str">
        <f>HYPERLINK("http://www.ncbi.nlm.nih.gov/protein/XP_319396.4","XP_319396.4")</f>
        <v>XP_319396.4</v>
      </c>
      <c r="AW116" s="2">
        <v>100</v>
      </c>
      <c r="AX116" s="2">
        <v>100</v>
      </c>
      <c r="AY116" s="2">
        <v>100</v>
      </c>
      <c r="AZ116" s="2" t="s">
        <v>105</v>
      </c>
      <c r="BA116" s="9" t="str">
        <f>HYPERLINK(".\links\REFSEQ-INVERTEBRATE\AGAP010212-PA-REFSEQ-INVERTEBRATE.txt","AGAP010212-PA")</f>
        <v>AGAP010212-PA</v>
      </c>
      <c r="BB116" s="2" t="str">
        <f>HYPERLINK("http://www.ncbi.nlm.nih.gov/sutils/blink.cgi?pid=XP_319396.4","3E-065")</f>
        <v>3E-065</v>
      </c>
      <c r="BC116" s="2" t="str">
        <f>HYPERLINK("http://www.ncbi.nlm.nih.gov/protein/XP_319396.4","XP_319396.4")</f>
        <v>XP_319396.4</v>
      </c>
      <c r="BD116" s="2">
        <v>100</v>
      </c>
      <c r="BE116" s="2">
        <v>100</v>
      </c>
      <c r="BF116" s="2">
        <v>100</v>
      </c>
      <c r="BG116" s="2" t="s">
        <v>105</v>
      </c>
      <c r="BH116" s="9" t="str">
        <f>HYPERLINK(".\links\REFSEQ-PROTOZOA\AGAP010212-PA-REFSEQ-PROTOZOA.txt","hypothetical protein SARC_07027")</f>
        <v>hypothetical protein SARC_07027</v>
      </c>
      <c r="BI116" s="2" t="str">
        <f>HYPERLINK("http://www.ncbi.nlm.nih.gov/sutils/blink.cgi?pid=XP_014154520.1","5E-012")</f>
        <v>5E-012</v>
      </c>
      <c r="BJ116" s="2" t="str">
        <f>HYPERLINK("http://www.ncbi.nlm.nih.gov/protein/XP_014154520.1","XP_014154520.1")</f>
        <v>XP_014154520.1</v>
      </c>
      <c r="BK116" s="2">
        <v>29</v>
      </c>
      <c r="BL116" s="2">
        <v>61</v>
      </c>
      <c r="BM116" s="2">
        <v>90</v>
      </c>
      <c r="BN116" s="2" t="s">
        <v>393</v>
      </c>
      <c r="BO116" s="9" t="str">
        <f>HYPERLINK(".\links\SWISSP\AGAP010212-PA-SWISSP.txt","Prefoldin subunit 1")</f>
        <v>Prefoldin subunit 1</v>
      </c>
      <c r="BP116" s="2" t="str">
        <f>HYPERLINK("http://www.uniprot.org/uniprot/Q5RAM7","1E-017")</f>
        <v>1E-017</v>
      </c>
      <c r="BQ116" s="2" t="str">
        <f>HYPERLINK("http://www.uniprot.org/uniprot/Q5RAM7#expression","Q5RAM7")</f>
        <v>Q5RAM7</v>
      </c>
      <c r="BR116" s="2">
        <v>34</v>
      </c>
      <c r="BS116" s="2">
        <v>63</v>
      </c>
      <c r="BT116" s="2">
        <v>97</v>
      </c>
      <c r="BU116" s="2" t="s">
        <v>363</v>
      </c>
      <c r="BV116" s="9" t="str">
        <f>HYPERLINK(".\links\FLYBASE\AGAP010212-PA-FLYBASE.txt","FBpp0309825")</f>
        <v>FBpp0309825</v>
      </c>
      <c r="BW116" s="2" t="str">
        <f>HYPERLINK("http://flybase.org/reports/FBgn0031776#alliance_summary_container","5E-39")</f>
        <v>5E-39</v>
      </c>
      <c r="BX116" s="2">
        <v>126</v>
      </c>
      <c r="BY116" s="2">
        <v>55</v>
      </c>
      <c r="BZ116" s="2">
        <v>74</v>
      </c>
      <c r="CA116" s="2">
        <v>92</v>
      </c>
      <c r="CB116" s="9" t="str">
        <f>HYPERLINK(".\links\CDD\AGAP010212-PA-CDD.txt","Prefoldin_2, Prefoldin subunit")</f>
        <v>Prefoldin_2, Prefoldin subunit</v>
      </c>
      <c r="CC116" s="15">
        <v>6E-11</v>
      </c>
      <c r="CD116" s="2">
        <v>100</v>
      </c>
      <c r="CE116" s="2" t="s">
        <v>1389</v>
      </c>
      <c r="CF116" s="2" t="s">
        <v>1390</v>
      </c>
      <c r="CG116" s="9" t="str">
        <f>HYPERLINK(".\links\KOG\AGAP010212-PA-KOG.txt","subunit 1")</f>
        <v>subunit 1</v>
      </c>
      <c r="CH116" s="15">
        <v>2.0000000000000001E-10</v>
      </c>
      <c r="CI116" s="2">
        <v>100</v>
      </c>
      <c r="CJ116" s="2" t="s">
        <v>1391</v>
      </c>
      <c r="CK116" s="2" t="s">
        <v>111</v>
      </c>
      <c r="CL116" s="9" t="str">
        <f>HYPERLINK(".\links\PFAM\AGAP010212-PA-PFAM.txt","Prefoldin_2, Prefoldin subunit")</f>
        <v>Prefoldin_2, Prefoldin subunit</v>
      </c>
      <c r="CM116" s="15">
        <v>1.9999999999999999E-11</v>
      </c>
      <c r="CN116" s="2">
        <v>100</v>
      </c>
      <c r="CO116" s="2" t="s">
        <v>1389</v>
      </c>
      <c r="CP116" s="9" t="str">
        <f>HYPERLINK(".\links\SMART\AGAP010212-PA-SMART.txt","MYSc, Myosin")</f>
        <v>MYSc, Myosin</v>
      </c>
      <c r="CQ116" s="15">
        <v>0.23</v>
      </c>
      <c r="CR116" s="2">
        <v>2.1</v>
      </c>
      <c r="CS116" s="2" t="s">
        <v>383</v>
      </c>
      <c r="CT116" s="2" t="s">
        <v>1387</v>
      </c>
      <c r="CU116" s="2" t="s">
        <v>1387</v>
      </c>
      <c r="CV116" s="2" t="s">
        <v>1387</v>
      </c>
      <c r="CW116" s="2" t="str">
        <f>HYPERLINK(".\links\pep\AGAP010212-PA-pep.txt","AGAP010212-PA")</f>
        <v>AGAP010212-PA</v>
      </c>
      <c r="CX116" s="2" t="s">
        <v>95</v>
      </c>
      <c r="CY116" s="2">
        <v>128</v>
      </c>
      <c r="CZ116" s="2" t="s">
        <v>113</v>
      </c>
      <c r="DA116" s="2" t="s">
        <v>1392</v>
      </c>
      <c r="DB116" s="2">
        <v>0</v>
      </c>
      <c r="DC116" s="2">
        <v>0</v>
      </c>
      <c r="DD116" s="2" t="str">
        <f>HYPERLINK("https://www.kegg.jp/kegg-bin/search_pathway_text?map=aga&amp;keyword=AGAP010212&amp;mode=1&amp;viewImage=true","AGAP010212")</f>
        <v>AGAP010212</v>
      </c>
      <c r="DE116" s="2" t="s">
        <v>1383</v>
      </c>
      <c r="DF116" s="2" t="s">
        <v>1384</v>
      </c>
      <c r="DG116" s="2" t="s">
        <v>94</v>
      </c>
      <c r="DH116" s="2" t="str">
        <f>HYPERLINK("https://vectorbase.org/vectorbase/app/record/gene/AGAP010212","AGAP010212-RA")</f>
        <v>AGAP010212-RA</v>
      </c>
      <c r="DI116" s="2" t="s">
        <v>115</v>
      </c>
      <c r="DJ116" s="2">
        <v>676</v>
      </c>
      <c r="DK116" s="2" t="str">
        <f>HYPERLINK(".\links\netoglyc\AGAP010212-PA-netoglyc.txt","3")</f>
        <v>3</v>
      </c>
      <c r="DL116" s="2">
        <v>15.6</v>
      </c>
      <c r="DM116" s="2">
        <v>1.6</v>
      </c>
      <c r="DN116" s="2">
        <v>2.2999999999999998</v>
      </c>
      <c r="DO116" s="2" t="s">
        <v>104</v>
      </c>
      <c r="DP116" s="2" t="s">
        <v>102</v>
      </c>
      <c r="DQ116" s="2" t="str">
        <f>HYPERLINK(".\links\Sigp\AGAP010212-PA-SigP.txt","CYT")</f>
        <v>CYT</v>
      </c>
      <c r="DR116" s="2" t="s">
        <v>102</v>
      </c>
      <c r="DS116" s="2">
        <v>14.926</v>
      </c>
      <c r="DT116" s="2">
        <v>7.8</v>
      </c>
      <c r="DU116" s="2" t="s">
        <v>102</v>
      </c>
      <c r="DV116" s="2" t="s">
        <v>102</v>
      </c>
      <c r="DW116" s="2" t="s">
        <v>211</v>
      </c>
      <c r="DX116" s="2">
        <v>128</v>
      </c>
      <c r="DY116" s="12">
        <v>0</v>
      </c>
      <c r="DZ116" s="2" t="s">
        <v>102</v>
      </c>
      <c r="EA116" s="2" t="s">
        <v>102</v>
      </c>
      <c r="EB116" s="2" t="s">
        <v>102</v>
      </c>
      <c r="EC116" s="2" t="str">
        <f>HYPERLINK(".\links\gpi\AGAP010212-PA-gpi.txt","N")</f>
        <v>N</v>
      </c>
      <c r="ED116" s="2">
        <v>0.45</v>
      </c>
      <c r="EF116" s="2">
        <v>1</v>
      </c>
      <c r="EG116" s="2" t="s">
        <v>102</v>
      </c>
      <c r="EH116" s="2" t="s">
        <v>102</v>
      </c>
      <c r="EI116" s="2">
        <v>15.625</v>
      </c>
      <c r="EJ116" s="2">
        <v>2.34375</v>
      </c>
      <c r="EK116" s="2">
        <v>1.5625</v>
      </c>
      <c r="EL116" s="2">
        <v>3.90625</v>
      </c>
      <c r="EM116" s="2" t="s">
        <v>102</v>
      </c>
      <c r="EN116" s="2" t="s">
        <v>102</v>
      </c>
      <c r="EO116" s="2" t="s">
        <v>102</v>
      </c>
      <c r="EP116" s="2" t="s">
        <v>102</v>
      </c>
      <c r="EQ116" s="2" t="s">
        <v>102</v>
      </c>
      <c r="ER116" s="2" t="s">
        <v>102</v>
      </c>
      <c r="ES116" s="2" t="s">
        <v>102</v>
      </c>
      <c r="ET116" s="2" t="str">
        <f>HYPERLINK(".\links\REFSEQ-INVERTEBRATE\AGAP010212-PA-REFSEQ-INVERTEBRATE.txt","AGAP010212-PA")</f>
        <v>AGAP010212-PA</v>
      </c>
      <c r="EU116" s="2" t="str">
        <f>HYPERLINK("http://www.ncbi.nlm.nih.gov/sutils/blink.cgi?pid=XP_319396.4","8E-89")</f>
        <v>8E-89</v>
      </c>
      <c r="EV116" s="2" t="str">
        <f>HYPERLINK("http://www.ncbi.nlm.nih.gov/protein/XP_319396.4","XP_319396.4")</f>
        <v>XP_319396.4</v>
      </c>
      <c r="EW116" s="2">
        <v>100</v>
      </c>
      <c r="EX116" s="2">
        <v>100</v>
      </c>
      <c r="EY116" s="2">
        <v>100</v>
      </c>
      <c r="EZ116" s="2" t="s">
        <v>105</v>
      </c>
    </row>
    <row r="117" spans="1:156" x14ac:dyDescent="0.25">
      <c r="A117" s="2" t="s">
        <v>1393</v>
      </c>
      <c r="B117" s="2">
        <v>0.363198800708398</v>
      </c>
      <c r="C117" s="2">
        <f t="shared" si="1"/>
        <v>1.2862747174961906</v>
      </c>
      <c r="D117" s="2">
        <v>7.0316015242297398</v>
      </c>
      <c r="E117" s="2">
        <v>14.884287373047099</v>
      </c>
      <c r="F117" s="2">
        <v>1.1431117153891E-4</v>
      </c>
      <c r="G117" s="2">
        <v>1.12503193640794E-2</v>
      </c>
      <c r="H117" s="2" t="s">
        <v>93</v>
      </c>
      <c r="I117" s="2" t="s">
        <v>94</v>
      </c>
      <c r="J117" s="2" t="str">
        <f>HYPERLINK("https://vectorbase.org/vectorbase/app/record/gene/AGAP003594","AGAP003594-RA")</f>
        <v>AGAP003594-RA</v>
      </c>
      <c r="K117" s="2" t="str">
        <f>HYPERLINK(".\links\pep\AGAP003594-PA-pep.txt","AGAP003594-PA")</f>
        <v>AGAP003594-PA</v>
      </c>
      <c r="L117" s="12" t="s">
        <v>95</v>
      </c>
      <c r="M117" s="2">
        <v>504</v>
      </c>
      <c r="N117" s="2">
        <v>0</v>
      </c>
      <c r="O117" s="2">
        <v>2</v>
      </c>
      <c r="P117" s="2" t="s">
        <v>102</v>
      </c>
      <c r="Q117" s="9" t="s">
        <v>1394</v>
      </c>
      <c r="R117" s="2" t="s">
        <v>564</v>
      </c>
      <c r="S117" s="2" t="str">
        <f>HYPERLINK(".\links\SWISSP\AGAP003594-PA-SWISSP.txt","SWISSP")</f>
        <v>SWISSP</v>
      </c>
      <c r="T117" s="2">
        <v>8.9999999999999997E-54</v>
      </c>
      <c r="U117" s="2">
        <v>97.3</v>
      </c>
      <c r="V117" s="2" t="s">
        <v>1395</v>
      </c>
      <c r="W117" s="10" t="s">
        <v>849</v>
      </c>
      <c r="X117" s="2" t="s">
        <v>420</v>
      </c>
      <c r="Y117" s="2" t="str">
        <f>HYPERLINK(".\links\UNIPROTKB\AGAP003594-PA-UNIPROTKB.txt","UNIPROTKB")</f>
        <v>UNIPROTKB</v>
      </c>
      <c r="Z117" s="15">
        <v>3.0000000000000002E-47</v>
      </c>
      <c r="AA117" s="2">
        <v>97.5</v>
      </c>
      <c r="AB117" s="13" t="str">
        <f>HYPERLINK(".\links\pep\AGAP003594-PA-sulf.txt","1")</f>
        <v>1</v>
      </c>
      <c r="AC117" s="13" t="str">
        <f>HYPERLINK(".\links\Sigp\AGAP003594-PA-SigP.txt","CYT")</f>
        <v>CYT</v>
      </c>
      <c r="AD117" s="2" t="s">
        <v>102</v>
      </c>
      <c r="AE117" s="2">
        <v>59.198</v>
      </c>
      <c r="AF117" s="2">
        <v>7.54</v>
      </c>
      <c r="AG117" s="2" t="s">
        <v>102</v>
      </c>
      <c r="AH117" s="2" t="s">
        <v>102</v>
      </c>
      <c r="AI117" s="2" t="s">
        <v>211</v>
      </c>
      <c r="AJ117" s="13">
        <v>0</v>
      </c>
      <c r="AK117" s="2" t="s">
        <v>102</v>
      </c>
      <c r="AL117" s="2" t="s">
        <v>102</v>
      </c>
      <c r="AM117" s="2" t="s">
        <v>102</v>
      </c>
      <c r="AN117" s="13" t="str">
        <f>HYPERLINK(".\links\gpi\AGAP003594-PA-gpi.txt","N")</f>
        <v>N</v>
      </c>
      <c r="AO117" s="14" t="str">
        <f>HYPERLINK(".\links\netoglyc\AGAP003594-PA-netoglyc.txt","1")</f>
        <v>1</v>
      </c>
      <c r="AP117" s="13">
        <v>10.7</v>
      </c>
      <c r="AQ117" s="2">
        <v>2.4</v>
      </c>
      <c r="AR117" s="2">
        <v>3.4</v>
      </c>
      <c r="AS117" s="2" t="s">
        <v>104</v>
      </c>
      <c r="AT117" s="9" t="str">
        <f>HYPERLINK(".\links\NR-LIGHT\AGAP003594-PA-NR-LIGHT.txt","AGAP003594-PA")</f>
        <v>AGAP003594-PA</v>
      </c>
      <c r="AU117" s="2" t="str">
        <f>HYPERLINK("http://www.ncbi.nlm.nih.gov/sutils/blink.cgi?pid=XP_313351.2","0.0")</f>
        <v>0.0</v>
      </c>
      <c r="AV117" s="2" t="str">
        <f>HYPERLINK("http://www.ncbi.nlm.nih.gov/protein/XP_313351.2","XP_313351.2")</f>
        <v>XP_313351.2</v>
      </c>
      <c r="AW117" s="2">
        <v>100</v>
      </c>
      <c r="AX117" s="2">
        <v>100</v>
      </c>
      <c r="AY117" s="2">
        <v>100</v>
      </c>
      <c r="AZ117" s="2" t="s">
        <v>105</v>
      </c>
      <c r="BA117" s="9" t="str">
        <f>HYPERLINK(".\links\REFSEQ-INVERTEBRATE\AGAP003594-PA-REFSEQ-INVERTEBRATE.txt","AGAP003594-PA")</f>
        <v>AGAP003594-PA</v>
      </c>
      <c r="BB117" s="2" t="str">
        <f>HYPERLINK("http://www.ncbi.nlm.nih.gov/sutils/blink.cgi?pid=XP_313351.2","0.0")</f>
        <v>0.0</v>
      </c>
      <c r="BC117" s="2" t="str">
        <f>HYPERLINK("http://www.ncbi.nlm.nih.gov/protein/XP_313351.2","XP_313351.2")</f>
        <v>XP_313351.2</v>
      </c>
      <c r="BD117" s="2">
        <v>100</v>
      </c>
      <c r="BE117" s="2">
        <v>100</v>
      </c>
      <c r="BF117" s="2">
        <v>100</v>
      </c>
      <c r="BG117" s="2" t="s">
        <v>105</v>
      </c>
      <c r="BH117" s="9" t="str">
        <f>HYPERLINK(".\links\REFSEQ-PROTOZOA\AGAP003594-PA-REFSEQ-PROTOZOA.txt","hypothetical protein GUITHDRAFT_53031, partial")</f>
        <v>hypothetical protein GUITHDRAFT_53031, partial</v>
      </c>
      <c r="BI117" s="2" t="str">
        <f>HYPERLINK("http://www.ncbi.nlm.nih.gov/sutils/blink.cgi?pid=XP_005836375.1","1E-024")</f>
        <v>1E-024</v>
      </c>
      <c r="BJ117" s="2" t="str">
        <f>HYPERLINK("http://www.ncbi.nlm.nih.gov/protein/XP_005836375.1","XP_005836375.1")</f>
        <v>XP_005836375.1</v>
      </c>
      <c r="BK117" s="2">
        <v>30</v>
      </c>
      <c r="BL117" s="2">
        <v>45</v>
      </c>
      <c r="BM117" s="2">
        <v>100</v>
      </c>
      <c r="BN117" s="2" t="s">
        <v>279</v>
      </c>
      <c r="BO117" s="9" t="str">
        <f>HYPERLINK(".\links\SWISSP\AGAP003594-PA-SWISSP.txt","Transcription factor grauzone")</f>
        <v>Transcription factor grauzone</v>
      </c>
      <c r="BP117" s="2" t="str">
        <f>HYPERLINK("http://www.uniprot.org/uniprot/Q9U405","9E-054")</f>
        <v>9E-054</v>
      </c>
      <c r="BQ117" s="2" t="str">
        <f>HYPERLINK("http://www.uniprot.org/uniprot/Q9U405#expression","Q9U405")</f>
        <v>Q9U405</v>
      </c>
      <c r="BR117" s="2">
        <v>26</v>
      </c>
      <c r="BS117" s="2">
        <v>44</v>
      </c>
      <c r="BT117" s="2">
        <v>97</v>
      </c>
      <c r="BU117" s="2" t="s">
        <v>107</v>
      </c>
      <c r="BV117" s="9" t="str">
        <f>HYPERLINK(".\links\FLYBASE\AGAP003594-PA-FLYBASE.txt","FBpp0071477")</f>
        <v>FBpp0071477</v>
      </c>
      <c r="BW117" s="2" t="str">
        <f>HYPERLINK("http://flybase.org/reports/FBgn0001133#alliance_summary_container","3E-48")</f>
        <v>3E-48</v>
      </c>
      <c r="BX117" s="2">
        <v>570</v>
      </c>
      <c r="BY117" s="2">
        <v>25</v>
      </c>
      <c r="BZ117" s="2">
        <v>43</v>
      </c>
      <c r="CA117" s="2">
        <v>98</v>
      </c>
      <c r="CB117" s="9" t="str">
        <f>HYPERLINK(".\links\CDD\AGAP003594-PA-CDD.txt","ZF_C2H2, Zinc finger, C2H2 type")</f>
        <v>ZF_C2H2, Zinc finger, C2H2 type</v>
      </c>
      <c r="CC117" s="15">
        <v>8.9999999999999999E-8</v>
      </c>
      <c r="CD117" s="2">
        <v>101.3</v>
      </c>
      <c r="CE117" s="2" t="s">
        <v>569</v>
      </c>
      <c r="CF117" s="2" t="s">
        <v>1396</v>
      </c>
      <c r="CG117" s="9" t="str">
        <f>HYPERLINK(".\links\KOG\AGAP003594-PA-KOG.txt","Zn finger proteins")</f>
        <v>Zn finger proteins</v>
      </c>
      <c r="CH117" s="15">
        <v>1.0000000000000001E-15</v>
      </c>
      <c r="CI117" s="2">
        <v>44.8</v>
      </c>
      <c r="CJ117" s="2" t="s">
        <v>686</v>
      </c>
      <c r="CK117" s="2" t="s">
        <v>191</v>
      </c>
      <c r="CL117" s="9" t="str">
        <f>HYPERLINK(".\links\PFAM\AGAP003594-PA-PFAM.txt","zf-AD, Zinc-finger associated domain (zf-AD)")</f>
        <v>zf-AD, Zinc-finger associated domain (zf-AD)</v>
      </c>
      <c r="CM117" s="15">
        <v>3.9999999999999998E-6</v>
      </c>
      <c r="CN117" s="2">
        <v>97.3</v>
      </c>
      <c r="CO117" s="2" t="s">
        <v>687</v>
      </c>
      <c r="CP117" s="9" t="str">
        <f>HYPERLINK(".\links\SMART\AGAP003594-PA-SMART.txt","zf-AD, Zinc-finger associated domain (zf-AD)")</f>
        <v>zf-AD, Zinc-finger associated domain (zf-AD)</v>
      </c>
      <c r="CQ117" s="15">
        <v>2.9999999999999999E-7</v>
      </c>
      <c r="CR117" s="2">
        <v>98.6</v>
      </c>
      <c r="CS117" s="2" t="s">
        <v>684</v>
      </c>
      <c r="CT117" s="2" t="s">
        <v>1395</v>
      </c>
      <c r="CU117" s="2" t="s">
        <v>1395</v>
      </c>
      <c r="CV117" s="2" t="s">
        <v>1395</v>
      </c>
      <c r="CW117" s="2" t="str">
        <f>HYPERLINK(".\links\pep\AGAP003594-PA-pep.txt","AGAP003594-PA")</f>
        <v>AGAP003594-PA</v>
      </c>
      <c r="CX117" s="2" t="s">
        <v>95</v>
      </c>
      <c r="CY117" s="2">
        <v>504</v>
      </c>
      <c r="CZ117" s="2" t="s">
        <v>113</v>
      </c>
      <c r="DA117" s="2" t="s">
        <v>1397</v>
      </c>
      <c r="DB117" s="2">
        <v>0</v>
      </c>
      <c r="DC117" s="2">
        <v>2</v>
      </c>
      <c r="DD117" s="2" t="str">
        <f>HYPERLINK("https://www.kegg.jp/kegg-bin/search_pathway_text?map=aga&amp;keyword=AGAP003594&amp;mode=1&amp;viewImage=true","AGAP003594")</f>
        <v>AGAP003594</v>
      </c>
      <c r="DE117" s="2" t="s">
        <v>1393</v>
      </c>
      <c r="DF117" s="2" t="s">
        <v>93</v>
      </c>
      <c r="DG117" s="2" t="s">
        <v>94</v>
      </c>
      <c r="DH117" s="2" t="str">
        <f>HYPERLINK("https://vectorbase.org/vectorbase/app/record/gene/AGAP003594","AGAP003594-RA")</f>
        <v>AGAP003594-RA</v>
      </c>
      <c r="DI117" s="2" t="s">
        <v>90</v>
      </c>
      <c r="DJ117" s="2">
        <v>1972</v>
      </c>
      <c r="DK117" s="2" t="str">
        <f>HYPERLINK(".\links\netoglyc\AGAP003594-PA-netoglyc.txt","1")</f>
        <v>1</v>
      </c>
      <c r="DL117" s="2">
        <v>10.7</v>
      </c>
      <c r="DM117" s="2">
        <v>2.4</v>
      </c>
      <c r="DN117" s="2">
        <v>3.4</v>
      </c>
      <c r="DO117" s="2" t="s">
        <v>104</v>
      </c>
      <c r="DP117" s="2" t="s">
        <v>102</v>
      </c>
      <c r="DQ117" s="2" t="str">
        <f>HYPERLINK(".\links\Sigp\AGAP003594-PA-SigP.txt","CYT")</f>
        <v>CYT</v>
      </c>
      <c r="DR117" s="2" t="s">
        <v>102</v>
      </c>
      <c r="DS117" s="2">
        <v>59.198</v>
      </c>
      <c r="DT117" s="2">
        <v>7.54</v>
      </c>
      <c r="DU117" s="2" t="s">
        <v>102</v>
      </c>
      <c r="DV117" s="2" t="s">
        <v>102</v>
      </c>
      <c r="DW117" s="2" t="s">
        <v>211</v>
      </c>
      <c r="DX117" s="2">
        <v>504</v>
      </c>
      <c r="DY117" s="12">
        <v>0</v>
      </c>
      <c r="DZ117" s="2" t="s">
        <v>102</v>
      </c>
      <c r="EA117" s="2" t="s">
        <v>102</v>
      </c>
      <c r="EB117" s="2" t="s">
        <v>102</v>
      </c>
      <c r="EC117" s="2" t="str">
        <f>HYPERLINK(".\links\gpi\AGAP003594-PA-gpi.txt","Y-NoSP")</f>
        <v>Y-NoSP</v>
      </c>
      <c r="ED117" s="2">
        <v>0.33</v>
      </c>
      <c r="EF117" s="2">
        <v>26</v>
      </c>
      <c r="EG117" s="2" t="str">
        <f>HYPERLINK(".\links\pep\AGAP003594-PA-sulf.txt","1")</f>
        <v>1</v>
      </c>
      <c r="EH117" s="2" t="s">
        <v>102</v>
      </c>
      <c r="EI117" s="2">
        <v>10.714285714285699</v>
      </c>
      <c r="EJ117" s="2">
        <v>3.3730158730158699</v>
      </c>
      <c r="EK117" s="2">
        <v>2.38095238095238</v>
      </c>
      <c r="EL117" s="2">
        <v>5.7539682539682504</v>
      </c>
      <c r="EM117" s="2" t="s">
        <v>102</v>
      </c>
      <c r="EN117" s="2">
        <v>2</v>
      </c>
      <c r="EO117" s="2">
        <v>2</v>
      </c>
      <c r="EP117" s="2" t="s">
        <v>102</v>
      </c>
      <c r="EQ117" s="2" t="s">
        <v>102</v>
      </c>
      <c r="ER117" s="2" t="s">
        <v>102</v>
      </c>
      <c r="ES117" s="2" t="s">
        <v>102</v>
      </c>
      <c r="ET117" s="2" t="str">
        <f>HYPERLINK(".\links\REFSEQ-INVERTEBRATE\AGAP003594-PA-REFSEQ-INVERTEBRATE.txt","AGAP003594-PA")</f>
        <v>AGAP003594-PA</v>
      </c>
      <c r="EU117" s="2" t="str">
        <f>HYPERLINK("http://www.ncbi.nlm.nih.gov/sutils/blink.cgi?pid=XP_313351.2","0.0")</f>
        <v>0.0</v>
      </c>
      <c r="EV117" s="2" t="str">
        <f>HYPERLINK("http://www.ncbi.nlm.nih.gov/protein/XP_313351.2","XP_313351.2")</f>
        <v>XP_313351.2</v>
      </c>
      <c r="EW117" s="2">
        <v>100</v>
      </c>
      <c r="EX117" s="2">
        <v>100</v>
      </c>
      <c r="EY117" s="2">
        <v>100</v>
      </c>
      <c r="EZ117" s="2" t="s">
        <v>105</v>
      </c>
    </row>
    <row r="118" spans="1:156" x14ac:dyDescent="0.25">
      <c r="A118" s="2" t="s">
        <v>1398</v>
      </c>
      <c r="B118" s="2">
        <v>0.36311773556705002</v>
      </c>
      <c r="C118" s="2">
        <f t="shared" si="1"/>
        <v>1.2862024436549706</v>
      </c>
      <c r="D118" s="2">
        <v>7.0547938597038797</v>
      </c>
      <c r="E118" s="2">
        <v>12.688638486917901</v>
      </c>
      <c r="F118" s="2">
        <v>3.6788404074138402E-4</v>
      </c>
      <c r="G118" s="2">
        <v>2.1768426261281001E-2</v>
      </c>
      <c r="H118" s="2" t="s">
        <v>93</v>
      </c>
      <c r="I118" s="2" t="s">
        <v>94</v>
      </c>
      <c r="J118" s="2" t="str">
        <f>HYPERLINK("https://vectorbase.org/vectorbase/app/record/gene/AGAP009800","AGAP009800-RA")</f>
        <v>AGAP009800-RA</v>
      </c>
      <c r="K118" s="2" t="str">
        <f>HYPERLINK(".\links\pep\AGAP009800-PA-pep.txt","AGAP009800-PA")</f>
        <v>AGAP009800-PA</v>
      </c>
      <c r="L118" s="12" t="s">
        <v>95</v>
      </c>
      <c r="M118" s="2">
        <v>206</v>
      </c>
      <c r="N118" s="2">
        <v>0</v>
      </c>
      <c r="O118" s="2">
        <v>0</v>
      </c>
      <c r="P118" s="2" t="s">
        <v>102</v>
      </c>
      <c r="Q118" s="9" t="s">
        <v>1399</v>
      </c>
      <c r="R118" s="2" t="s">
        <v>196</v>
      </c>
      <c r="S118" s="2" t="str">
        <f>HYPERLINK(".\links\REFSEQ-INVERTEBRATE\AGAP009800-PA-REFSEQ-INVERTEBRATE.txt","REFSEQ-INVERTEBRATE")</f>
        <v>REFSEQ-INVERTEBRATE</v>
      </c>
      <c r="T118" s="2">
        <v>0</v>
      </c>
      <c r="U118" s="2">
        <v>100</v>
      </c>
      <c r="V118" s="2" t="s">
        <v>1399</v>
      </c>
      <c r="W118" s="10" t="s">
        <v>183</v>
      </c>
      <c r="X118" s="2" t="s">
        <v>196</v>
      </c>
      <c r="Y118" s="2" t="str">
        <f>HYPERLINK(".\links\ARTHORPODA\AGAP009800-PA-ARTHORPODA.txt","ARTHORPODA")</f>
        <v>ARTHORPODA</v>
      </c>
      <c r="Z118" s="2">
        <v>0</v>
      </c>
      <c r="AA118" s="2">
        <v>100</v>
      </c>
      <c r="AB118" s="13" t="str">
        <f>HYPERLINK(".\links\pep\AGAP009800-PA-sulf.txt","2")</f>
        <v>2</v>
      </c>
      <c r="AC118" s="13" t="str">
        <f>HYPERLINK(".\links\Sigp\AGAP009800-PA-SigP.txt","CYT")</f>
        <v>CYT</v>
      </c>
      <c r="AD118" s="2" t="s">
        <v>102</v>
      </c>
      <c r="AE118" s="2">
        <v>24.047999999999998</v>
      </c>
      <c r="AF118" s="2">
        <v>5.04</v>
      </c>
      <c r="AG118" s="2" t="s">
        <v>102</v>
      </c>
      <c r="AH118" s="2" t="s">
        <v>102</v>
      </c>
      <c r="AI118" s="2" t="s">
        <v>211</v>
      </c>
      <c r="AJ118" s="13">
        <v>0</v>
      </c>
      <c r="AK118" s="2" t="s">
        <v>102</v>
      </c>
      <c r="AL118" s="2" t="s">
        <v>102</v>
      </c>
      <c r="AM118" s="2" t="s">
        <v>102</v>
      </c>
      <c r="AN118" s="13" t="str">
        <f>HYPERLINK(".\links\gpi\AGAP009800-PA-gpi.txt","N")</f>
        <v>N</v>
      </c>
      <c r="AO118" s="14" t="str">
        <f>HYPERLINK(".\links\netoglyc\AGAP009800-PA-netoglyc.txt","1")</f>
        <v>1</v>
      </c>
      <c r="AP118" s="13">
        <v>10.199999999999999</v>
      </c>
      <c r="AQ118" s="2">
        <v>2.4</v>
      </c>
      <c r="AR118" s="2">
        <v>2.4</v>
      </c>
      <c r="AS118" s="2" t="s">
        <v>104</v>
      </c>
      <c r="AT118" s="9" t="str">
        <f>HYPERLINK(".\links\NR-LIGHT\AGAP009800-PA-NR-LIGHT.txt","AGAP009800-PA")</f>
        <v>AGAP009800-PA</v>
      </c>
      <c r="AU118" s="2" t="str">
        <f>HYPERLINK("http://www.ncbi.nlm.nih.gov/sutils/blink.cgi?pid=XP_318896.3","1E-115")</f>
        <v>1E-115</v>
      </c>
      <c r="AV118" s="2" t="str">
        <f>HYPERLINK("http://www.ncbi.nlm.nih.gov/protein/XP_318896.3","XP_318896.3")</f>
        <v>XP_318896.3</v>
      </c>
      <c r="AW118" s="2">
        <v>100</v>
      </c>
      <c r="AX118" s="2">
        <v>100</v>
      </c>
      <c r="AY118" s="2">
        <v>100</v>
      </c>
      <c r="AZ118" s="2" t="s">
        <v>105</v>
      </c>
      <c r="BA118" s="9" t="str">
        <f>HYPERLINK(".\links\REFSEQ-INVERTEBRATE\AGAP009800-PA-REFSEQ-INVERTEBRATE.txt","AGAP009800-PA")</f>
        <v>AGAP009800-PA</v>
      </c>
      <c r="BB118" s="2" t="str">
        <f>HYPERLINK("http://www.ncbi.nlm.nih.gov/sutils/blink.cgi?pid=XP_318896.3","1E-115")</f>
        <v>1E-115</v>
      </c>
      <c r="BC118" s="2" t="str">
        <f>HYPERLINK("http://www.ncbi.nlm.nih.gov/protein/XP_318896.3","XP_318896.3")</f>
        <v>XP_318896.3</v>
      </c>
      <c r="BD118" s="2">
        <v>100</v>
      </c>
      <c r="BE118" s="2">
        <v>100</v>
      </c>
      <c r="BF118" s="2">
        <v>100</v>
      </c>
      <c r="BG118" s="2" t="s">
        <v>105</v>
      </c>
      <c r="BH118" s="9" t="str">
        <f>HYPERLINK(".\links\REFSEQ-PROTOZOA\AGAP009800-PA-REFSEQ-PROTOZOA.txt","hypothetical protein PTSG_09666")</f>
        <v>hypothetical protein PTSG_09666</v>
      </c>
      <c r="BI118" s="2" t="str">
        <f>HYPERLINK("http://www.ncbi.nlm.nih.gov/sutils/blink.cgi?pid=XP_004990091.1","0.001")</f>
        <v>0.001</v>
      </c>
      <c r="BJ118" s="2" t="str">
        <f>HYPERLINK("http://www.ncbi.nlm.nih.gov/protein/XP_004990091.1","XP_004990091.1")</f>
        <v>XP_004990091.1</v>
      </c>
      <c r="BK118" s="2">
        <v>30</v>
      </c>
      <c r="BL118" s="2">
        <v>44</v>
      </c>
      <c r="BM118" s="2">
        <v>49</v>
      </c>
      <c r="BN118" s="2" t="s">
        <v>435</v>
      </c>
      <c r="BO118" s="9" t="str">
        <f>HYPERLINK(".\links\SWISSP\AGAP009800-PA-SWISSP.txt","RIP-like protein")</f>
        <v>RIP-like protein</v>
      </c>
      <c r="BP118" s="2" t="str">
        <f>HYPERLINK("http://www.uniprot.org/uniprot/Q9VL31","1E-022")</f>
        <v>1E-022</v>
      </c>
      <c r="BQ118" s="2" t="str">
        <f>HYPERLINK("http://www.uniprot.org/uniprot/Q9VL31#expression","Q9VL31")</f>
        <v>Q9VL31</v>
      </c>
      <c r="BR118" s="2">
        <v>36</v>
      </c>
      <c r="BS118" s="2">
        <v>52</v>
      </c>
      <c r="BT118" s="2">
        <v>101</v>
      </c>
      <c r="BU118" s="2" t="s">
        <v>107</v>
      </c>
      <c r="BV118" s="9" t="str">
        <f>HYPERLINK(".\links\FLYBASE\AGAP009800-PA-FLYBASE.txt","FBpp0079552")</f>
        <v>FBpp0079552</v>
      </c>
      <c r="BW118" s="2" t="str">
        <f>HYPERLINK("http://flybase.org/reports/FBgn0032189#alliance_summary_container","3E-20")</f>
        <v>3E-20</v>
      </c>
      <c r="BX118" s="2">
        <v>197</v>
      </c>
      <c r="BY118" s="2">
        <v>36</v>
      </c>
      <c r="BZ118" s="2">
        <v>51</v>
      </c>
      <c r="CA118" s="2">
        <v>101</v>
      </c>
      <c r="CB118" s="9" t="str">
        <f>HYPERLINK(".\links\CDD\AGAP009800-PA-CDD.txt","RPA_interact_C, Replication protein A interacting C-terminal")</f>
        <v>RPA_interact_C, Replication protein A interacting C-terminal</v>
      </c>
      <c r="CC118" s="15">
        <v>9.9999999999999994E-12</v>
      </c>
      <c r="CD118" s="2">
        <v>103.8</v>
      </c>
      <c r="CE118" s="2" t="s">
        <v>1400</v>
      </c>
      <c r="CF118" s="2" t="s">
        <v>1401</v>
      </c>
      <c r="CG118" s="9" t="str">
        <f>HYPERLINK(".\links\KOG\AGAP009800-PA-KOG.txt","Karyopherin (importin) alpha")</f>
        <v>Karyopherin (importin) alpha</v>
      </c>
      <c r="CH118" s="15">
        <v>0.23</v>
      </c>
      <c r="CI118" s="2">
        <v>11.7</v>
      </c>
      <c r="CJ118" s="2" t="s">
        <v>1402</v>
      </c>
      <c r="CK118" s="2" t="s">
        <v>154</v>
      </c>
      <c r="CL118" s="9" t="str">
        <f>HYPERLINK(".\links\PFAM\AGAP009800-PA-PFAM.txt","RPA_interact_C, Replication protein A interacting C-terminal")</f>
        <v>RPA_interact_C, Replication protein A interacting C-terminal</v>
      </c>
      <c r="CM118" s="15">
        <v>3.0000000000000001E-12</v>
      </c>
      <c r="CN118" s="2">
        <v>103.8</v>
      </c>
      <c r="CO118" s="2" t="s">
        <v>1400</v>
      </c>
      <c r="CP118" s="9" t="str">
        <f>HYPERLINK(".\links\SMART\AGAP009800-PA-SMART.txt","Aamy, Alpha-amylase domain")</f>
        <v>Aamy, Alpha-amylase domain</v>
      </c>
      <c r="CQ118" s="15">
        <v>0.73</v>
      </c>
      <c r="CR118" s="2">
        <v>7.2</v>
      </c>
      <c r="CS118" s="2" t="s">
        <v>1403</v>
      </c>
      <c r="CT118" s="2" t="s">
        <v>1399</v>
      </c>
      <c r="CU118" s="2" t="s">
        <v>1399</v>
      </c>
      <c r="CV118" s="2" t="s">
        <v>1399</v>
      </c>
      <c r="CW118" s="2" t="str">
        <f>HYPERLINK(".\links\pep\AGAP009800-PA-pep.txt","AGAP009800-PA")</f>
        <v>AGAP009800-PA</v>
      </c>
      <c r="CX118" s="2" t="s">
        <v>95</v>
      </c>
      <c r="CY118" s="2">
        <v>206</v>
      </c>
      <c r="CZ118" s="2" t="s">
        <v>113</v>
      </c>
      <c r="DA118" s="2" t="s">
        <v>1404</v>
      </c>
      <c r="DB118" s="2">
        <v>0</v>
      </c>
      <c r="DC118" s="2">
        <v>0</v>
      </c>
      <c r="DD118" s="2" t="str">
        <f>HYPERLINK("https://www.kegg.jp/kegg-bin/search_pathway_text?map=aga&amp;keyword=AGAP009800&amp;mode=1&amp;viewImage=true","AGAP009800")</f>
        <v>AGAP009800</v>
      </c>
      <c r="DE118" s="2" t="s">
        <v>1398</v>
      </c>
      <c r="DF118" s="2" t="s">
        <v>93</v>
      </c>
      <c r="DG118" s="2" t="s">
        <v>94</v>
      </c>
      <c r="DH118" s="2" t="str">
        <f>HYPERLINK("https://vectorbase.org/vectorbase/app/record/gene/AGAP009800","AGAP009800-RA")</f>
        <v>AGAP009800-RA</v>
      </c>
      <c r="DI118" s="2" t="s">
        <v>115</v>
      </c>
      <c r="DJ118" s="2">
        <v>908</v>
      </c>
      <c r="DK118" s="2" t="str">
        <f>HYPERLINK(".\links\netoglyc\AGAP009800-PA-netoglyc.txt","1")</f>
        <v>1</v>
      </c>
      <c r="DL118" s="2">
        <v>10.199999999999999</v>
      </c>
      <c r="DM118" s="2">
        <v>2.4</v>
      </c>
      <c r="DN118" s="2">
        <v>2.4</v>
      </c>
      <c r="DO118" s="2" t="s">
        <v>104</v>
      </c>
      <c r="DP118" s="2" t="s">
        <v>102</v>
      </c>
      <c r="DQ118" s="2" t="str">
        <f>HYPERLINK(".\links\Sigp\AGAP009800-PA-SigP.txt","CYT")</f>
        <v>CYT</v>
      </c>
      <c r="DR118" s="2" t="s">
        <v>102</v>
      </c>
      <c r="DS118" s="2">
        <v>24.047999999999998</v>
      </c>
      <c r="DT118" s="2">
        <v>5.04</v>
      </c>
      <c r="DU118" s="2" t="s">
        <v>102</v>
      </c>
      <c r="DV118" s="2" t="s">
        <v>102</v>
      </c>
      <c r="DW118" s="2" t="s">
        <v>211</v>
      </c>
      <c r="DX118" s="2">
        <v>206</v>
      </c>
      <c r="DY118" s="12">
        <v>0</v>
      </c>
      <c r="DZ118" s="2" t="s">
        <v>102</v>
      </c>
      <c r="EA118" s="2" t="s">
        <v>102</v>
      </c>
      <c r="EB118" s="2" t="s">
        <v>102</v>
      </c>
      <c r="EC118" s="2" t="str">
        <f>HYPERLINK(".\links\gpi\AGAP009800-PA-gpi.txt","Y-NoSP")</f>
        <v>Y-NoSP</v>
      </c>
      <c r="ED118" s="2">
        <v>0.3</v>
      </c>
      <c r="EF118" s="2">
        <v>8</v>
      </c>
      <c r="EG118" s="2" t="str">
        <f>HYPERLINK(".\links\pep\AGAP009800-PA-sulf.txt","2")</f>
        <v>2</v>
      </c>
      <c r="EH118" s="2" t="s">
        <v>102</v>
      </c>
      <c r="EI118" s="2">
        <v>10.194174757281599</v>
      </c>
      <c r="EJ118" s="2">
        <v>2.42718446601942</v>
      </c>
      <c r="EK118" s="2">
        <v>2.42718446601942</v>
      </c>
      <c r="EL118" s="2">
        <v>4.8543689320388301</v>
      </c>
      <c r="EM118" s="2" t="s">
        <v>102</v>
      </c>
      <c r="EN118" s="2" t="s">
        <v>102</v>
      </c>
      <c r="EO118" s="2">
        <v>1</v>
      </c>
      <c r="EP118" s="2" t="s">
        <v>102</v>
      </c>
      <c r="EQ118" s="2" t="s">
        <v>102</v>
      </c>
      <c r="ER118" s="2" t="s">
        <v>102</v>
      </c>
      <c r="ES118" s="2" t="s">
        <v>102</v>
      </c>
      <c r="ET118" s="2" t="str">
        <f>HYPERLINK(".\links\REFSEQ-INVERTEBRATE\AGAP009800-PA-REFSEQ-INVERTEBRATE.txt","AGAP009800-PA")</f>
        <v>AGAP009800-PA</v>
      </c>
      <c r="EU118" s="2" t="str">
        <f>HYPERLINK("http://www.ncbi.nlm.nih.gov/sutils/blink.cgi?pid=XP_318896.3","1E-153")</f>
        <v>1E-153</v>
      </c>
      <c r="EV118" s="2" t="str">
        <f>HYPERLINK("http://www.ncbi.nlm.nih.gov/protein/XP_318896.3","XP_318896.3")</f>
        <v>XP_318896.3</v>
      </c>
      <c r="EW118" s="2">
        <v>100</v>
      </c>
      <c r="EX118" s="2">
        <v>100</v>
      </c>
      <c r="EY118" s="2">
        <v>100</v>
      </c>
      <c r="EZ118" s="2" t="s">
        <v>105</v>
      </c>
    </row>
    <row r="119" spans="1:156" x14ac:dyDescent="0.25">
      <c r="A119" s="2" t="s">
        <v>1405</v>
      </c>
      <c r="B119" s="2">
        <v>0.36262318243995301</v>
      </c>
      <c r="C119" s="2">
        <f t="shared" si="1"/>
        <v>1.2857616114562971</v>
      </c>
      <c r="D119" s="2">
        <v>5.9999659175867199</v>
      </c>
      <c r="E119" s="2">
        <v>9.6264041564824794</v>
      </c>
      <c r="F119" s="2">
        <v>1.9179975511847301E-3</v>
      </c>
      <c r="G119" s="2">
        <v>4.26678687740982E-2</v>
      </c>
      <c r="H119" s="2" t="s">
        <v>93</v>
      </c>
      <c r="I119" s="2" t="s">
        <v>94</v>
      </c>
      <c r="J119" s="2" t="str">
        <f>HYPERLINK("https://vectorbase.org/vectorbase/app/record/gene/AGAP029790","AGAP029790-RA")</f>
        <v>AGAP029790-RA</v>
      </c>
      <c r="K119" s="2" t="str">
        <f>HYPERLINK(".\links\pep\AGAP029790-PA-pep.txt","AGAP029790-PA")</f>
        <v>AGAP029790-PA</v>
      </c>
      <c r="L119" s="12" t="s">
        <v>95</v>
      </c>
      <c r="M119" s="2">
        <v>349</v>
      </c>
      <c r="N119" s="2">
        <v>0</v>
      </c>
      <c r="O119" s="2">
        <v>0</v>
      </c>
      <c r="P119" s="2" t="s">
        <v>102</v>
      </c>
      <c r="Q119" s="9" t="s">
        <v>607</v>
      </c>
      <c r="R119" s="2" t="s">
        <v>608</v>
      </c>
      <c r="V119" s="2" t="s">
        <v>1406</v>
      </c>
      <c r="W119" s="10" t="s">
        <v>607</v>
      </c>
      <c r="X119" s="2" t="s">
        <v>608</v>
      </c>
      <c r="AB119" s="13" t="s">
        <v>102</v>
      </c>
      <c r="AC119" s="13" t="str">
        <f>HYPERLINK(".\links\Sigp\AGAP029790-PA-SigP.txt","CYT")</f>
        <v>CYT</v>
      </c>
      <c r="AD119" s="2" t="s">
        <v>102</v>
      </c>
      <c r="AE119" s="2">
        <v>40.722000000000001</v>
      </c>
      <c r="AF119" s="2">
        <v>7.68</v>
      </c>
      <c r="AG119" s="2" t="s">
        <v>102</v>
      </c>
      <c r="AH119" s="2" t="s">
        <v>102</v>
      </c>
      <c r="AI119" s="2" t="s">
        <v>1407</v>
      </c>
      <c r="AJ119" s="13">
        <v>0</v>
      </c>
      <c r="AK119" s="2" t="s">
        <v>102</v>
      </c>
      <c r="AL119" s="2" t="s">
        <v>102</v>
      </c>
      <c r="AM119" s="2" t="s">
        <v>102</v>
      </c>
      <c r="AN119" s="9" t="str">
        <f>HYPERLINK(".\links\gpi\AGAP029790-PA-gpi.txt","N")</f>
        <v>N</v>
      </c>
      <c r="AO119" s="14" t="str">
        <f>HYPERLINK(".\links\netoglyc\AGAP029790-PA-netoglyc.txt","0")</f>
        <v>0</v>
      </c>
      <c r="AP119" s="13">
        <v>12.6</v>
      </c>
      <c r="AQ119" s="2">
        <v>2.9</v>
      </c>
      <c r="AR119" s="2">
        <v>2.9</v>
      </c>
      <c r="AS119" s="2" t="s">
        <v>104</v>
      </c>
      <c r="AT119" s="9" t="str">
        <f>HYPERLINK(".\links\NR-LIGHT\AGAP029790-PA-NR-LIGHT.txt","AGAP011075-PA, partial")</f>
        <v>AGAP011075-PA, partial</v>
      </c>
      <c r="AU119" s="2" t="str">
        <f>HYPERLINK("http://www.ncbi.nlm.nih.gov/sutils/blink.cgi?pid=XP_001688198.1","2E-036")</f>
        <v>2E-036</v>
      </c>
      <c r="AV119" s="2" t="str">
        <f>HYPERLINK("http://www.ncbi.nlm.nih.gov/protein/XP_001688198.1","XP_001688198.1")</f>
        <v>XP_001688198.1</v>
      </c>
      <c r="AW119" s="2">
        <v>41</v>
      </c>
      <c r="AX119" s="2">
        <v>63</v>
      </c>
      <c r="AY119" s="2">
        <v>48</v>
      </c>
      <c r="AZ119" s="2" t="s">
        <v>105</v>
      </c>
      <c r="BA119" s="9" t="str">
        <f>HYPERLINK(".\links\REFSEQ-INVERTEBRATE\AGAP029790-PA-REFSEQ-INVERTEBRATE.txt","AGAP011075-PA, partial")</f>
        <v>AGAP011075-PA, partial</v>
      </c>
      <c r="BB119" s="2" t="str">
        <f>HYPERLINK("http://www.ncbi.nlm.nih.gov/sutils/blink.cgi?pid=XP_001688198.1","2E-036")</f>
        <v>2E-036</v>
      </c>
      <c r="BC119" s="2" t="str">
        <f>HYPERLINK("http://www.ncbi.nlm.nih.gov/protein/XP_001688198.1","XP_001688198.1")</f>
        <v>XP_001688198.1</v>
      </c>
      <c r="BD119" s="2">
        <v>41</v>
      </c>
      <c r="BE119" s="2">
        <v>63</v>
      </c>
      <c r="BF119" s="2">
        <v>48</v>
      </c>
      <c r="BG119" s="2" t="s">
        <v>105</v>
      </c>
      <c r="BH119" s="9" t="str">
        <f>HYPERLINK(".\links\REFSEQ-PROTOZOA\AGAP029790-PA-REFSEQ-PROTOZOA.txt","hypothetical protein (macronuclear)")</f>
        <v>hypothetical protein (macronuclear)</v>
      </c>
      <c r="BI119" s="2" t="str">
        <f>HYPERLINK("http://www.ncbi.nlm.nih.gov/sutils/blink.cgi?pid=XP_001432725.1","0.070")</f>
        <v>0.070</v>
      </c>
      <c r="BJ119" s="2" t="str">
        <f>HYPERLINK("http://www.ncbi.nlm.nih.gov/protein/XP_001432725.1","XP_001432725.1")</f>
        <v>XP_001432725.1</v>
      </c>
      <c r="BK119" s="2">
        <v>26</v>
      </c>
      <c r="BL119" s="2">
        <v>42</v>
      </c>
      <c r="BM119" s="2">
        <v>40</v>
      </c>
      <c r="BN119" s="2" t="s">
        <v>347</v>
      </c>
      <c r="BO119" s="9" t="str">
        <f>HYPERLINK(".\links\SWISSP\AGAP029790-PA-SWISSP.txt","AF4/FMR2 family member 4")</f>
        <v>AF4/FMR2 family member 4</v>
      </c>
      <c r="BP119" s="2" t="str">
        <f>HYPERLINK("http://www.uniprot.org/uniprot/Q9UHB7","0.10")</f>
        <v>0.10</v>
      </c>
      <c r="BQ119" s="2" t="str">
        <f>HYPERLINK("http://www.uniprot.org/uniprot/Q9UHB7#expression","Q9UHB7")</f>
        <v>Q9UHB7</v>
      </c>
      <c r="BR119" s="2">
        <v>25</v>
      </c>
      <c r="BS119" s="2">
        <v>42</v>
      </c>
      <c r="BT119" s="2">
        <v>12</v>
      </c>
      <c r="BU119" s="2" t="s">
        <v>127</v>
      </c>
      <c r="BV119" s="9" t="str">
        <f>HYPERLINK(".\links\FLYBASE\AGAP029790-PA-FLYBASE.txt","FBpp0308791")</f>
        <v>FBpp0308791</v>
      </c>
      <c r="BW119" s="2" t="str">
        <f>HYPERLINK("http://flybase.org/reports/FBgn0029799#alliance_summary_container","0.025")</f>
        <v>0.025</v>
      </c>
      <c r="BX119" s="2">
        <v>259</v>
      </c>
      <c r="BY119" s="2">
        <v>27</v>
      </c>
      <c r="BZ119" s="2">
        <v>50</v>
      </c>
      <c r="CA119" s="2">
        <v>34</v>
      </c>
      <c r="CB119" s="9" t="str">
        <f>HYPERLINK(".\links\CDD\AGAP029790-PA-CDD.txt","DUF4806, Domain of unknown function (DUF4806)")</f>
        <v>DUF4806, Domain of unknown function (DUF4806)</v>
      </c>
      <c r="CC119" s="15">
        <v>2.0000000000000002E-5</v>
      </c>
      <c r="CD119" s="2">
        <v>96.5</v>
      </c>
      <c r="CE119" s="2" t="s">
        <v>613</v>
      </c>
      <c r="CF119" s="2" t="s">
        <v>1408</v>
      </c>
      <c r="CG119" s="9" t="str">
        <f>HYPERLINK(".\links\KOG\AGAP029790-PA-KOG.txt","TRRAP/TRA1 component, PI-3 kinase superfamily")</f>
        <v>TRRAP/TRA1 component, PI-3 kinase superfamily</v>
      </c>
      <c r="CH119" s="15">
        <v>0.49</v>
      </c>
      <c r="CI119" s="2">
        <v>3.6</v>
      </c>
      <c r="CJ119" s="2" t="s">
        <v>1409</v>
      </c>
      <c r="CK119" s="2" t="s">
        <v>204</v>
      </c>
      <c r="CL119" s="9" t="str">
        <f>HYPERLINK(".\links\PFAM\AGAP029790-PA-PFAM.txt","DUF4806, Domain of unknown function (DUF4806)")</f>
        <v>DUF4806, Domain of unknown function (DUF4806)</v>
      </c>
      <c r="CM119" s="15">
        <v>3.0000000000000001E-6</v>
      </c>
      <c r="CN119" s="2">
        <v>96.5</v>
      </c>
      <c r="CO119" s="2" t="s">
        <v>613</v>
      </c>
      <c r="CP119" s="9" t="str">
        <f>HYPERLINK(".\links\SMART\AGAP029790-PA-SMART.txt","BRO1, BRO1-like domain")</f>
        <v>BRO1, BRO1-like domain</v>
      </c>
      <c r="CQ119" s="15">
        <v>2.5999999999999999E-2</v>
      </c>
      <c r="CR119" s="2">
        <v>23.1</v>
      </c>
      <c r="CS119" s="2" t="s">
        <v>1052</v>
      </c>
      <c r="CT119" s="2" t="s">
        <v>1406</v>
      </c>
      <c r="CU119" s="2" t="s">
        <v>1406</v>
      </c>
      <c r="CV119" s="2" t="s">
        <v>1406</v>
      </c>
      <c r="CW119" s="2" t="str">
        <f>HYPERLINK(".\links\pep\AGAP029790-PA-pep.txt","AGAP029790-PA")</f>
        <v>AGAP029790-PA</v>
      </c>
      <c r="CX119" s="2" t="s">
        <v>95</v>
      </c>
      <c r="CY119" s="2">
        <v>349</v>
      </c>
      <c r="CZ119" s="2" t="s">
        <v>113</v>
      </c>
      <c r="DA119" s="2" t="s">
        <v>1410</v>
      </c>
      <c r="DB119" s="2">
        <v>0</v>
      </c>
      <c r="DC119" s="2">
        <v>0</v>
      </c>
      <c r="DD119" s="2" t="str">
        <f>HYPERLINK("https://www.kegg.jp/kegg-bin/search_pathway_text?map=aga&amp;keyword=AGAP029790&amp;mode=1&amp;viewImage=true","AGAP029790")</f>
        <v>AGAP029790</v>
      </c>
      <c r="DE119" s="2" t="s">
        <v>1405</v>
      </c>
      <c r="DF119" s="2" t="s">
        <v>93</v>
      </c>
      <c r="DG119" s="2" t="s">
        <v>94</v>
      </c>
      <c r="DH119" s="2" t="str">
        <f>HYPERLINK("https://vectorbase.org/vectorbase/app/record/gene/AGAP029790","AGAP029790-RA")</f>
        <v>AGAP029790-RA</v>
      </c>
      <c r="DI119" s="2" t="s">
        <v>118</v>
      </c>
      <c r="DJ119" s="2">
        <v>1497</v>
      </c>
      <c r="DK119" s="2" t="str">
        <f>HYPERLINK(".\links\netoglyc\AGAP029790-PA-netoglyc.txt","0")</f>
        <v>0</v>
      </c>
      <c r="DL119" s="2">
        <v>12.6</v>
      </c>
      <c r="DM119" s="2">
        <v>2.9</v>
      </c>
      <c r="DN119" s="2">
        <v>2.9</v>
      </c>
      <c r="DO119" s="2" t="s">
        <v>104</v>
      </c>
      <c r="DP119" s="2" t="s">
        <v>102</v>
      </c>
      <c r="DQ119" s="2" t="str">
        <f>HYPERLINK(".\links\Sigp\AGAP029790-PA-SigP.txt","CYT")</f>
        <v>CYT</v>
      </c>
      <c r="DR119" s="2" t="s">
        <v>102</v>
      </c>
      <c r="DS119" s="2">
        <v>40.722000000000001</v>
      </c>
      <c r="DT119" s="2">
        <v>7.68</v>
      </c>
      <c r="DU119" s="2" t="s">
        <v>102</v>
      </c>
      <c r="DV119" s="2" t="s">
        <v>102</v>
      </c>
      <c r="DW119" s="2" t="s">
        <v>1407</v>
      </c>
      <c r="DX119" s="2">
        <v>349</v>
      </c>
      <c r="DY119" s="12">
        <v>0</v>
      </c>
      <c r="DZ119" s="2" t="s">
        <v>102</v>
      </c>
      <c r="EA119" s="2" t="s">
        <v>102</v>
      </c>
      <c r="EB119" s="2" t="s">
        <v>102</v>
      </c>
      <c r="EC119" s="2" t="str">
        <f>HYPERLINK(".\links\gpi\AGAP029790-PA-gpi.txt","N")</f>
        <v>N</v>
      </c>
      <c r="ED119" s="2">
        <v>0.23</v>
      </c>
      <c r="EF119" s="2">
        <v>4</v>
      </c>
      <c r="EG119" s="2" t="s">
        <v>102</v>
      </c>
      <c r="EH119" s="2" t="s">
        <v>102</v>
      </c>
      <c r="EI119" s="2">
        <v>12.607449856733499</v>
      </c>
      <c r="EJ119" s="2">
        <v>2.8653295128939802</v>
      </c>
      <c r="EK119" s="2">
        <v>2.8653295128939802</v>
      </c>
      <c r="EL119" s="2">
        <v>5.7306590257879702</v>
      </c>
      <c r="EM119" s="2" t="s">
        <v>102</v>
      </c>
      <c r="EN119" s="2" t="s">
        <v>102</v>
      </c>
      <c r="EO119" s="2" t="s">
        <v>102</v>
      </c>
      <c r="EP119" s="2" t="s">
        <v>102</v>
      </c>
      <c r="EQ119" s="2" t="s">
        <v>102</v>
      </c>
      <c r="ER119" s="2" t="s">
        <v>102</v>
      </c>
      <c r="ES119" s="2" t="s">
        <v>102</v>
      </c>
      <c r="ET119" s="2" t="str">
        <f>HYPERLINK(".\links\REFSEQ-INVERTEBRATE\AGAP029790-PA-REFSEQ-INVERTEBRATE.txt","uncharacterized protein LOC118503743 isoform X2")</f>
        <v>uncharacterized protein LOC118503743 isoform X2</v>
      </c>
      <c r="EU119" s="2" t="str">
        <f>HYPERLINK("http://www.ncbi.nlm.nih.gov/sutils/blink.cgi?pid=XP_035893278.1","3E-47")</f>
        <v>3E-47</v>
      </c>
      <c r="EV119" s="2" t="str">
        <f>HYPERLINK("http://www.ncbi.nlm.nih.gov/protein/XP_035893278.1","XP_035893278.1")</f>
        <v>XP_035893278.1</v>
      </c>
      <c r="EW119" s="2">
        <v>35</v>
      </c>
      <c r="EX119" s="2">
        <v>50</v>
      </c>
      <c r="EY119" s="2">
        <v>47</v>
      </c>
      <c r="EZ119" s="2" t="s">
        <v>370</v>
      </c>
    </row>
    <row r="120" spans="1:156" x14ac:dyDescent="0.25">
      <c r="A120" s="2" t="s">
        <v>1411</v>
      </c>
      <c r="B120" s="2">
        <v>0.36254780040782902</v>
      </c>
      <c r="C120" s="2">
        <f t="shared" si="1"/>
        <v>1.2856944310832916</v>
      </c>
      <c r="D120" s="2">
        <v>5.3670862250162799</v>
      </c>
      <c r="E120" s="2">
        <v>14.7000930486359</v>
      </c>
      <c r="F120" s="2">
        <v>1.2604022874871301E-4</v>
      </c>
      <c r="G120" s="2">
        <v>1.18297757554149E-2</v>
      </c>
      <c r="H120" s="2" t="s">
        <v>93</v>
      </c>
      <c r="I120" s="2" t="s">
        <v>94</v>
      </c>
      <c r="J120" s="2" t="str">
        <f>HYPERLINK("https://vectorbase.org/vectorbase/app/record/gene/AGAP002314","AGAP002314-RA")</f>
        <v>AGAP002314-RA</v>
      </c>
      <c r="K120" s="2" t="str">
        <f>HYPERLINK(".\links\pep\AGAP002314-PA-pep.txt","AGAP002314-PA")</f>
        <v>AGAP002314-PA</v>
      </c>
      <c r="L120" s="12" t="s">
        <v>95</v>
      </c>
      <c r="M120" s="2">
        <v>334</v>
      </c>
      <c r="N120" s="2">
        <v>0</v>
      </c>
      <c r="O120" s="2">
        <v>0</v>
      </c>
      <c r="P120" s="2" t="s">
        <v>102</v>
      </c>
      <c r="Q120" s="9" t="s">
        <v>1412</v>
      </c>
      <c r="R120" s="2" t="s">
        <v>444</v>
      </c>
      <c r="S120" s="2" t="str">
        <f>HYPERLINK(".\links\SWISSP\AGAP002314-PA-SWISSP.txt","SWISSP")</f>
        <v>SWISSP</v>
      </c>
      <c r="T120" s="2">
        <v>2.0000000000000002E-5</v>
      </c>
      <c r="U120" s="2">
        <v>35.6</v>
      </c>
      <c r="V120" s="2" t="s">
        <v>1413</v>
      </c>
      <c r="W120" s="10" t="s">
        <v>1414</v>
      </c>
      <c r="X120" s="2" t="s">
        <v>196</v>
      </c>
      <c r="Y120" s="2" t="str">
        <f>HYPERLINK(".\links\ARTHORPODA\AGAP002314-PA-ARTHORPODA.txt","ARTHORPODA")</f>
        <v>ARTHORPODA</v>
      </c>
      <c r="Z120" s="2">
        <v>0</v>
      </c>
      <c r="AA120" s="2">
        <v>100</v>
      </c>
      <c r="AB120" s="13" t="str">
        <f>HYPERLINK(".\links\pep\AGAP002314-PA-sulf.txt","1")</f>
        <v>1</v>
      </c>
      <c r="AC120" s="13" t="str">
        <f>HYPERLINK(".\links\Sigp\AGAP002314-PA-SigP.txt","CYT")</f>
        <v>CYT</v>
      </c>
      <c r="AD120" s="2" t="s">
        <v>102</v>
      </c>
      <c r="AE120" s="2">
        <v>37.122999999999998</v>
      </c>
      <c r="AF120" s="2">
        <v>4.8</v>
      </c>
      <c r="AG120" s="2" t="s">
        <v>102</v>
      </c>
      <c r="AH120" s="2" t="s">
        <v>102</v>
      </c>
      <c r="AI120" s="2" t="s">
        <v>124</v>
      </c>
      <c r="AJ120" s="13">
        <v>0</v>
      </c>
      <c r="AK120" s="2" t="s">
        <v>102</v>
      </c>
      <c r="AL120" s="2" t="s">
        <v>102</v>
      </c>
      <c r="AM120" s="2" t="s">
        <v>102</v>
      </c>
      <c r="AN120" s="13" t="str">
        <f>HYPERLINK(".\links\gpi\AGAP002314-PA-gpi.txt","N")</f>
        <v>N</v>
      </c>
      <c r="AO120" s="14" t="str">
        <f>HYPERLINK(".\links\netoglyc\AGAP002314-PA-netoglyc.txt","17")</f>
        <v>17</v>
      </c>
      <c r="AP120" s="13">
        <v>20.100000000000001</v>
      </c>
      <c r="AQ120" s="2">
        <v>2.1</v>
      </c>
      <c r="AR120" s="2">
        <v>6.3</v>
      </c>
      <c r="AS120" s="2" t="s">
        <v>104</v>
      </c>
      <c r="AT120" s="9" t="str">
        <f>HYPERLINK(".\links\NR-LIGHT\AGAP002314-PA-NR-LIGHT.txt","AGAP002314-PA")</f>
        <v>AGAP002314-PA</v>
      </c>
      <c r="AU120" s="2" t="str">
        <f>HYPERLINK("http://www.ncbi.nlm.nih.gov/sutils/blink.cgi?pid=XP_563897.3","0.0")</f>
        <v>0.0</v>
      </c>
      <c r="AV120" s="2" t="str">
        <f>HYPERLINK("http://www.ncbi.nlm.nih.gov/protein/XP_563897.3","XP_563897.3")</f>
        <v>XP_563897.3</v>
      </c>
      <c r="AW120" s="2">
        <v>100</v>
      </c>
      <c r="AX120" s="2">
        <v>100</v>
      </c>
      <c r="AY120" s="2">
        <v>100</v>
      </c>
      <c r="AZ120" s="2" t="s">
        <v>105</v>
      </c>
      <c r="BA120" s="9" t="str">
        <f>HYPERLINK(".\links\REFSEQ-INVERTEBRATE\AGAP002314-PA-REFSEQ-INVERTEBRATE.txt","AGAP002314-PA")</f>
        <v>AGAP002314-PA</v>
      </c>
      <c r="BB120" s="2" t="str">
        <f>HYPERLINK("http://www.ncbi.nlm.nih.gov/sutils/blink.cgi?pid=XP_563897.3","0.0")</f>
        <v>0.0</v>
      </c>
      <c r="BC120" s="2" t="str">
        <f>HYPERLINK("http://www.ncbi.nlm.nih.gov/protein/XP_563897.3","XP_563897.3")</f>
        <v>XP_563897.3</v>
      </c>
      <c r="BD120" s="2">
        <v>100</v>
      </c>
      <c r="BE120" s="2">
        <v>100</v>
      </c>
      <c r="BF120" s="2">
        <v>100</v>
      </c>
      <c r="BG120" s="2" t="s">
        <v>105</v>
      </c>
      <c r="BH120" s="9" t="str">
        <f>HYPERLINK(".\links\REFSEQ-PROTOZOA\AGAP002314-PA-REFSEQ-PROTOZOA.txt","A-agglutinin attachment subunit precursor")</f>
        <v>A-agglutinin attachment subunit precursor</v>
      </c>
      <c r="BI120" s="2" t="str">
        <f>HYPERLINK("http://www.ncbi.nlm.nih.gov/sutils/blink.cgi?pid=XP_001579288.1","1E-006")</f>
        <v>1E-006</v>
      </c>
      <c r="BJ120" s="2" t="str">
        <f>HYPERLINK("http://www.ncbi.nlm.nih.gov/protein/XP_001579288.1","XP_001579288.1")</f>
        <v>XP_001579288.1</v>
      </c>
      <c r="BK120" s="2">
        <v>23</v>
      </c>
      <c r="BL120" s="2">
        <v>46</v>
      </c>
      <c r="BM120" s="2">
        <v>38</v>
      </c>
      <c r="BN120" s="2" t="s">
        <v>292</v>
      </c>
      <c r="BO120" s="9" t="str">
        <f>HYPERLINK(".\links\SWISSP\AGAP002314-PA-SWISSP.txt","Cell wall protein IFF6")</f>
        <v>Cell wall protein IFF6</v>
      </c>
      <c r="BP120" s="2" t="str">
        <f>HYPERLINK("http://www.uniprot.org/uniprot/Q59XL0","1E-005")</f>
        <v>1E-005</v>
      </c>
      <c r="BQ120" s="2" t="str">
        <f>HYPERLINK("http://www.uniprot.org/uniprot/Q59XL0#expression","Q59XL0")</f>
        <v>Q59XL0</v>
      </c>
      <c r="BR120" s="2">
        <v>29</v>
      </c>
      <c r="BS120" s="2">
        <v>46</v>
      </c>
      <c r="BT120" s="2">
        <v>13</v>
      </c>
      <c r="BU120" s="2" t="s">
        <v>1415</v>
      </c>
      <c r="BV120" s="9" t="str">
        <f>HYPERLINK(".\links\FLYBASE\AGAP002314-PA-FLYBASE.txt","FBpp0311648")</f>
        <v>FBpp0311648</v>
      </c>
      <c r="BW120" s="2" t="str">
        <f>HYPERLINK("http://flybase.org/reports/FBgn0031264#alliance_summary_container","0.20")</f>
        <v>0.20</v>
      </c>
      <c r="BX120" s="2">
        <v>795</v>
      </c>
      <c r="BY120" s="2">
        <v>32</v>
      </c>
      <c r="BZ120" s="2">
        <v>53</v>
      </c>
      <c r="CA120" s="2">
        <v>9</v>
      </c>
      <c r="CB120" s="9" t="str">
        <f>HYPERLINK(".\links\CDD\AGAP002314-PA-CDD.txt","zf-AD, Zinc-finger associated domain (zf-AD)")</f>
        <v>zf-AD, Zinc-finger associated domain (zf-AD)</v>
      </c>
      <c r="CC120" s="15">
        <v>5.0000000000000002E-5</v>
      </c>
      <c r="CD120" s="2">
        <v>83.6</v>
      </c>
      <c r="CE120" s="2" t="s">
        <v>684</v>
      </c>
      <c r="CF120" s="2" t="s">
        <v>1416</v>
      </c>
      <c r="CG120" s="9" t="str">
        <f>HYPERLINK(".\links\KOG\AGAP002314-PA-KOG.txt","Golgi-associated protein/Nedd4 WW domain-binding protein")</f>
        <v>Golgi-associated protein/Nedd4 WW domain-binding protein</v>
      </c>
      <c r="CH120" s="15">
        <v>1.7000000000000001E-2</v>
      </c>
      <c r="CI120" s="2">
        <v>48.5</v>
      </c>
      <c r="CJ120" s="2" t="s">
        <v>1417</v>
      </c>
      <c r="CK120" s="2" t="s">
        <v>191</v>
      </c>
      <c r="CL120" s="9" t="str">
        <f>HYPERLINK(".\links\PFAM\AGAP002314-PA-PFAM.txt","Tim54, Inner membrane protein import complex subunit Tim54")</f>
        <v>Tim54, Inner membrane protein import complex subunit Tim54</v>
      </c>
      <c r="CM120" s="15">
        <v>0.33</v>
      </c>
      <c r="CN120" s="2">
        <v>23.4</v>
      </c>
      <c r="CO120" s="2" t="s">
        <v>1418</v>
      </c>
      <c r="CP120" s="9" t="str">
        <f>HYPERLINK(".\links\SMART\AGAP002314-PA-SMART.txt","zf-AD, Zinc-finger associated domain (zf-AD)")</f>
        <v>zf-AD, Zinc-finger associated domain (zf-AD)</v>
      </c>
      <c r="CQ120" s="15">
        <v>4.9999999999999998E-7</v>
      </c>
      <c r="CR120" s="2">
        <v>83.6</v>
      </c>
      <c r="CS120" s="2" t="s">
        <v>684</v>
      </c>
      <c r="CT120" s="2" t="s">
        <v>1413</v>
      </c>
      <c r="CU120" s="2" t="s">
        <v>1413</v>
      </c>
      <c r="CV120" s="2" t="s">
        <v>1413</v>
      </c>
      <c r="CW120" s="2" t="str">
        <f>HYPERLINK(".\links\pep\AGAP002314-PA-pep.txt","AGAP002314-PA")</f>
        <v>AGAP002314-PA</v>
      </c>
      <c r="CX120" s="2" t="s">
        <v>95</v>
      </c>
      <c r="CY120" s="2">
        <v>334</v>
      </c>
      <c r="CZ120" s="2" t="s">
        <v>113</v>
      </c>
      <c r="DA120" s="2" t="s">
        <v>1419</v>
      </c>
      <c r="DB120" s="2">
        <v>0</v>
      </c>
      <c r="DC120" s="2">
        <v>0</v>
      </c>
      <c r="DD120" s="2" t="str">
        <f>HYPERLINK("https://www.kegg.jp/kegg-bin/search_pathway_text?map=aga&amp;keyword=AGAP002314&amp;mode=1&amp;viewImage=true","AGAP002314")</f>
        <v>AGAP002314</v>
      </c>
      <c r="DE120" s="2" t="s">
        <v>1411</v>
      </c>
      <c r="DF120" s="2" t="s">
        <v>93</v>
      </c>
      <c r="DG120" s="2" t="s">
        <v>94</v>
      </c>
      <c r="DH120" s="2" t="str">
        <f>HYPERLINK("https://vectorbase.org/vectorbase/app/record/gene/AGAP002314","AGAP002314-RA")</f>
        <v>AGAP002314-RA</v>
      </c>
      <c r="DI120" s="2" t="s">
        <v>115</v>
      </c>
      <c r="DJ120" s="2">
        <v>1162</v>
      </c>
      <c r="DK120" s="2" t="str">
        <f>HYPERLINK(".\links\netoglyc\AGAP002314-PA-netoglyc.txt","17")</f>
        <v>17</v>
      </c>
      <c r="DL120" s="2">
        <v>20.100000000000001</v>
      </c>
      <c r="DM120" s="2">
        <v>2.1</v>
      </c>
      <c r="DN120" s="2">
        <v>6.3</v>
      </c>
      <c r="DO120" s="2" t="s">
        <v>104</v>
      </c>
      <c r="DP120" s="2" t="s">
        <v>1420</v>
      </c>
      <c r="DQ120" s="2" t="str">
        <f>HYPERLINK(".\links\Sigp\AGAP002314-PA-SigP.txt","CYT")</f>
        <v>CYT</v>
      </c>
      <c r="DR120" s="2" t="s">
        <v>102</v>
      </c>
      <c r="DS120" s="2">
        <v>37.122999999999998</v>
      </c>
      <c r="DT120" s="2">
        <v>4.8</v>
      </c>
      <c r="DU120" s="2" t="s">
        <v>102</v>
      </c>
      <c r="DV120" s="2" t="s">
        <v>102</v>
      </c>
      <c r="DW120" s="2" t="s">
        <v>124</v>
      </c>
      <c r="DX120" s="2">
        <v>334</v>
      </c>
      <c r="DY120" s="12">
        <v>0</v>
      </c>
      <c r="DZ120" s="2" t="s">
        <v>102</v>
      </c>
      <c r="EA120" s="2" t="s">
        <v>102</v>
      </c>
      <c r="EB120" s="2" t="s">
        <v>102</v>
      </c>
      <c r="EC120" s="2" t="str">
        <f>HYPERLINK(".\links\gpi\AGAP002314-PA-gpi.txt","Y-NoSP")</f>
        <v>Y-NoSP</v>
      </c>
      <c r="ED120" s="2">
        <v>0.35</v>
      </c>
      <c r="EF120" s="2">
        <v>7</v>
      </c>
      <c r="EG120" s="2" t="str">
        <f>HYPERLINK(".\links\pep\AGAP002314-PA-sulf.txt","1")</f>
        <v>1</v>
      </c>
      <c r="EH120" s="2" t="s">
        <v>102</v>
      </c>
      <c r="EI120" s="2">
        <v>20.059880239521</v>
      </c>
      <c r="EJ120" s="2">
        <v>6.2874251497006002</v>
      </c>
      <c r="EK120" s="2">
        <v>2.0958083832335301</v>
      </c>
      <c r="EL120" s="2">
        <v>8.3832335329341294</v>
      </c>
      <c r="EM120" s="2" t="s">
        <v>102</v>
      </c>
      <c r="EN120" s="2" t="s">
        <v>102</v>
      </c>
      <c r="EO120" s="2" t="s">
        <v>102</v>
      </c>
      <c r="EP120" s="2" t="s">
        <v>102</v>
      </c>
      <c r="EQ120" s="2" t="s">
        <v>102</v>
      </c>
      <c r="ER120" s="2" t="s">
        <v>102</v>
      </c>
      <c r="ES120" s="2" t="s">
        <v>102</v>
      </c>
      <c r="ET120" s="2" t="str">
        <f>HYPERLINK(".\links\REFSEQ-INVERTEBRATE\AGAP002314-PA-REFSEQ-INVERTEBRATE.txt","AGAP002314-PA")</f>
        <v>AGAP002314-PA</v>
      </c>
      <c r="EU120" s="2" t="str">
        <f>HYPERLINK("http://www.ncbi.nlm.nih.gov/sutils/blink.cgi?pid=XP_563897.3","0.0")</f>
        <v>0.0</v>
      </c>
      <c r="EV120" s="2" t="str">
        <f>HYPERLINK("http://www.ncbi.nlm.nih.gov/protein/XP_563897.3","XP_563897.3")</f>
        <v>XP_563897.3</v>
      </c>
      <c r="EW120" s="2">
        <v>100</v>
      </c>
      <c r="EX120" s="2">
        <v>100</v>
      </c>
      <c r="EY120" s="2">
        <v>100</v>
      </c>
      <c r="EZ120" s="2" t="s">
        <v>105</v>
      </c>
    </row>
    <row r="121" spans="1:156" x14ac:dyDescent="0.25">
      <c r="A121" s="2" t="s">
        <v>1421</v>
      </c>
      <c r="B121" s="2">
        <v>0.362488062481988</v>
      </c>
      <c r="C121" s="2">
        <f t="shared" si="1"/>
        <v>1.2856411952113367</v>
      </c>
      <c r="D121" s="2">
        <v>6.1694039017661</v>
      </c>
      <c r="E121" s="2">
        <v>15.1612563689556</v>
      </c>
      <c r="F121" s="2">
        <v>9.8708085414589793E-5</v>
      </c>
      <c r="G121" s="2">
        <v>1.07823521657219E-2</v>
      </c>
      <c r="H121" s="2" t="s">
        <v>93</v>
      </c>
      <c r="I121" s="2" t="s">
        <v>94</v>
      </c>
      <c r="J121" s="2" t="str">
        <f>HYPERLINK("https://vectorbase.org/vectorbase/app/record/gene/AGAP027988","AGAP027988-RA")</f>
        <v>AGAP027988-RA</v>
      </c>
      <c r="K121" s="2" t="str">
        <f>HYPERLINK(".\links\pep\AGAP027988-PA-pep.txt","AGAP027988-PA")</f>
        <v>AGAP027988-PA</v>
      </c>
      <c r="L121" s="12" t="s">
        <v>95</v>
      </c>
      <c r="M121" s="2">
        <v>682</v>
      </c>
      <c r="N121" s="2">
        <v>0</v>
      </c>
      <c r="O121" s="2">
        <v>0</v>
      </c>
      <c r="P121" s="2" t="s">
        <v>102</v>
      </c>
      <c r="Q121" s="9" t="s">
        <v>738</v>
      </c>
      <c r="R121" s="2" t="s">
        <v>420</v>
      </c>
      <c r="S121" s="2" t="str">
        <f>HYPERLINK(".\links\KOG\AGAP027988-PA-KOG.txt","KOG")</f>
        <v>KOG</v>
      </c>
      <c r="T121" s="2">
        <v>6.0000000000000003E-12</v>
      </c>
      <c r="U121" s="2">
        <v>46.9</v>
      </c>
      <c r="V121" s="2" t="s">
        <v>1422</v>
      </c>
      <c r="W121" s="10" t="s">
        <v>1423</v>
      </c>
      <c r="X121" s="2" t="s">
        <v>420</v>
      </c>
      <c r="Y121" s="2" t="str">
        <f>HYPERLINK(".\links\UNIPROTKB\AGAP027988-PA-UNIPROTKB.txt","UNIPROTKB")</f>
        <v>UNIPROTKB</v>
      </c>
      <c r="Z121" s="15">
        <v>2.9999999999999998E-25</v>
      </c>
      <c r="AA121" s="2">
        <v>44.4</v>
      </c>
      <c r="AB121" s="13" t="s">
        <v>102</v>
      </c>
      <c r="AC121" s="13" t="str">
        <f>HYPERLINK(".\links\Sigp\AGAP027988-PA-SigP.txt","CYT")</f>
        <v>CYT</v>
      </c>
      <c r="AD121" s="2" t="s">
        <v>102</v>
      </c>
      <c r="AE121" s="2">
        <v>77.033000000000001</v>
      </c>
      <c r="AF121" s="2">
        <v>9.1199999999999992</v>
      </c>
      <c r="AG121" s="2" t="s">
        <v>102</v>
      </c>
      <c r="AH121" s="2" t="s">
        <v>102</v>
      </c>
      <c r="AI121" s="2" t="s">
        <v>211</v>
      </c>
      <c r="AJ121" s="13">
        <v>0</v>
      </c>
      <c r="AK121" s="2" t="s">
        <v>102</v>
      </c>
      <c r="AL121" s="2" t="s">
        <v>102</v>
      </c>
      <c r="AM121" s="2" t="s">
        <v>102</v>
      </c>
      <c r="AN121" s="13" t="str">
        <f>HYPERLINK(".\links\gpi\AGAP027988-PA-gpi.txt","N")</f>
        <v>N</v>
      </c>
      <c r="AO121" s="14" t="str">
        <f>HYPERLINK(".\links\netoglyc\AGAP027988-PA-netoglyc.txt","0")</f>
        <v>0</v>
      </c>
      <c r="AP121" s="13">
        <v>12.5</v>
      </c>
      <c r="AQ121" s="2">
        <v>4.3</v>
      </c>
      <c r="AR121" s="2">
        <v>4.8</v>
      </c>
      <c r="AS121" s="2" t="s">
        <v>104</v>
      </c>
      <c r="AT121" s="9" t="str">
        <f>HYPERLINK(".\links\NR-LIGHT\AGAP027988-PA-NR-LIGHT.txt","AGAP008235-PA, partial")</f>
        <v>AGAP008235-PA, partial</v>
      </c>
      <c r="AU121" s="2" t="str">
        <f>HYPERLINK("http://www.ncbi.nlm.nih.gov/sutils/blink.cgi?pid=XP_555228.3","4E-082")</f>
        <v>4E-082</v>
      </c>
      <c r="AV121" s="2" t="str">
        <f>HYPERLINK("http://www.ncbi.nlm.nih.gov/protein/XP_555228.3","XP_555228.3")</f>
        <v>XP_555228.3</v>
      </c>
      <c r="AW121" s="2">
        <v>53</v>
      </c>
      <c r="AX121" s="2">
        <v>59</v>
      </c>
      <c r="AY121" s="2">
        <v>113</v>
      </c>
      <c r="AZ121" s="2" t="s">
        <v>105</v>
      </c>
      <c r="BA121" s="9" t="str">
        <f>HYPERLINK(".\links\REFSEQ-INVERTEBRATE\AGAP027988-PA-REFSEQ-INVERTEBRATE.txt","AGAP008235-PA, partial")</f>
        <v>AGAP008235-PA, partial</v>
      </c>
      <c r="BB121" s="2" t="str">
        <f>HYPERLINK("http://www.ncbi.nlm.nih.gov/sutils/blink.cgi?pid=XP_555228.3","4E-082")</f>
        <v>4E-082</v>
      </c>
      <c r="BC121" s="2" t="str">
        <f>HYPERLINK("http://www.ncbi.nlm.nih.gov/protein/XP_555228.3","XP_555228.3")</f>
        <v>XP_555228.3</v>
      </c>
      <c r="BD121" s="2">
        <v>53</v>
      </c>
      <c r="BE121" s="2">
        <v>59</v>
      </c>
      <c r="BF121" s="2">
        <v>113</v>
      </c>
      <c r="BG121" s="2" t="s">
        <v>105</v>
      </c>
      <c r="BH121" s="9" t="str">
        <f>HYPERLINK(".\links\REFSEQ-PROTOZOA\AGAP027988-PA-REFSEQ-PROTOZOA.txt","zinc finger, c2h2 type family protein")</f>
        <v>zinc finger, c2h2 type family protein</v>
      </c>
      <c r="BI121" s="2" t="str">
        <f>HYPERLINK("http://www.ncbi.nlm.nih.gov/sutils/blink.cgi?pid=XP_002372116.1","3E-017")</f>
        <v>3E-017</v>
      </c>
      <c r="BJ121" s="2" t="str">
        <f>HYPERLINK("http://www.ncbi.nlm.nih.gov/protein/XP_002372116.1","XP_002372116.1")</f>
        <v>XP_002372116.1</v>
      </c>
      <c r="BK121" s="2">
        <v>24</v>
      </c>
      <c r="BL121" s="2">
        <v>40</v>
      </c>
      <c r="BM121" s="2">
        <v>97</v>
      </c>
      <c r="BN121" s="2" t="s">
        <v>741</v>
      </c>
      <c r="BO121" s="9" t="str">
        <f>HYPERLINK(".\links\SWISSP\AGAP027988-PA-SWISSP.txt","Zinc finger protein 99")</f>
        <v>Zinc finger protein 99</v>
      </c>
      <c r="BP121" s="2" t="str">
        <f>HYPERLINK("http://www.uniprot.org/uniprot/A8MXY4","2E-033")</f>
        <v>2E-033</v>
      </c>
      <c r="BQ121" s="2" t="str">
        <f>HYPERLINK("http://www.uniprot.org/uniprot/A8MXY4#expression","A8MXY4")</f>
        <v>A8MXY4</v>
      </c>
      <c r="BR121" s="2">
        <v>25</v>
      </c>
      <c r="BS121" s="2">
        <v>41</v>
      </c>
      <c r="BT121" s="2">
        <v>57</v>
      </c>
      <c r="BU121" s="2" t="s">
        <v>127</v>
      </c>
      <c r="BV121" s="9" t="str">
        <f>HYPERLINK(".\links\FLYBASE\AGAP027988-PA-FLYBASE.txt","FBpp0307451")</f>
        <v>FBpp0307451</v>
      </c>
      <c r="BW121" s="2" t="str">
        <f>HYPERLINK("http://flybase.org/reports/FBgn0020309#alliance_summary_container","5E-23")</f>
        <v>5E-23</v>
      </c>
      <c r="BX121" s="2">
        <v>962</v>
      </c>
      <c r="BY121" s="2">
        <v>28</v>
      </c>
      <c r="BZ121" s="2">
        <v>41</v>
      </c>
      <c r="CA121" s="2">
        <v>41</v>
      </c>
      <c r="CB121" s="9" t="str">
        <f>HYPERLINK(".\links\CDD\AGAP027988-PA-CDD.txt","zf-AD, Zinc-finger associated domain (zf-AD)")</f>
        <v>zf-AD, Zinc-finger associated domain (zf-AD)</v>
      </c>
      <c r="CC121" s="15">
        <v>3.9999999999999998E-6</v>
      </c>
      <c r="CD121" s="2">
        <v>97.3</v>
      </c>
      <c r="CE121" s="2" t="s">
        <v>687</v>
      </c>
      <c r="CF121" s="2" t="s">
        <v>1424</v>
      </c>
      <c r="CG121" s="9" t="str">
        <f>HYPERLINK(".\links\KOG\AGAP027988-PA-KOG.txt","C2H2-type Zn-finger protein")</f>
        <v>C2H2-type Zn-finger protein</v>
      </c>
      <c r="CH121" s="15">
        <v>6.0000000000000003E-12</v>
      </c>
      <c r="CI121" s="2">
        <v>47</v>
      </c>
      <c r="CJ121" s="2" t="s">
        <v>743</v>
      </c>
      <c r="CK121" s="2" t="s">
        <v>309</v>
      </c>
      <c r="CL121" s="9" t="str">
        <f>HYPERLINK(".\links\PFAM\AGAP027988-PA-PFAM.txt","zf-AD, Zinc-finger associated domain (zf-AD)")</f>
        <v>zf-AD, Zinc-finger associated domain (zf-AD)</v>
      </c>
      <c r="CM121" s="15">
        <v>6.9999999999999997E-7</v>
      </c>
      <c r="CN121" s="2">
        <v>97.3</v>
      </c>
      <c r="CO121" s="2" t="s">
        <v>687</v>
      </c>
      <c r="CP121" s="9" t="str">
        <f>HYPERLINK(".\links\SMART\AGAP027988-PA-SMART.txt","zf-AD, Zinc-finger associated domain (zf-AD)")</f>
        <v>zf-AD, Zinc-finger associated domain (zf-AD)</v>
      </c>
      <c r="CQ121" s="15">
        <v>4.9999999999999998E-7</v>
      </c>
      <c r="CR121" s="2">
        <v>97.3</v>
      </c>
      <c r="CS121" s="2" t="s">
        <v>684</v>
      </c>
      <c r="CT121" s="2" t="s">
        <v>1422</v>
      </c>
      <c r="CU121" s="2" t="s">
        <v>1422</v>
      </c>
      <c r="CV121" s="2" t="s">
        <v>1422</v>
      </c>
      <c r="CW121" s="2" t="str">
        <f>HYPERLINK(".\links\pep\AGAP027988-PA-pep.txt","AGAP027988-PA")</f>
        <v>AGAP027988-PA</v>
      </c>
      <c r="CX121" s="2" t="s">
        <v>95</v>
      </c>
      <c r="CY121" s="2">
        <v>682</v>
      </c>
      <c r="CZ121" s="2" t="s">
        <v>113</v>
      </c>
      <c r="DA121" s="2" t="s">
        <v>1425</v>
      </c>
      <c r="DB121" s="2">
        <v>0</v>
      </c>
      <c r="DC121" s="2">
        <v>0</v>
      </c>
      <c r="DD121" s="2" t="str">
        <f>HYPERLINK("https://www.kegg.jp/kegg-bin/search_pathway_text?map=aga&amp;keyword=AGAP027988&amp;mode=1&amp;viewImage=true","AGAP027988")</f>
        <v>AGAP027988</v>
      </c>
      <c r="DE121" s="2" t="s">
        <v>1421</v>
      </c>
      <c r="DF121" s="2" t="s">
        <v>93</v>
      </c>
      <c r="DG121" s="2" t="s">
        <v>94</v>
      </c>
      <c r="DH121" s="2" t="str">
        <f>HYPERLINK("https://vectorbase.org/vectorbase/app/record/gene/AGAP027988","AGAP027988-RA")</f>
        <v>AGAP027988-RA</v>
      </c>
      <c r="DI121" s="2" t="s">
        <v>115</v>
      </c>
      <c r="DJ121" s="2">
        <v>2244</v>
      </c>
      <c r="DK121" s="2" t="str">
        <f>HYPERLINK(".\links\netoglyc\AGAP027988-PA-netoglyc.txt","0")</f>
        <v>0</v>
      </c>
      <c r="DL121" s="2">
        <v>12.5</v>
      </c>
      <c r="DM121" s="2">
        <v>4.3</v>
      </c>
      <c r="DN121" s="2">
        <v>4.8</v>
      </c>
      <c r="DO121" s="2" t="s">
        <v>104</v>
      </c>
      <c r="DP121" s="2" t="s">
        <v>102</v>
      </c>
      <c r="DQ121" s="2" t="str">
        <f>HYPERLINK(".\links\Sigp\AGAP027988-PA-SigP.txt","CYT")</f>
        <v>CYT</v>
      </c>
      <c r="DR121" s="2" t="s">
        <v>102</v>
      </c>
      <c r="DS121" s="2">
        <v>77.033000000000001</v>
      </c>
      <c r="DT121" s="2">
        <v>9.1199999999999992</v>
      </c>
      <c r="DU121" s="2" t="s">
        <v>102</v>
      </c>
      <c r="DV121" s="2" t="s">
        <v>102</v>
      </c>
      <c r="DW121" s="2" t="s">
        <v>211</v>
      </c>
      <c r="DX121" s="2">
        <v>682</v>
      </c>
      <c r="DY121" s="12">
        <v>0</v>
      </c>
      <c r="DZ121" s="2" t="s">
        <v>102</v>
      </c>
      <c r="EA121" s="2" t="s">
        <v>102</v>
      </c>
      <c r="EB121" s="2" t="s">
        <v>102</v>
      </c>
      <c r="EC121" s="2" t="str">
        <f>HYPERLINK(".\links\gpi\AGAP027988-PA-gpi.txt","N")</f>
        <v>N</v>
      </c>
      <c r="ED121" s="2">
        <v>0.26</v>
      </c>
      <c r="EE121" s="2" t="s">
        <v>1426</v>
      </c>
      <c r="EF121" s="2">
        <v>44</v>
      </c>
      <c r="EG121" s="2" t="s">
        <v>102</v>
      </c>
      <c r="EH121" s="2" t="s">
        <v>102</v>
      </c>
      <c r="EI121" s="2">
        <v>12.4633431085044</v>
      </c>
      <c r="EJ121" s="2">
        <v>4.8387096774193603</v>
      </c>
      <c r="EK121" s="2">
        <v>4.2521994134897403</v>
      </c>
      <c r="EL121" s="2">
        <v>9.0909090909090899</v>
      </c>
      <c r="EM121" s="2" t="s">
        <v>102</v>
      </c>
      <c r="EN121" s="2">
        <v>1</v>
      </c>
      <c r="EO121" s="2">
        <v>1</v>
      </c>
      <c r="EP121" s="2" t="s">
        <v>102</v>
      </c>
      <c r="EQ121" s="2" t="s">
        <v>102</v>
      </c>
      <c r="ER121" s="2" t="s">
        <v>102</v>
      </c>
      <c r="ES121" s="2" t="s">
        <v>102</v>
      </c>
      <c r="ET121" s="2" t="str">
        <f>HYPERLINK(".\links\REFSEQ-INVERTEBRATE\AGAP027988-PA-REFSEQ-INVERTEBRATE.txt","AGAP008235-PA, partial")</f>
        <v>AGAP008235-PA, partial</v>
      </c>
      <c r="EU121" s="2" t="str">
        <f>HYPERLINK("http://www.ncbi.nlm.nih.gov/sutils/blink.cgi?pid=XP_555228.3","1E-89")</f>
        <v>1E-89</v>
      </c>
      <c r="EV121" s="2" t="str">
        <f>HYPERLINK("http://www.ncbi.nlm.nih.gov/protein/XP_555228.3","XP_555228.3")</f>
        <v>XP_555228.3</v>
      </c>
      <c r="EW121" s="2">
        <v>53</v>
      </c>
      <c r="EX121" s="2">
        <v>59</v>
      </c>
      <c r="EY121" s="2">
        <v>113</v>
      </c>
      <c r="EZ121" s="2" t="s">
        <v>105</v>
      </c>
    </row>
    <row r="122" spans="1:156" x14ac:dyDescent="0.25">
      <c r="A122" s="2" t="s">
        <v>1427</v>
      </c>
      <c r="B122" s="2">
        <v>0.360459130338733</v>
      </c>
      <c r="C122" s="2">
        <f t="shared" si="1"/>
        <v>1.2838344063085423</v>
      </c>
      <c r="D122" s="2">
        <v>7.5237015207870996</v>
      </c>
      <c r="E122" s="2">
        <v>9.5515342011170592</v>
      </c>
      <c r="F122" s="2">
        <v>1.9978236587299201E-3</v>
      </c>
      <c r="G122" s="2">
        <v>4.3558743709697798E-2</v>
      </c>
      <c r="H122" s="2" t="s">
        <v>1428</v>
      </c>
      <c r="I122" s="2" t="s">
        <v>94</v>
      </c>
      <c r="J122" s="2" t="str">
        <f>HYPERLINK("https://vectorbase.org/vectorbase/app/record/gene/AGAP012417","AGAP012417-RA")</f>
        <v>AGAP012417-RA</v>
      </c>
      <c r="K122" s="2" t="str">
        <f>HYPERLINK(".\links\pep\AGAP012417-PA-pep.txt","AGAP012417-PA")</f>
        <v>AGAP012417-PA</v>
      </c>
      <c r="L122" s="12" t="s">
        <v>95</v>
      </c>
      <c r="M122" s="2">
        <v>890</v>
      </c>
      <c r="N122" s="2">
        <v>0</v>
      </c>
      <c r="O122" s="2">
        <v>1</v>
      </c>
      <c r="P122" s="2" t="s">
        <v>1429</v>
      </c>
      <c r="Q122" s="9" t="s">
        <v>1430</v>
      </c>
      <c r="R122" s="2" t="s">
        <v>771</v>
      </c>
      <c r="S122" s="2" t="str">
        <f>HYPERLINK(".\links\KOG\AGAP012417-PA-KOG.txt","KOG")</f>
        <v>KOG</v>
      </c>
      <c r="T122" s="2">
        <v>0</v>
      </c>
      <c r="U122" s="2">
        <v>103.6</v>
      </c>
      <c r="V122" s="2" t="s">
        <v>1431</v>
      </c>
      <c r="W122" s="10" t="s">
        <v>1432</v>
      </c>
      <c r="X122" s="2" t="s">
        <v>345</v>
      </c>
      <c r="Y122" s="2" t="str">
        <f>HYPERLINK(".\links\CDD\AGAP012417-PA-CDD.txt","CDD")</f>
        <v>CDD</v>
      </c>
      <c r="Z122" s="2">
        <v>0</v>
      </c>
      <c r="AA122" s="2">
        <v>101.8</v>
      </c>
      <c r="AB122" s="13" t="s">
        <v>102</v>
      </c>
      <c r="AC122" s="13" t="str">
        <f>HYPERLINK(".\links\Sigp\AGAP012417-PA-SigP.txt","CYT")</f>
        <v>CYT</v>
      </c>
      <c r="AD122" s="2" t="s">
        <v>102</v>
      </c>
      <c r="AE122" s="2">
        <v>103.33499999999999</v>
      </c>
      <c r="AF122" s="2">
        <v>6.2</v>
      </c>
      <c r="AG122" s="2" t="s">
        <v>102</v>
      </c>
      <c r="AH122" s="2" t="s">
        <v>102</v>
      </c>
      <c r="AI122" s="2" t="s">
        <v>1433</v>
      </c>
      <c r="AJ122" s="13">
        <v>0</v>
      </c>
      <c r="AK122" s="2" t="s">
        <v>102</v>
      </c>
      <c r="AL122" s="2" t="s">
        <v>102</v>
      </c>
      <c r="AM122" s="2" t="s">
        <v>102</v>
      </c>
      <c r="AN122" s="13" t="str">
        <f>HYPERLINK(".\links\gpi\AGAP012417-PA-gpi.txt","N")</f>
        <v>N</v>
      </c>
      <c r="AO122" s="14" t="str">
        <f>HYPERLINK(".\links\netoglyc\AGAP012417-PA-netoglyc.txt","0")</f>
        <v>0</v>
      </c>
      <c r="AP122" s="13">
        <v>10.9</v>
      </c>
      <c r="AQ122" s="2">
        <v>2.6</v>
      </c>
      <c r="AR122" s="2">
        <v>2.9</v>
      </c>
      <c r="AS122" s="2" t="s">
        <v>104</v>
      </c>
      <c r="AT122" s="9" t="str">
        <f>HYPERLINK(".\links\NR-LIGHT\AGAP012417-PA-NR-LIGHT.txt","AGAP012417-PA, partial")</f>
        <v>AGAP012417-PA, partial</v>
      </c>
      <c r="AU122" s="2" t="str">
        <f>HYPERLINK("http://www.ncbi.nlm.nih.gov/sutils/blink.cgi?pid=XP_551765.3","0.0")</f>
        <v>0.0</v>
      </c>
      <c r="AV122" s="2" t="str">
        <f>HYPERLINK("http://www.ncbi.nlm.nih.gov/protein/XP_551765.3","XP_551765.3")</f>
        <v>XP_551765.3</v>
      </c>
      <c r="AW122" s="2">
        <v>100</v>
      </c>
      <c r="AX122" s="2">
        <v>100</v>
      </c>
      <c r="AY122" s="2">
        <v>99</v>
      </c>
      <c r="AZ122" s="2" t="s">
        <v>105</v>
      </c>
      <c r="BA122" s="9" t="str">
        <f>HYPERLINK(".\links\REFSEQ-INVERTEBRATE\AGAP012417-PA-REFSEQ-INVERTEBRATE.txt","AGAP012417-PA, partial")</f>
        <v>AGAP012417-PA, partial</v>
      </c>
      <c r="BB122" s="2" t="str">
        <f>HYPERLINK("http://www.ncbi.nlm.nih.gov/sutils/blink.cgi?pid=XP_551765.3","0.0")</f>
        <v>0.0</v>
      </c>
      <c r="BC122" s="2" t="str">
        <f>HYPERLINK("http://www.ncbi.nlm.nih.gov/protein/XP_551765.3","XP_551765.3")</f>
        <v>XP_551765.3</v>
      </c>
      <c r="BD122" s="2">
        <v>100</v>
      </c>
      <c r="BE122" s="2">
        <v>100</v>
      </c>
      <c r="BF122" s="2">
        <v>99</v>
      </c>
      <c r="BG122" s="2" t="s">
        <v>105</v>
      </c>
      <c r="BH122" s="9" t="str">
        <f>HYPERLINK(".\links\REFSEQ-PROTOZOA\AGAP012417-PA-REFSEQ-PROTOZOA.txt","hypothetical protein CAOG_06346")</f>
        <v>hypothetical protein CAOG_06346</v>
      </c>
      <c r="BI122" s="2" t="str">
        <f>HYPERLINK("http://www.ncbi.nlm.nih.gov/sutils/blink.cgi?pid=XP_004345095.1","7E-091")</f>
        <v>7E-091</v>
      </c>
      <c r="BJ122" s="2" t="str">
        <f>HYPERLINK("http://www.ncbi.nlm.nih.gov/protein/XP_004345095.1","XP_004345095.1")</f>
        <v>XP_004345095.1</v>
      </c>
      <c r="BK122" s="2">
        <v>27</v>
      </c>
      <c r="BL122" s="2">
        <v>46</v>
      </c>
      <c r="BM122" s="2">
        <v>69</v>
      </c>
      <c r="BN122" s="2" t="s">
        <v>106</v>
      </c>
      <c r="BO122" s="9" t="str">
        <f>HYPERLINK(".\links\SWISSP\AGAP012417-PA-SWISSP.txt","Exocyst complex component 1")</f>
        <v>Exocyst complex component 1</v>
      </c>
      <c r="BP122" s="2" t="str">
        <f>HYPERLINK("http://www.uniprot.org/uniprot/Q9VVG4","0.0")</f>
        <v>0.0</v>
      </c>
      <c r="BQ122" s="2" t="str">
        <f>HYPERLINK("http://www.uniprot.org/uniprot/Q9VVG4#expression","Q9VVG4")</f>
        <v>Q9VVG4</v>
      </c>
      <c r="BR122" s="2">
        <v>61</v>
      </c>
      <c r="BS122" s="2">
        <v>75</v>
      </c>
      <c r="BT122" s="2">
        <v>101</v>
      </c>
      <c r="BU122" s="2" t="s">
        <v>107</v>
      </c>
      <c r="BV122" s="9" t="str">
        <f>HYPERLINK(".\links\FLYBASE\AGAP012417-PA-FLYBASE.txt","FBpp0074993")</f>
        <v>FBpp0074993</v>
      </c>
      <c r="BW122" s="2" t="str">
        <f>HYPERLINK("http://flybase.org/reports/FBgn0266669#alliance_summary_container","0.0")</f>
        <v>0.0</v>
      </c>
      <c r="BX122" s="2">
        <v>889</v>
      </c>
      <c r="BY122" s="2">
        <v>61</v>
      </c>
      <c r="BZ122" s="2">
        <v>75</v>
      </c>
      <c r="CA122" s="2">
        <v>101</v>
      </c>
      <c r="CB122" s="9" t="str">
        <f>HYPERLINK(".\links\CDD\AGAP012417-PA-CDD.txt","Sec3_C, Exocyst complex component Sec3")</f>
        <v>Sec3_C, Exocyst complex component Sec3</v>
      </c>
      <c r="CC122" s="15">
        <v>0</v>
      </c>
      <c r="CD122" s="2">
        <v>102</v>
      </c>
      <c r="CE122" s="2" t="s">
        <v>1434</v>
      </c>
      <c r="CF122" s="2" t="s">
        <v>1435</v>
      </c>
      <c r="CG122" s="9" t="str">
        <f>HYPERLINK(".\links\KOG\AGAP012417-PA-KOG.txt","Exocyst protein Sec3")</f>
        <v>Exocyst protein Sec3</v>
      </c>
      <c r="CH122" s="15">
        <v>0</v>
      </c>
      <c r="CI122" s="2">
        <v>103.7</v>
      </c>
      <c r="CJ122" s="2" t="s">
        <v>1436</v>
      </c>
      <c r="CK122" s="2" t="s">
        <v>154</v>
      </c>
      <c r="CL122" s="9" t="str">
        <f>HYPERLINK(".\links\PFAM\AGAP012417-PA-PFAM.txt","Sec3_C, Exocyst complex component Sec3")</f>
        <v>Sec3_C, Exocyst complex component Sec3</v>
      </c>
      <c r="CM122" s="15">
        <v>0</v>
      </c>
      <c r="CN122" s="2">
        <v>102</v>
      </c>
      <c r="CO122" s="2" t="s">
        <v>1434</v>
      </c>
      <c r="CP122" s="9" t="str">
        <f>HYPERLINK(".\links\SMART\AGAP012417-PA-SMART.txt","PGAM, Phosphoglycerate mutase family")</f>
        <v>PGAM, Phosphoglycerate mutase family</v>
      </c>
      <c r="CQ122" s="15">
        <v>0.48</v>
      </c>
      <c r="CR122" s="2">
        <v>12.7</v>
      </c>
      <c r="CS122" s="2" t="s">
        <v>1437</v>
      </c>
      <c r="CT122" s="2" t="s">
        <v>1431</v>
      </c>
      <c r="CU122" s="2" t="s">
        <v>1431</v>
      </c>
      <c r="CV122" s="2" t="s">
        <v>1431</v>
      </c>
      <c r="CW122" s="2" t="str">
        <f>HYPERLINK(".\links\pep\AGAP012417-PA-pep.txt","AGAP012417-PA")</f>
        <v>AGAP012417-PA</v>
      </c>
      <c r="CX122" s="2" t="s">
        <v>95</v>
      </c>
      <c r="CY122" s="2">
        <v>890</v>
      </c>
      <c r="CZ122" s="2" t="s">
        <v>113</v>
      </c>
      <c r="DA122" s="2" t="s">
        <v>1438</v>
      </c>
      <c r="DB122" s="2">
        <v>0</v>
      </c>
      <c r="DC122" s="2">
        <v>1</v>
      </c>
      <c r="DD122" s="2" t="str">
        <f>HYPERLINK("https://www.kegg.jp/kegg-bin/search_pathway_text?map=aga&amp;keyword=AGAP012417&amp;mode=1&amp;viewImage=true","AGAP012417")</f>
        <v>AGAP012417</v>
      </c>
      <c r="DE122" s="2" t="s">
        <v>1427</v>
      </c>
      <c r="DF122" s="2" t="s">
        <v>1428</v>
      </c>
      <c r="DG122" s="2" t="s">
        <v>94</v>
      </c>
      <c r="DH122" s="2" t="str">
        <f>HYPERLINK("https://vectorbase.org/vectorbase/app/record/gene/AGAP012417","AGAP012417-RA")</f>
        <v>AGAP012417-RA</v>
      </c>
      <c r="DI122" s="2" t="s">
        <v>135</v>
      </c>
      <c r="DJ122" s="2">
        <v>2894</v>
      </c>
      <c r="DK122" s="2" t="str">
        <f>HYPERLINK(".\links\netoglyc\AGAP012417-PA-netoglyc.txt","0")</f>
        <v>0</v>
      </c>
      <c r="DL122" s="2">
        <v>10.9</v>
      </c>
      <c r="DM122" s="2">
        <v>2.6</v>
      </c>
      <c r="DN122" s="2">
        <v>2.9</v>
      </c>
      <c r="DO122" s="2" t="s">
        <v>104</v>
      </c>
      <c r="DP122" s="2" t="s">
        <v>102</v>
      </c>
      <c r="DQ122" s="2" t="str">
        <f>HYPERLINK(".\links\Sigp\AGAP012417-PA-SigP.txt","CYT")</f>
        <v>CYT</v>
      </c>
      <c r="DR122" s="2" t="s">
        <v>102</v>
      </c>
      <c r="DS122" s="2">
        <v>103.33499999999999</v>
      </c>
      <c r="DT122" s="2">
        <v>6.2</v>
      </c>
      <c r="DU122" s="2" t="s">
        <v>102</v>
      </c>
      <c r="DV122" s="2" t="s">
        <v>102</v>
      </c>
      <c r="DW122" s="2" t="s">
        <v>1433</v>
      </c>
      <c r="DX122" s="2">
        <v>890</v>
      </c>
      <c r="DY122" s="12">
        <v>0</v>
      </c>
      <c r="DZ122" s="2" t="s">
        <v>102</v>
      </c>
      <c r="EA122" s="2" t="s">
        <v>102</v>
      </c>
      <c r="EB122" s="2" t="s">
        <v>102</v>
      </c>
      <c r="EC122" s="2" t="str">
        <f>HYPERLINK(".\links\gpi\AGAP012417-PA-gpi.txt","Y-NoSP")</f>
        <v>Y-NoSP</v>
      </c>
      <c r="ED122" s="2">
        <v>0.25</v>
      </c>
      <c r="EF122" s="2">
        <v>12</v>
      </c>
      <c r="EG122" s="2" t="s">
        <v>102</v>
      </c>
      <c r="EH122" s="2" t="s">
        <v>102</v>
      </c>
      <c r="EI122" s="2">
        <v>10.8988764044944</v>
      </c>
      <c r="EJ122" s="2">
        <v>2.9213483146067398</v>
      </c>
      <c r="EK122" s="2">
        <v>2.5842696629213502</v>
      </c>
      <c r="EL122" s="2">
        <v>5.5056179775280896</v>
      </c>
      <c r="EM122" s="2" t="s">
        <v>102</v>
      </c>
      <c r="EN122" s="2">
        <v>2</v>
      </c>
      <c r="EO122" s="2">
        <v>2</v>
      </c>
      <c r="EP122" s="2" t="s">
        <v>102</v>
      </c>
      <c r="EQ122" s="2" t="s">
        <v>102</v>
      </c>
      <c r="ER122" s="2" t="s">
        <v>102</v>
      </c>
      <c r="ES122" s="2" t="s">
        <v>102</v>
      </c>
      <c r="ET122" s="2" t="str">
        <f>HYPERLINK(".\links\REFSEQ-INVERTEBRATE\AGAP012417-PA-REFSEQ-INVERTEBRATE.txt","AGAP012417-PA, partial")</f>
        <v>AGAP012417-PA, partial</v>
      </c>
      <c r="EU122" s="2" t="str">
        <f>HYPERLINK("http://www.ncbi.nlm.nih.gov/sutils/blink.cgi?pid=XP_551765.3","0.0")</f>
        <v>0.0</v>
      </c>
      <c r="EV122" s="2" t="str">
        <f>HYPERLINK("http://www.ncbi.nlm.nih.gov/protein/XP_551765.3","XP_551765.3")</f>
        <v>XP_551765.3</v>
      </c>
      <c r="EW122" s="2">
        <v>100</v>
      </c>
      <c r="EX122" s="2">
        <v>100</v>
      </c>
      <c r="EY122" s="2">
        <v>99</v>
      </c>
      <c r="EZ122" s="2" t="s">
        <v>105</v>
      </c>
    </row>
    <row r="123" spans="1:156" x14ac:dyDescent="0.25">
      <c r="A123" s="2" t="s">
        <v>1439</v>
      </c>
      <c r="B123" s="2">
        <v>0.35988338429407501</v>
      </c>
      <c r="C123" s="2">
        <f t="shared" si="1"/>
        <v>1.2833221600688303</v>
      </c>
      <c r="D123" s="2">
        <v>5.3222933199135003</v>
      </c>
      <c r="E123" s="2">
        <v>10.114118816201501</v>
      </c>
      <c r="F123" s="2">
        <v>1.47137765894046E-3</v>
      </c>
      <c r="G123" s="2">
        <v>3.7565872613622403E-2</v>
      </c>
      <c r="H123" s="2" t="s">
        <v>1440</v>
      </c>
      <c r="I123" s="2" t="s">
        <v>94</v>
      </c>
      <c r="J123" s="2" t="str">
        <f>HYPERLINK("https://vectorbase.org/vectorbase/app/record/gene/AGAP008653","AGAP008653-RA")</f>
        <v>AGAP008653-RA</v>
      </c>
      <c r="K123" s="2" t="str">
        <f>HYPERLINK(".\links\pep\AGAP008653-PA-pep.txt","AGAP008653-PA")</f>
        <v>AGAP008653-PA</v>
      </c>
      <c r="L123" s="12" t="s">
        <v>95</v>
      </c>
      <c r="M123" s="2">
        <v>143</v>
      </c>
      <c r="N123" s="2">
        <v>0</v>
      </c>
      <c r="O123" s="2">
        <v>2</v>
      </c>
      <c r="P123" s="2" t="s">
        <v>1441</v>
      </c>
      <c r="Q123" s="9" t="s">
        <v>1442</v>
      </c>
      <c r="R123" s="2" t="s">
        <v>447</v>
      </c>
      <c r="S123" s="2" t="str">
        <f>HYPERLINK(".\links\KOG\AGAP008653-PA-KOG.txt","KOG")</f>
        <v>KOG</v>
      </c>
      <c r="T123" s="2">
        <v>2E-46</v>
      </c>
      <c r="U123" s="2">
        <v>93.3</v>
      </c>
      <c r="V123" s="2" t="s">
        <v>1443</v>
      </c>
      <c r="W123" s="10" t="s">
        <v>1444</v>
      </c>
      <c r="X123" s="2" t="s">
        <v>447</v>
      </c>
      <c r="Y123" s="2" t="str">
        <f>HYPERLINK(".\links\KOG\AGAP008653-PA-KOG.txt","KOG")</f>
        <v>KOG</v>
      </c>
      <c r="Z123" s="15">
        <v>5.9999999999999998E-48</v>
      </c>
      <c r="AA123" s="2">
        <v>90.7</v>
      </c>
      <c r="AB123" s="13" t="s">
        <v>102</v>
      </c>
      <c r="AC123" s="13" t="str">
        <f>HYPERLINK(".\links\Sigp\AGAP008653-PA-SigP.txt","CYT")</f>
        <v>CYT</v>
      </c>
      <c r="AD123" s="2" t="s">
        <v>102</v>
      </c>
      <c r="AE123" s="2">
        <v>17.042999999999999</v>
      </c>
      <c r="AF123" s="2">
        <v>9.26</v>
      </c>
      <c r="AG123" s="2" t="s">
        <v>102</v>
      </c>
      <c r="AH123" s="2" t="s">
        <v>102</v>
      </c>
      <c r="AI123" s="2" t="s">
        <v>211</v>
      </c>
      <c r="AJ123" s="13">
        <v>0</v>
      </c>
      <c r="AK123" s="2" t="s">
        <v>102</v>
      </c>
      <c r="AL123" s="2" t="s">
        <v>102</v>
      </c>
      <c r="AM123" s="2" t="s">
        <v>102</v>
      </c>
      <c r="AN123" s="13" t="str">
        <f>HYPERLINK(".\links\gpi\AGAP008653-PA-gpi.txt","N")</f>
        <v>N</v>
      </c>
      <c r="AO123" s="14" t="str">
        <f>HYPERLINK(".\links\netoglyc\AGAP008653-PA-netoglyc.txt","2")</f>
        <v>2</v>
      </c>
      <c r="AP123" s="13">
        <v>8.4</v>
      </c>
      <c r="AQ123" s="2">
        <v>9.1</v>
      </c>
      <c r="AR123" s="2">
        <v>7</v>
      </c>
      <c r="AS123" s="2" t="s">
        <v>104</v>
      </c>
      <c r="AT123" s="9" t="str">
        <f>HYPERLINK(".\links\NR-LIGHT\AGAP008653-PA-NR-LIGHT.txt","AGAP008653-PA")</f>
        <v>AGAP008653-PA</v>
      </c>
      <c r="AU123" s="2" t="str">
        <f>HYPERLINK("http://www.ncbi.nlm.nih.gov/sutils/blink.cgi?pid=XP_314752.3","8E-086")</f>
        <v>8E-086</v>
      </c>
      <c r="AV123" s="2" t="str">
        <f>HYPERLINK("http://www.ncbi.nlm.nih.gov/protein/XP_314752.3","XP_314752.3")</f>
        <v>XP_314752.3</v>
      </c>
      <c r="AW123" s="2">
        <v>100</v>
      </c>
      <c r="AX123" s="2">
        <v>100</v>
      </c>
      <c r="AY123" s="2">
        <v>100</v>
      </c>
      <c r="AZ123" s="2" t="s">
        <v>105</v>
      </c>
      <c r="BA123" s="9" t="str">
        <f>HYPERLINK(".\links\REFSEQ-INVERTEBRATE\AGAP008653-PA-REFSEQ-INVERTEBRATE.txt","AGAP008653-PA")</f>
        <v>AGAP008653-PA</v>
      </c>
      <c r="BB123" s="2" t="str">
        <f>HYPERLINK("http://www.ncbi.nlm.nih.gov/sutils/blink.cgi?pid=XP_314752.3","7E-086")</f>
        <v>7E-086</v>
      </c>
      <c r="BC123" s="2" t="str">
        <f>HYPERLINK("http://www.ncbi.nlm.nih.gov/protein/XP_314752.3","XP_314752.3")</f>
        <v>XP_314752.3</v>
      </c>
      <c r="BD123" s="2">
        <v>100</v>
      </c>
      <c r="BE123" s="2">
        <v>100</v>
      </c>
      <c r="BF123" s="2">
        <v>100</v>
      </c>
      <c r="BG123" s="2" t="s">
        <v>105</v>
      </c>
      <c r="BH123" s="9" t="str">
        <f>HYPERLINK(".\links\REFSEQ-PROTOZOA\AGAP008653-PA-REFSEQ-PROTOZOA.txt","hypothetical protein PTSG_04425")</f>
        <v>hypothetical protein PTSG_04425</v>
      </c>
      <c r="BI123" s="2" t="str">
        <f>HYPERLINK("http://www.ncbi.nlm.nih.gov/sutils/blink.cgi?pid=XP_004994519.1","4E-024")</f>
        <v>4E-024</v>
      </c>
      <c r="BJ123" s="2" t="str">
        <f>HYPERLINK("http://www.ncbi.nlm.nih.gov/protein/XP_004994519.1","XP_004994519.1")</f>
        <v>XP_004994519.1</v>
      </c>
      <c r="BK123" s="2">
        <v>48</v>
      </c>
      <c r="BL123" s="2">
        <v>65</v>
      </c>
      <c r="BM123" s="2">
        <v>84</v>
      </c>
      <c r="BN123" s="2" t="s">
        <v>435</v>
      </c>
      <c r="BO123" s="9" t="str">
        <f>HYPERLINK(".\links\SWISSP\AGAP008653-PA-SWISSP.txt","Probable NADH dehydrogenase [ubiquinone] 1 alpha subcomplex subunit 12")</f>
        <v>Probable NADH dehydrogenase [ubiquinone] 1 alpha subcomplex subunit 12</v>
      </c>
      <c r="BP123" s="2" t="str">
        <f>HYPERLINK("http://www.uniprot.org/uniprot/Q9N2W7","6E-029")</f>
        <v>6E-029</v>
      </c>
      <c r="BQ123" s="2" t="str">
        <f>HYPERLINK("http://www.uniprot.org/uniprot/Q9N2W7#expression","Q9N2W7")</f>
        <v>Q9N2W7</v>
      </c>
      <c r="BR123" s="2">
        <v>42</v>
      </c>
      <c r="BS123" s="2">
        <v>62</v>
      </c>
      <c r="BT123" s="2">
        <v>92</v>
      </c>
      <c r="BU123" s="2" t="s">
        <v>1445</v>
      </c>
      <c r="BV123" s="9" t="str">
        <f>HYPERLINK(".\links\FLYBASE\AGAP008653-PA-FLYBASE.txt","FBpp0271901")</f>
        <v>FBpp0271901</v>
      </c>
      <c r="BW123" s="2" t="str">
        <f>HYPERLINK("http://flybase.org/reports/FBgn0031436#alliance_summary_container","1E-65")</f>
        <v>1E-65</v>
      </c>
      <c r="BX123" s="2">
        <v>142</v>
      </c>
      <c r="BY123" s="2">
        <v>64</v>
      </c>
      <c r="BZ123" s="2">
        <v>81</v>
      </c>
      <c r="CA123" s="2">
        <v>97</v>
      </c>
      <c r="CB123" s="9" t="str">
        <f>HYPERLINK(".\links\CDD\AGAP008653-PA-CDD.txt","NDUFA12, NADH ubiquinone oxidoreductase subunit NDUFA12")</f>
        <v>NDUFA12, NADH ubiquinone oxidoreductase subunit NDUFA12</v>
      </c>
      <c r="CC123" s="15">
        <v>5.0000000000000002E-28</v>
      </c>
      <c r="CD123" s="2">
        <v>104.1</v>
      </c>
      <c r="CE123" s="2" t="s">
        <v>1446</v>
      </c>
      <c r="CF123" s="2" t="s">
        <v>1447</v>
      </c>
      <c r="CG123" s="9" t="str">
        <f>HYPERLINK(".\links\KOG\AGAP008653-PA-KOG.txt","B17")</f>
        <v>B17</v>
      </c>
      <c r="CH123" s="15">
        <v>2E-46</v>
      </c>
      <c r="CI123" s="2">
        <v>93.4</v>
      </c>
      <c r="CJ123" s="2" t="s">
        <v>1448</v>
      </c>
      <c r="CK123" s="2" t="s">
        <v>1449</v>
      </c>
      <c r="CL123" s="9" t="str">
        <f>HYPERLINK(".\links\PFAM\AGAP008653-PA-PFAM.txt","NDUFA12, NADH ubiquinone oxidoreductase subunit NDUFA12")</f>
        <v>NDUFA12, NADH ubiquinone oxidoreductase subunit NDUFA12</v>
      </c>
      <c r="CM123" s="15">
        <v>9.9999999999999997E-29</v>
      </c>
      <c r="CN123" s="2">
        <v>104.1</v>
      </c>
      <c r="CO123" s="2" t="s">
        <v>1446</v>
      </c>
      <c r="CP123" s="9" t="str">
        <f>HYPERLINK(".\links\SMART\AGAP008653-PA-SMART.txt","Sema, semaphorin domain")</f>
        <v>Sema, semaphorin domain</v>
      </c>
      <c r="CQ123" s="15">
        <v>1</v>
      </c>
      <c r="CR123" s="2">
        <v>4.4000000000000004</v>
      </c>
      <c r="CS123" s="2" t="s">
        <v>1450</v>
      </c>
      <c r="CT123" s="2" t="s">
        <v>1443</v>
      </c>
      <c r="CU123" s="2" t="s">
        <v>1443</v>
      </c>
      <c r="CV123" s="2" t="s">
        <v>1443</v>
      </c>
      <c r="CW123" s="2" t="str">
        <f>HYPERLINK(".\links\pep\AGAP008653-PA-pep.txt","AGAP008653-PA")</f>
        <v>AGAP008653-PA</v>
      </c>
      <c r="CX123" s="2" t="s">
        <v>95</v>
      </c>
      <c r="CY123" s="2">
        <v>143</v>
      </c>
      <c r="CZ123" s="2" t="s">
        <v>113</v>
      </c>
      <c r="DA123" s="2" t="s">
        <v>1451</v>
      </c>
      <c r="DB123" s="2">
        <v>0</v>
      </c>
      <c r="DC123" s="2">
        <v>2</v>
      </c>
      <c r="DD123" s="2" t="str">
        <f>HYPERLINK("https://www.kegg.jp/kegg-bin/search_pathway_text?map=aga&amp;keyword=AGAP008653&amp;mode=1&amp;viewImage=true","AGAP008653")</f>
        <v>AGAP008653</v>
      </c>
      <c r="DE123" s="2" t="s">
        <v>1439</v>
      </c>
      <c r="DF123" s="2" t="s">
        <v>1440</v>
      </c>
      <c r="DG123" s="2" t="s">
        <v>94</v>
      </c>
      <c r="DH123" s="2" t="str">
        <f>HYPERLINK("https://vectorbase.org/vectorbase/app/record/gene/AGAP008653","AGAP008653-RA")</f>
        <v>AGAP008653-RA</v>
      </c>
      <c r="DI123" s="2" t="s">
        <v>118</v>
      </c>
      <c r="DJ123" s="2">
        <v>713</v>
      </c>
      <c r="DK123" s="2" t="str">
        <f>HYPERLINK(".\links\netoglyc\AGAP008653-PA-netoglyc.txt","2")</f>
        <v>2</v>
      </c>
      <c r="DL123" s="2">
        <v>8.4</v>
      </c>
      <c r="DM123" s="2">
        <v>9.1</v>
      </c>
      <c r="DN123" s="2">
        <v>7</v>
      </c>
      <c r="DO123" s="2" t="s">
        <v>104</v>
      </c>
      <c r="DP123" s="2" t="s">
        <v>102</v>
      </c>
      <c r="DQ123" s="2" t="str">
        <f>HYPERLINK(".\links\Sigp\AGAP008653-PA-SigP.txt","CYT")</f>
        <v>CYT</v>
      </c>
      <c r="DR123" s="2" t="s">
        <v>102</v>
      </c>
      <c r="DS123" s="2">
        <v>17.042999999999999</v>
      </c>
      <c r="DT123" s="2">
        <v>9.26</v>
      </c>
      <c r="DU123" s="2" t="s">
        <v>102</v>
      </c>
      <c r="DV123" s="2" t="s">
        <v>102</v>
      </c>
      <c r="DW123" s="2" t="s">
        <v>211</v>
      </c>
      <c r="DX123" s="2">
        <v>143</v>
      </c>
      <c r="DY123" s="12">
        <v>0</v>
      </c>
      <c r="DZ123" s="2" t="s">
        <v>102</v>
      </c>
      <c r="EA123" s="2" t="s">
        <v>102</v>
      </c>
      <c r="EB123" s="2" t="s">
        <v>102</v>
      </c>
      <c r="EC123" s="2" t="str">
        <f>HYPERLINK(".\links\gpi\AGAP008653-PA-gpi.txt","Y-NoSP")</f>
        <v>Y-NoSP</v>
      </c>
      <c r="ED123" s="2">
        <v>0.48</v>
      </c>
      <c r="EE123" s="2" t="s">
        <v>1452</v>
      </c>
      <c r="EF123" s="2">
        <v>0</v>
      </c>
      <c r="EG123" s="2" t="s">
        <v>102</v>
      </c>
      <c r="EH123" s="2" t="s">
        <v>102</v>
      </c>
      <c r="EI123" s="2">
        <v>8.3916083916083899</v>
      </c>
      <c r="EJ123" s="2">
        <v>6.9930069930069898</v>
      </c>
      <c r="EK123" s="2">
        <v>9.0909090909090899</v>
      </c>
      <c r="EL123" s="2">
        <v>16.083916083916101</v>
      </c>
      <c r="EM123" s="2" t="s">
        <v>102</v>
      </c>
      <c r="EN123" s="2" t="s">
        <v>102</v>
      </c>
      <c r="EO123" s="2" t="s">
        <v>102</v>
      </c>
      <c r="EP123" s="2" t="s">
        <v>102</v>
      </c>
      <c r="EQ123" s="2" t="s">
        <v>102</v>
      </c>
      <c r="ER123" s="2" t="s">
        <v>102</v>
      </c>
      <c r="ES123" s="2" t="s">
        <v>102</v>
      </c>
      <c r="ET123" s="2" t="str">
        <f>HYPERLINK(".\links\REFSEQ-INVERTEBRATE\AGAP008653-PA-REFSEQ-INVERTEBRATE.txt","AGAP008653-PA")</f>
        <v>AGAP008653-PA</v>
      </c>
      <c r="EU123" s="2" t="str">
        <f>HYPERLINK("http://www.ncbi.nlm.nih.gov/sutils/blink.cgi?pid=XP_314752.3","1E-103")</f>
        <v>1E-103</v>
      </c>
      <c r="EV123" s="2" t="str">
        <f>HYPERLINK("http://www.ncbi.nlm.nih.gov/protein/XP_314752.3","XP_314752.3")</f>
        <v>XP_314752.3</v>
      </c>
      <c r="EW123" s="2">
        <v>100</v>
      </c>
      <c r="EX123" s="2">
        <v>100</v>
      </c>
      <c r="EY123" s="2">
        <v>100</v>
      </c>
      <c r="EZ123" s="2" t="s">
        <v>105</v>
      </c>
    </row>
    <row r="124" spans="1:156" x14ac:dyDescent="0.25">
      <c r="A124" s="2" t="s">
        <v>1453</v>
      </c>
      <c r="B124" s="2">
        <v>0.35779029038443999</v>
      </c>
      <c r="C124" s="2">
        <f t="shared" si="1"/>
        <v>1.2814616378333175</v>
      </c>
      <c r="D124" s="2">
        <v>6.4540882907833899</v>
      </c>
      <c r="E124" s="2">
        <v>9.3323116634250702</v>
      </c>
      <c r="F124" s="2">
        <v>2.2514814923454401E-3</v>
      </c>
      <c r="G124" s="2">
        <v>4.5460305349704903E-2</v>
      </c>
      <c r="H124" s="2" t="s">
        <v>1454</v>
      </c>
      <c r="I124" s="2" t="s">
        <v>94</v>
      </c>
      <c r="J124" s="2" t="str">
        <f>HYPERLINK("https://vectorbase.org/vectorbase/app/record/gene/AGAP012398","AGAP012398-RA")</f>
        <v>AGAP012398-RA</v>
      </c>
      <c r="K124" s="2" t="str">
        <f>HYPERLINK(".\links\pep\AGAP012398-PA-pep.txt","AGAP012398-PA")</f>
        <v>AGAP012398-PA</v>
      </c>
      <c r="L124" s="12" t="s">
        <v>95</v>
      </c>
      <c r="M124" s="2">
        <v>278</v>
      </c>
      <c r="N124" s="2">
        <v>0</v>
      </c>
      <c r="O124" s="2">
        <v>0</v>
      </c>
      <c r="P124" s="2" t="s">
        <v>1455</v>
      </c>
      <c r="Q124" s="9" t="s">
        <v>1456</v>
      </c>
      <c r="R124" s="2" t="s">
        <v>771</v>
      </c>
      <c r="S124" s="2" t="str">
        <f>HYPERLINK(".\links\REFSEQ-INVERTEBRATE\AGAP012398-PA-REFSEQ-INVERTEBRATE.txt","REFSEQ-INVERTEBRATE")</f>
        <v>REFSEQ-INVERTEBRATE</v>
      </c>
      <c r="T124" s="2">
        <v>0</v>
      </c>
      <c r="U124" s="2">
        <v>99.2</v>
      </c>
      <c r="V124" s="2" t="s">
        <v>1457</v>
      </c>
      <c r="W124" s="10" t="s">
        <v>1458</v>
      </c>
      <c r="X124" s="2" t="s">
        <v>771</v>
      </c>
      <c r="Y124" s="2" t="str">
        <f>HYPERLINK(".\links\REFSEQ-INVERTEBRATE\AGAP012398-PA-REFSEQ-INVERTEBRATE.txt","REFSEQ-INVERTEBRATE")</f>
        <v>REFSEQ-INVERTEBRATE</v>
      </c>
      <c r="Z124" s="2">
        <v>0</v>
      </c>
      <c r="AA124" s="2">
        <v>100</v>
      </c>
      <c r="AB124" s="13" t="str">
        <f>HYPERLINK(".\links\pep\AGAP012398-PA-sulf.txt","1")</f>
        <v>1</v>
      </c>
      <c r="AC124" s="13" t="str">
        <f>HYPERLINK(".\links\Sigp\AGAP012398-PA-SigP.txt","CYT")</f>
        <v>CYT</v>
      </c>
      <c r="AD124" s="2" t="s">
        <v>102</v>
      </c>
      <c r="AE124" s="2">
        <v>31.109000000000002</v>
      </c>
      <c r="AF124" s="2">
        <v>7.61</v>
      </c>
      <c r="AG124" s="2" t="s">
        <v>102</v>
      </c>
      <c r="AH124" s="2" t="s">
        <v>102</v>
      </c>
      <c r="AI124" s="2" t="s">
        <v>211</v>
      </c>
      <c r="AJ124" s="13">
        <v>0</v>
      </c>
      <c r="AK124" s="2" t="s">
        <v>102</v>
      </c>
      <c r="AL124" s="2" t="s">
        <v>102</v>
      </c>
      <c r="AM124" s="2" t="s">
        <v>102</v>
      </c>
      <c r="AN124" s="13" t="str">
        <f>HYPERLINK(".\links\gpi\AGAP012398-PA-gpi.txt","N")</f>
        <v>N</v>
      </c>
      <c r="AO124" s="14" t="str">
        <f>HYPERLINK(".\links\netoglyc\AGAP012398-PA-netoglyc.txt","3")</f>
        <v>3</v>
      </c>
      <c r="AP124" s="13">
        <v>10.8</v>
      </c>
      <c r="AQ124" s="2">
        <v>5</v>
      </c>
      <c r="AR124" s="2">
        <v>3.6</v>
      </c>
      <c r="AS124" s="2" t="s">
        <v>104</v>
      </c>
      <c r="AT124" s="9" t="str">
        <f>HYPERLINK(".\links\NR-LIGHT\AGAP012398-PA-NR-LIGHT.txt","AGAP012398-PA")</f>
        <v>AGAP012398-PA</v>
      </c>
      <c r="AU124" s="2" t="str">
        <f>HYPERLINK("http://www.ncbi.nlm.nih.gov/sutils/blink.cgi?pid=XP_320160.4","1E-155")</f>
        <v>1E-155</v>
      </c>
      <c r="AV124" s="2" t="str">
        <f>HYPERLINK("http://www.ncbi.nlm.nih.gov/protein/XP_320160.4","XP_320160.4")</f>
        <v>XP_320160.4</v>
      </c>
      <c r="AW124" s="2">
        <v>100</v>
      </c>
      <c r="AX124" s="2">
        <v>100</v>
      </c>
      <c r="AY124" s="2">
        <v>100</v>
      </c>
      <c r="AZ124" s="2" t="s">
        <v>105</v>
      </c>
      <c r="BA124" s="9" t="str">
        <f>HYPERLINK(".\links\REFSEQ-INVERTEBRATE\AGAP012398-PA-REFSEQ-INVERTEBRATE.txt","AGAP012398-PA")</f>
        <v>AGAP012398-PA</v>
      </c>
      <c r="BB124" s="2" t="str">
        <f>HYPERLINK("http://www.ncbi.nlm.nih.gov/sutils/blink.cgi?pid=XP_320160.4","1E-155")</f>
        <v>1E-155</v>
      </c>
      <c r="BC124" s="2" t="str">
        <f>HYPERLINK("http://www.ncbi.nlm.nih.gov/protein/XP_320160.4","XP_320160.4")</f>
        <v>XP_320160.4</v>
      </c>
      <c r="BD124" s="2">
        <v>100</v>
      </c>
      <c r="BE124" s="2">
        <v>100</v>
      </c>
      <c r="BF124" s="2">
        <v>100</v>
      </c>
      <c r="BG124" s="2" t="s">
        <v>105</v>
      </c>
      <c r="BH124" s="9" t="str">
        <f>HYPERLINK(".\links\REFSEQ-PROTOZOA\AGAP012398-PA-REFSEQ-PROTOZOA.txt","hypothetical protein SAMD00019534_017770")</f>
        <v>hypothetical protein SAMD00019534_017770</v>
      </c>
      <c r="BI124" s="2" t="str">
        <f>HYPERLINK("http://www.ncbi.nlm.nih.gov/sutils/blink.cgi?pid=XP_012757822.1","1E-047")</f>
        <v>1E-047</v>
      </c>
      <c r="BJ124" s="2" t="str">
        <f>HYPERLINK("http://www.ncbi.nlm.nih.gov/protein/XP_012757822.1","XP_012757822.1")</f>
        <v>XP_012757822.1</v>
      </c>
      <c r="BK124" s="2">
        <v>45</v>
      </c>
      <c r="BL124" s="2">
        <v>65</v>
      </c>
      <c r="BM124" s="2">
        <v>86</v>
      </c>
      <c r="BN124" s="2" t="s">
        <v>186</v>
      </c>
      <c r="BO124" s="9" t="str">
        <f>HYPERLINK(".\links\SWISSP\AGAP012398-PA-SWISSP.txt","COP9 signalosome complex subunit 7")</f>
        <v>COP9 signalosome complex subunit 7</v>
      </c>
      <c r="BP124" s="2" t="str">
        <f>HYPERLINK("http://www.uniprot.org/uniprot/Q9V4S8","9E-072")</f>
        <v>9E-072</v>
      </c>
      <c r="BQ124" s="2" t="str">
        <f>HYPERLINK("http://www.uniprot.org/uniprot/Q9V4S8#expression","Q9V4S8")</f>
        <v>Q9V4S8</v>
      </c>
      <c r="BR124" s="2">
        <v>53</v>
      </c>
      <c r="BS124" s="2">
        <v>72</v>
      </c>
      <c r="BT124" s="2">
        <v>93</v>
      </c>
      <c r="BU124" s="2" t="s">
        <v>107</v>
      </c>
      <c r="BV124" s="9" t="str">
        <f>HYPERLINK(".\links\FLYBASE\AGAP012398-PA-FLYBASE.txt","FBpp0087821")</f>
        <v>FBpp0087821</v>
      </c>
      <c r="BW124" s="2" t="str">
        <f>HYPERLINK("http://flybase.org/reports/FBgn0028836#alliance_summary_container","1E-93")</f>
        <v>1E-93</v>
      </c>
      <c r="BX124" s="2">
        <v>278</v>
      </c>
      <c r="BY124" s="2">
        <v>54</v>
      </c>
      <c r="BZ124" s="2">
        <v>72</v>
      </c>
      <c r="CA124" s="2">
        <v>93</v>
      </c>
      <c r="CB124" s="9" t="str">
        <f>HYPERLINK(".\links\CDD\AGAP012398-PA-CDD.txt","PAM, PCI/PINT associated module")</f>
        <v>PAM, PCI/PINT associated module</v>
      </c>
      <c r="CC124" s="15">
        <v>2.0000000000000001E-9</v>
      </c>
      <c r="CD124" s="2">
        <v>103.4</v>
      </c>
      <c r="CE124" s="2" t="s">
        <v>1459</v>
      </c>
      <c r="CF124" s="2" t="s">
        <v>1460</v>
      </c>
      <c r="CG124" s="9" t="str">
        <f>HYPERLINK(".\links\KOG\AGAP012398-PA-KOG.txt","subunit CSN7")</f>
        <v>subunit CSN7</v>
      </c>
      <c r="CH124" s="15">
        <v>9.0000000000000003E-67</v>
      </c>
      <c r="CI124" s="2">
        <v>98.8</v>
      </c>
      <c r="CJ124" s="2" t="s">
        <v>1461</v>
      </c>
      <c r="CK124" s="2" t="s">
        <v>1462</v>
      </c>
      <c r="CL124" s="9" t="str">
        <f>HYPERLINK(".\links\PFAM\AGAP012398-PA-PFAM.txt","PCI, PCI domain")</f>
        <v>PCI, PCI domain</v>
      </c>
      <c r="CM124" s="15">
        <v>9.9999999999999995E-7</v>
      </c>
      <c r="CN124" s="2">
        <v>89.5</v>
      </c>
      <c r="CO124" s="2" t="s">
        <v>1463</v>
      </c>
      <c r="CP124" s="9" t="str">
        <f>HYPERLINK(".\links\SMART\AGAP012398-PA-SMART.txt","PAM, PCI/PINT associated module")</f>
        <v>PAM, PCI/PINT associated module</v>
      </c>
      <c r="CQ124" s="15">
        <v>9.9999999999999994E-12</v>
      </c>
      <c r="CR124" s="2">
        <v>103.4</v>
      </c>
      <c r="CS124" s="2" t="s">
        <v>1459</v>
      </c>
      <c r="CT124" s="2" t="s">
        <v>1457</v>
      </c>
      <c r="CU124" s="2" t="s">
        <v>1457</v>
      </c>
      <c r="CV124" s="2" t="s">
        <v>1457</v>
      </c>
      <c r="CW124" s="2" t="str">
        <f>HYPERLINK(".\links\pep\AGAP012398-PA-pep.txt","AGAP012398-PA")</f>
        <v>AGAP012398-PA</v>
      </c>
      <c r="CX124" s="2" t="s">
        <v>95</v>
      </c>
      <c r="CY124" s="2">
        <v>278</v>
      </c>
      <c r="CZ124" s="2" t="s">
        <v>113</v>
      </c>
      <c r="DA124" s="2" t="s">
        <v>1464</v>
      </c>
      <c r="DB124" s="2">
        <v>0</v>
      </c>
      <c r="DC124" s="2">
        <v>0</v>
      </c>
      <c r="DD124" s="2" t="str">
        <f>HYPERLINK("https://www.kegg.jp/kegg-bin/search_pathway_text?map=aga&amp;keyword=AGAP012398&amp;mode=1&amp;viewImage=true","AGAP012398")</f>
        <v>AGAP012398</v>
      </c>
      <c r="DE124" s="2" t="s">
        <v>1453</v>
      </c>
      <c r="DF124" s="2" t="s">
        <v>1454</v>
      </c>
      <c r="DG124" s="2" t="s">
        <v>94</v>
      </c>
      <c r="DH124" s="2" t="str">
        <f>HYPERLINK("https://vectorbase.org/vectorbase/app/record/gene/AGAP012398","AGAP012398-RA")</f>
        <v>AGAP012398-RA</v>
      </c>
      <c r="DI124" s="2" t="s">
        <v>135</v>
      </c>
      <c r="DJ124" s="2">
        <v>1010</v>
      </c>
      <c r="DK124" s="2" t="str">
        <f>HYPERLINK(".\links\netoglyc\AGAP012398-PA-netoglyc.txt","3")</f>
        <v>3</v>
      </c>
      <c r="DL124" s="2">
        <v>10.8</v>
      </c>
      <c r="DM124" s="2">
        <v>5</v>
      </c>
      <c r="DN124" s="2">
        <v>3.6</v>
      </c>
      <c r="DO124" s="2" t="s">
        <v>104</v>
      </c>
      <c r="DP124" s="2" t="s">
        <v>102</v>
      </c>
      <c r="DQ124" s="2" t="str">
        <f>HYPERLINK(".\links\Sigp\AGAP012398-PA-SigP.txt","CYT")</f>
        <v>CYT</v>
      </c>
      <c r="DR124" s="2" t="s">
        <v>102</v>
      </c>
      <c r="DS124" s="2">
        <v>31.109000000000002</v>
      </c>
      <c r="DT124" s="2">
        <v>7.61</v>
      </c>
      <c r="DU124" s="2" t="s">
        <v>102</v>
      </c>
      <c r="DV124" s="2" t="s">
        <v>102</v>
      </c>
      <c r="DW124" s="2" t="s">
        <v>211</v>
      </c>
      <c r="DX124" s="2">
        <v>278</v>
      </c>
      <c r="DY124" s="12">
        <v>0</v>
      </c>
      <c r="DZ124" s="2" t="s">
        <v>102</v>
      </c>
      <c r="EA124" s="2" t="s">
        <v>102</v>
      </c>
      <c r="EB124" s="2" t="s">
        <v>102</v>
      </c>
      <c r="EC124" s="2" t="str">
        <f>HYPERLINK(".\links\gpi\AGAP012398-PA-gpi.txt","Y-NoSP")</f>
        <v>Y-NoSP</v>
      </c>
      <c r="ED124" s="2">
        <v>0.3</v>
      </c>
      <c r="EF124" s="2">
        <v>5</v>
      </c>
      <c r="EG124" s="2" t="str">
        <f>HYPERLINK(".\links\pep\AGAP012398-PA-sulf.txt","1")</f>
        <v>1</v>
      </c>
      <c r="EH124" s="2" t="s">
        <v>102</v>
      </c>
      <c r="EI124" s="2">
        <v>10.791366906474799</v>
      </c>
      <c r="EJ124" s="2">
        <v>3.5971223021582701</v>
      </c>
      <c r="EK124" s="2">
        <v>5.0359712230215798</v>
      </c>
      <c r="EL124" s="2">
        <v>8.6330935251798593</v>
      </c>
      <c r="EM124" s="2">
        <v>2</v>
      </c>
      <c r="EN124" s="2">
        <v>4</v>
      </c>
      <c r="EO124" s="2">
        <v>5</v>
      </c>
      <c r="EP124" s="2" t="s">
        <v>102</v>
      </c>
      <c r="EQ124" s="2" t="s">
        <v>102</v>
      </c>
      <c r="ER124" s="2" t="s">
        <v>102</v>
      </c>
      <c r="ES124" s="2" t="s">
        <v>102</v>
      </c>
      <c r="ET124" s="2" t="str">
        <f>HYPERLINK(".\links\REFSEQ-INVERTEBRATE\AGAP012398-PA-REFSEQ-INVERTEBRATE.txt","AGAP012398-PA")</f>
        <v>AGAP012398-PA</v>
      </c>
      <c r="EU124" s="2" t="str">
        <f>HYPERLINK("http://www.ncbi.nlm.nih.gov/sutils/blink.cgi?pid=XP_320160.4","0.0")</f>
        <v>0.0</v>
      </c>
      <c r="EV124" s="2" t="str">
        <f>HYPERLINK("http://www.ncbi.nlm.nih.gov/protein/XP_320160.4","XP_320160.4")</f>
        <v>XP_320160.4</v>
      </c>
      <c r="EW124" s="2">
        <v>100</v>
      </c>
      <c r="EX124" s="2">
        <v>100</v>
      </c>
      <c r="EY124" s="2">
        <v>100</v>
      </c>
      <c r="EZ124" s="2" t="s">
        <v>105</v>
      </c>
    </row>
    <row r="125" spans="1:156" x14ac:dyDescent="0.25">
      <c r="A125" s="2" t="s">
        <v>1465</v>
      </c>
      <c r="B125" s="2">
        <v>0.35776544993672998</v>
      </c>
      <c r="C125" s="2">
        <f t="shared" si="1"/>
        <v>1.2814395737062063</v>
      </c>
      <c r="D125" s="2">
        <v>5.5523855599436702</v>
      </c>
      <c r="E125" s="2">
        <v>16.522713998622201</v>
      </c>
      <c r="F125" s="2">
        <v>4.8070753143629702E-5</v>
      </c>
      <c r="G125" s="2">
        <v>8.2031694884326396E-3</v>
      </c>
      <c r="H125" s="2" t="s">
        <v>93</v>
      </c>
      <c r="I125" s="2" t="s">
        <v>94</v>
      </c>
      <c r="J125" s="2" t="str">
        <f>HYPERLINK("https://vectorbase.org/vectorbase/app/record/gene/AGAP002002","AGAP002002-RA")</f>
        <v>AGAP002002-RA</v>
      </c>
      <c r="K125" s="2" t="str">
        <f>HYPERLINK(".\links\pep\AGAP002002-PA-pep.txt","AGAP002002-PA")</f>
        <v>AGAP002002-PA</v>
      </c>
      <c r="L125" s="12" t="s">
        <v>95</v>
      </c>
      <c r="M125" s="2">
        <v>535</v>
      </c>
      <c r="N125" s="2">
        <v>0</v>
      </c>
      <c r="O125" s="2">
        <v>0</v>
      </c>
      <c r="P125" s="2" t="s">
        <v>102</v>
      </c>
      <c r="Q125" s="9" t="s">
        <v>1466</v>
      </c>
      <c r="R125" s="2" t="s">
        <v>358</v>
      </c>
      <c r="S125" s="2" t="str">
        <f>HYPERLINK(".\links\REFSEQ-INVERTEBRATE\AGAP002002-PA-REFSEQ-INVERTEBRATE.txt","REFSEQ-INVERTEBRATE")</f>
        <v>REFSEQ-INVERTEBRATE</v>
      </c>
      <c r="T125" s="2">
        <v>2.9999999999999999E-22</v>
      </c>
      <c r="U125" s="2">
        <v>79.599999999999994</v>
      </c>
      <c r="V125" s="2" t="s">
        <v>1467</v>
      </c>
      <c r="W125" s="10" t="s">
        <v>1468</v>
      </c>
      <c r="X125" s="2" t="s">
        <v>444</v>
      </c>
      <c r="Y125" s="2" t="str">
        <f>HYPERLINK(".\links\CDD\AGAP002002-PA-CDD.txt","CDD")</f>
        <v>CDD</v>
      </c>
      <c r="Z125" s="2">
        <v>7.9999999999999996E-7</v>
      </c>
      <c r="AA125" s="2">
        <v>98.5</v>
      </c>
      <c r="AB125" s="13" t="str">
        <f>HYPERLINK(".\links\pep\AGAP002002-PA-sulf.txt","1")</f>
        <v>1</v>
      </c>
      <c r="AC125" s="13" t="str">
        <f>HYPERLINK(".\links\Sigp\AGAP002002-PA-SigP.txt","CYT")</f>
        <v>CYT</v>
      </c>
      <c r="AD125" s="2" t="s">
        <v>102</v>
      </c>
      <c r="AE125" s="2">
        <v>58.133000000000003</v>
      </c>
      <c r="AF125" s="2">
        <v>9.31</v>
      </c>
      <c r="AG125" s="2" t="s">
        <v>102</v>
      </c>
      <c r="AH125" s="2" t="s">
        <v>102</v>
      </c>
      <c r="AI125" s="2" t="s">
        <v>567</v>
      </c>
      <c r="AJ125" s="13">
        <v>0</v>
      </c>
      <c r="AK125" s="2" t="s">
        <v>102</v>
      </c>
      <c r="AL125" s="2" t="s">
        <v>102</v>
      </c>
      <c r="AM125" s="2" t="s">
        <v>102</v>
      </c>
      <c r="AN125" s="13" t="str">
        <f>HYPERLINK(".\links\gpi\AGAP002002-PA-gpi.txt","N")</f>
        <v>N</v>
      </c>
      <c r="AO125" s="14" t="str">
        <f>HYPERLINK(".\links\netoglyc\AGAP002002-PA-netoglyc.txt","24")</f>
        <v>24</v>
      </c>
      <c r="AP125" s="13">
        <v>17.899999999999999</v>
      </c>
      <c r="AQ125" s="2">
        <v>3.2</v>
      </c>
      <c r="AR125" s="2">
        <v>8</v>
      </c>
      <c r="AS125" s="2" t="s">
        <v>104</v>
      </c>
      <c r="AT125" s="9" t="str">
        <f>HYPERLINK(".\links\NR-LIGHT\AGAP002002-PA-NR-LIGHT.txt","AGAP002002-PA")</f>
        <v>AGAP002002-PA</v>
      </c>
      <c r="AU125" s="2" t="str">
        <f>HYPERLINK("http://www.ncbi.nlm.nih.gov/sutils/blink.cgi?pid=XP_550812.3","0.0")</f>
        <v>0.0</v>
      </c>
      <c r="AV125" s="2" t="str">
        <f>HYPERLINK("http://www.ncbi.nlm.nih.gov/protein/XP_550812.3","XP_550812.3")</f>
        <v>XP_550812.3</v>
      </c>
      <c r="AW125" s="2">
        <v>100</v>
      </c>
      <c r="AX125" s="2">
        <v>100</v>
      </c>
      <c r="AY125" s="2">
        <v>100</v>
      </c>
      <c r="AZ125" s="2" t="s">
        <v>105</v>
      </c>
      <c r="BA125" s="9" t="str">
        <f>HYPERLINK(".\links\REFSEQ-INVERTEBRATE\AGAP002002-PA-REFSEQ-INVERTEBRATE.txt","AGAP002002-PA")</f>
        <v>AGAP002002-PA</v>
      </c>
      <c r="BB125" s="2" t="str">
        <f>HYPERLINK("http://www.ncbi.nlm.nih.gov/sutils/blink.cgi?pid=XP_550812.3","0.0")</f>
        <v>0.0</v>
      </c>
      <c r="BC125" s="2" t="str">
        <f>HYPERLINK("http://www.ncbi.nlm.nih.gov/protein/XP_550812.3","XP_550812.3")</f>
        <v>XP_550812.3</v>
      </c>
      <c r="BD125" s="2">
        <v>100</v>
      </c>
      <c r="BE125" s="2">
        <v>100</v>
      </c>
      <c r="BF125" s="2">
        <v>100</v>
      </c>
      <c r="BG125" s="2" t="s">
        <v>105</v>
      </c>
      <c r="BH125" s="9" t="str">
        <f>HYPERLINK(".\links\REFSEQ-PROTOZOA\AGAP002002-PA-REFSEQ-PROTOZOA.txt","RSL1D1 protein")</f>
        <v>RSL1D1 protein</v>
      </c>
      <c r="BI125" s="2" t="str">
        <f>HYPERLINK("http://www.ncbi.nlm.nih.gov/sutils/blink.cgi?pid=XP_004337291.1","1E-010")</f>
        <v>1E-010</v>
      </c>
      <c r="BJ125" s="2" t="str">
        <f>HYPERLINK("http://www.ncbi.nlm.nih.gov/protein/XP_004337291.1","XP_004337291.1")</f>
        <v>XP_004337291.1</v>
      </c>
      <c r="BK125" s="2">
        <v>27</v>
      </c>
      <c r="BL125" s="2">
        <v>36</v>
      </c>
      <c r="BM125" s="2">
        <v>37</v>
      </c>
      <c r="BN125" s="2" t="s">
        <v>600</v>
      </c>
      <c r="BO125" s="9" t="str">
        <f>HYPERLINK(".\links\SWISSP\AGAP002002-PA-SWISSP.txt","Transcriptional protein SWT1")</f>
        <v>Transcriptional protein SWT1</v>
      </c>
      <c r="BP125" s="2" t="str">
        <f>HYPERLINK("http://www.uniprot.org/uniprot/Q9DBQ9","3E-010")</f>
        <v>3E-010</v>
      </c>
      <c r="BQ125" s="2" t="str">
        <f>HYPERLINK("http://www.uniprot.org/uniprot/Q9DBQ9#expression","Q9DBQ9")</f>
        <v>Q9DBQ9</v>
      </c>
      <c r="BR125" s="2">
        <v>30</v>
      </c>
      <c r="BS125" s="2">
        <v>55</v>
      </c>
      <c r="BT125" s="2">
        <v>16</v>
      </c>
      <c r="BU125" s="2" t="s">
        <v>662</v>
      </c>
      <c r="BV125" s="9" t="str">
        <f>HYPERLINK(".\links\FLYBASE\AGAP002002-PA-FLYBASE.txt","FBpp0089022")</f>
        <v>FBpp0089022</v>
      </c>
      <c r="BW125" s="2" t="str">
        <f>HYPERLINK("http://flybase.org/reports/FBgn0030892#alliance_summary_container","4E-10")</f>
        <v>4E-10</v>
      </c>
      <c r="BX125" s="2">
        <v>404</v>
      </c>
      <c r="BY125" s="2">
        <v>28</v>
      </c>
      <c r="BZ125" s="2">
        <v>52</v>
      </c>
      <c r="CA125" s="2">
        <v>36</v>
      </c>
      <c r="CB125" s="9" t="str">
        <f>HYPERLINK(".\links\CDD\AGAP002002-PA-CDD.txt","PIN_Smg5-Smg6-like, PIN domain")</f>
        <v>PIN_Smg5-Smg6-like, PIN domain</v>
      </c>
      <c r="CC125" s="15">
        <v>7.9999999999999998E-28</v>
      </c>
      <c r="CD125" s="2">
        <v>99.3</v>
      </c>
      <c r="CE125" s="2" t="s">
        <v>1469</v>
      </c>
      <c r="CF125" s="2" t="s">
        <v>1470</v>
      </c>
      <c r="CG125" s="9" t="str">
        <f>HYPERLINK(".\links\KOG\AGAP002002-PA-KOG.txt","Chitinase")</f>
        <v>Chitinase</v>
      </c>
      <c r="CH125" s="15">
        <v>0.25</v>
      </c>
      <c r="CI125" s="2">
        <v>35.9</v>
      </c>
      <c r="CJ125" s="2" t="s">
        <v>1471</v>
      </c>
      <c r="CK125" s="2" t="s">
        <v>1472</v>
      </c>
      <c r="CL125" s="9" t="str">
        <f>HYPERLINK(".\links\PFAM\AGAP002002-PA-PFAM.txt","PIN_4, PIN domain")</f>
        <v>PIN_4, PIN domain</v>
      </c>
      <c r="CM125" s="15">
        <v>1.9999999999999998E-24</v>
      </c>
      <c r="CN125" s="2">
        <v>104.6</v>
      </c>
      <c r="CO125" s="2" t="s">
        <v>1473</v>
      </c>
      <c r="CP125" s="9" t="str">
        <f>HYPERLINK(".\links\SMART\AGAP002002-PA-SMART.txt","PINc, Large family of predicted nucleotide-binding domains")</f>
        <v>PINc, Large family of predicted nucleotide-binding domains</v>
      </c>
      <c r="CQ125" s="15">
        <v>2.9999999999999999E-7</v>
      </c>
      <c r="CR125" s="2">
        <v>108.1</v>
      </c>
      <c r="CS125" s="2" t="s">
        <v>1474</v>
      </c>
      <c r="CT125" s="2" t="s">
        <v>1467</v>
      </c>
      <c r="CU125" s="2" t="s">
        <v>1467</v>
      </c>
      <c r="CV125" s="2" t="s">
        <v>1467</v>
      </c>
      <c r="CW125" s="2" t="str">
        <f>HYPERLINK(".\links\pep\AGAP002002-PA-pep.txt","AGAP002002-PA")</f>
        <v>AGAP002002-PA</v>
      </c>
      <c r="CX125" s="2" t="s">
        <v>95</v>
      </c>
      <c r="CY125" s="2">
        <v>535</v>
      </c>
      <c r="CZ125" s="2" t="s">
        <v>113</v>
      </c>
      <c r="DA125" s="2" t="s">
        <v>1475</v>
      </c>
      <c r="DB125" s="2">
        <v>0</v>
      </c>
      <c r="DC125" s="2">
        <v>0</v>
      </c>
      <c r="DD125" s="2" t="str">
        <f>HYPERLINK("https://www.kegg.jp/kegg-bin/search_pathway_text?map=aga&amp;keyword=AGAP002002&amp;mode=1&amp;viewImage=true","AGAP002002")</f>
        <v>AGAP002002</v>
      </c>
      <c r="DE125" s="2" t="s">
        <v>1465</v>
      </c>
      <c r="DF125" s="2" t="s">
        <v>93</v>
      </c>
      <c r="DG125" s="2" t="s">
        <v>94</v>
      </c>
      <c r="DH125" s="2" t="str">
        <f>HYPERLINK("https://vectorbase.org/vectorbase/app/record/gene/AGAP002002","AGAP002002-RA")</f>
        <v>AGAP002002-RA</v>
      </c>
      <c r="DI125" s="2" t="s">
        <v>90</v>
      </c>
      <c r="DJ125" s="2">
        <v>2268</v>
      </c>
      <c r="DK125" s="2" t="str">
        <f>HYPERLINK(".\links\netoglyc\AGAP002002-PA-netoglyc.txt","24")</f>
        <v>24</v>
      </c>
      <c r="DL125" s="2">
        <v>17.899999999999999</v>
      </c>
      <c r="DM125" s="2">
        <v>3.2</v>
      </c>
      <c r="DN125" s="2">
        <v>8</v>
      </c>
      <c r="DO125" s="2" t="s">
        <v>104</v>
      </c>
      <c r="DP125" s="2" t="s">
        <v>102</v>
      </c>
      <c r="DQ125" s="2" t="str">
        <f>HYPERLINK(".\links\Sigp\AGAP002002-PA-SigP.txt","CYT")</f>
        <v>CYT</v>
      </c>
      <c r="DR125" s="2" t="s">
        <v>102</v>
      </c>
      <c r="DS125" s="2">
        <v>58.133000000000003</v>
      </c>
      <c r="DT125" s="2">
        <v>9.31</v>
      </c>
      <c r="DU125" s="2" t="s">
        <v>102</v>
      </c>
      <c r="DV125" s="2" t="s">
        <v>102</v>
      </c>
      <c r="DW125" s="2" t="s">
        <v>567</v>
      </c>
      <c r="DX125" s="2">
        <v>535</v>
      </c>
      <c r="DY125" s="12">
        <v>0</v>
      </c>
      <c r="DZ125" s="2" t="s">
        <v>102</v>
      </c>
      <c r="EA125" s="2" t="s">
        <v>102</v>
      </c>
      <c r="EB125" s="2" t="s">
        <v>102</v>
      </c>
      <c r="EC125" s="2" t="str">
        <f>HYPERLINK(".\links\gpi\AGAP002002-PA-gpi.txt","Y-NoSP")</f>
        <v>Y-NoSP</v>
      </c>
      <c r="ED125" s="2">
        <v>0.31</v>
      </c>
      <c r="EF125" s="2">
        <v>9</v>
      </c>
      <c r="EG125" s="2" t="str">
        <f>HYPERLINK(".\links\pep\AGAP002002-PA-sulf.txt","1")</f>
        <v>1</v>
      </c>
      <c r="EH125" s="2" t="s">
        <v>102</v>
      </c>
      <c r="EI125" s="2">
        <v>17.943925233644901</v>
      </c>
      <c r="EJ125" s="2">
        <v>8.0373831775700904</v>
      </c>
      <c r="EK125" s="2">
        <v>3.1775700934579398</v>
      </c>
      <c r="EL125" s="2">
        <v>11.214953271028</v>
      </c>
      <c r="EM125" s="2" t="s">
        <v>102</v>
      </c>
      <c r="EN125" s="2">
        <v>2</v>
      </c>
      <c r="EO125" s="2">
        <v>2</v>
      </c>
      <c r="EP125" s="2" t="s">
        <v>102</v>
      </c>
      <c r="EQ125" s="2" t="s">
        <v>102</v>
      </c>
      <c r="ER125" s="2" t="s">
        <v>102</v>
      </c>
      <c r="ES125" s="2" t="s">
        <v>102</v>
      </c>
      <c r="ET125" s="2" t="str">
        <f>HYPERLINK(".\links\REFSEQ-INVERTEBRATE\AGAP002002-PA-REFSEQ-INVERTEBRATE.txt","AGAP002002-PA")</f>
        <v>AGAP002002-PA</v>
      </c>
      <c r="EU125" s="2" t="str">
        <f>HYPERLINK("http://www.ncbi.nlm.nih.gov/sutils/blink.cgi?pid=XP_550812.3","0.0")</f>
        <v>0.0</v>
      </c>
      <c r="EV125" s="2" t="str">
        <f>HYPERLINK("http://www.ncbi.nlm.nih.gov/protein/XP_550812.3","XP_550812.3")</f>
        <v>XP_550812.3</v>
      </c>
      <c r="EW125" s="2">
        <v>100</v>
      </c>
      <c r="EX125" s="2">
        <v>100</v>
      </c>
      <c r="EY125" s="2">
        <v>100</v>
      </c>
      <c r="EZ125" s="2" t="s">
        <v>105</v>
      </c>
    </row>
    <row r="126" spans="1:156" x14ac:dyDescent="0.25">
      <c r="A126" s="2" t="s">
        <v>1476</v>
      </c>
      <c r="B126" s="2">
        <v>0.35770504249113599</v>
      </c>
      <c r="C126" s="2">
        <f t="shared" si="1"/>
        <v>1.2813859193519843</v>
      </c>
      <c r="D126" s="2">
        <v>8.7947462742691709</v>
      </c>
      <c r="E126" s="2">
        <v>9.8396904753364005</v>
      </c>
      <c r="F126" s="2">
        <v>1.7078623290019601E-3</v>
      </c>
      <c r="G126" s="2">
        <v>4.0610247033373299E-2</v>
      </c>
      <c r="H126" s="2" t="s">
        <v>1477</v>
      </c>
      <c r="I126" s="2" t="s">
        <v>94</v>
      </c>
      <c r="J126" s="2" t="str">
        <f>HYPERLINK("https://vectorbase.org/vectorbase/app/record/gene/AGAP012107","AGAP012107-RA")</f>
        <v>AGAP012107-RA</v>
      </c>
      <c r="K126" s="2" t="str">
        <f>HYPERLINK(".\links\pep\AGAP012107-PA-pep.txt","AGAP012107-PA")</f>
        <v>AGAP012107-PA</v>
      </c>
      <c r="L126" s="12" t="s">
        <v>95</v>
      </c>
      <c r="M126" s="2">
        <v>158</v>
      </c>
      <c r="N126" s="2">
        <v>0</v>
      </c>
      <c r="O126" s="2">
        <v>1</v>
      </c>
      <c r="P126" s="2" t="s">
        <v>1478</v>
      </c>
      <c r="Q126" s="9" t="s">
        <v>1479</v>
      </c>
      <c r="R126" s="2" t="s">
        <v>822</v>
      </c>
      <c r="S126" s="2" t="str">
        <f>HYPERLINK(".\links\KOG\AGAP012107-PA-KOG.txt","KOG")</f>
        <v>KOG</v>
      </c>
      <c r="T126" s="2">
        <v>2.9999999999999999E-78</v>
      </c>
      <c r="U126" s="2">
        <v>98.7</v>
      </c>
      <c r="V126" s="2" t="s">
        <v>1480</v>
      </c>
      <c r="W126" s="10" t="s">
        <v>1481</v>
      </c>
      <c r="X126" s="2" t="s">
        <v>822</v>
      </c>
      <c r="Y126" s="2" t="str">
        <f>HYPERLINK(".\links\UNIPROTKB\AGAP012107-PA-UNIPROTKB.txt","UNIPROTKB")</f>
        <v>UNIPROTKB</v>
      </c>
      <c r="Z126" s="2">
        <v>0</v>
      </c>
      <c r="AA126" s="2">
        <v>100</v>
      </c>
      <c r="AB126" s="13" t="s">
        <v>102</v>
      </c>
      <c r="AC126" s="13" t="str">
        <f>HYPERLINK(".\links\Sigp\AGAP012107-PA-SigP.txt","CYT")</f>
        <v>CYT</v>
      </c>
      <c r="AD126" s="2" t="s">
        <v>102</v>
      </c>
      <c r="AE126" s="2">
        <v>17.957000000000001</v>
      </c>
      <c r="AF126" s="2">
        <v>8.83</v>
      </c>
      <c r="AG126" s="2" t="s">
        <v>102</v>
      </c>
      <c r="AH126" s="2" t="s">
        <v>102</v>
      </c>
      <c r="AI126" s="2" t="s">
        <v>211</v>
      </c>
      <c r="AJ126" s="13">
        <v>0</v>
      </c>
      <c r="AK126" s="2" t="s">
        <v>102</v>
      </c>
      <c r="AL126" s="2" t="s">
        <v>102</v>
      </c>
      <c r="AM126" s="2" t="s">
        <v>102</v>
      </c>
      <c r="AN126" s="13" t="str">
        <f>HYPERLINK(".\links\gpi\AGAP012107-PA-gpi.txt","N")</f>
        <v>N</v>
      </c>
      <c r="AO126" s="14" t="str">
        <f>HYPERLINK(".\links\netoglyc\AGAP012107-PA-netoglyc.txt","1")</f>
        <v>1</v>
      </c>
      <c r="AP126" s="13">
        <v>9.5</v>
      </c>
      <c r="AQ126" s="2">
        <v>5.7</v>
      </c>
      <c r="AR126" s="2">
        <v>8.1999999999999993</v>
      </c>
      <c r="AS126" s="2" t="s">
        <v>104</v>
      </c>
      <c r="AT126" s="9" t="str">
        <f>HYPERLINK(".\links\NR-LIGHT\AGAP012107-PA-NR-LIGHT.txt","AGAP012107-PA")</f>
        <v>AGAP012107-PA</v>
      </c>
      <c r="AU126" s="2" t="str">
        <f>HYPERLINK("http://www.ncbi.nlm.nih.gov/sutils/blink.cgi?pid=XP_320422.3","2E-090")</f>
        <v>2E-090</v>
      </c>
      <c r="AV126" s="2" t="str">
        <f>HYPERLINK("http://www.ncbi.nlm.nih.gov/protein/XP_320422.3","XP_320422.3")</f>
        <v>XP_320422.3</v>
      </c>
      <c r="AW126" s="2">
        <v>100</v>
      </c>
      <c r="AX126" s="2">
        <v>100</v>
      </c>
      <c r="AY126" s="2">
        <v>100</v>
      </c>
      <c r="AZ126" s="2" t="s">
        <v>105</v>
      </c>
      <c r="BA126" s="9" t="str">
        <f>HYPERLINK(".\links\REFSEQ-INVERTEBRATE\AGAP012107-PA-REFSEQ-INVERTEBRATE.txt","AGAP012107-PA")</f>
        <v>AGAP012107-PA</v>
      </c>
      <c r="BB126" s="2" t="str">
        <f>HYPERLINK("http://www.ncbi.nlm.nih.gov/sutils/blink.cgi?pid=XP_320422.3","2E-090")</f>
        <v>2E-090</v>
      </c>
      <c r="BC126" s="2" t="str">
        <f>HYPERLINK("http://www.ncbi.nlm.nih.gov/protein/XP_320422.3","XP_320422.3")</f>
        <v>XP_320422.3</v>
      </c>
      <c r="BD126" s="2">
        <v>100</v>
      </c>
      <c r="BE126" s="2">
        <v>100</v>
      </c>
      <c r="BF126" s="2">
        <v>100</v>
      </c>
      <c r="BG126" s="2" t="s">
        <v>105</v>
      </c>
      <c r="BH126" s="9" t="str">
        <f>HYPERLINK(".\links\REFSEQ-PROTOZOA\AGAP012107-PA-REFSEQ-PROTOZOA.txt","SUMO-conjugating enzyme UBC9")</f>
        <v>SUMO-conjugating enzyme UBC9</v>
      </c>
      <c r="BI126" s="2" t="str">
        <f>HYPERLINK("http://www.ncbi.nlm.nih.gov/sutils/blink.cgi?pid=XP_014160093.1","9E-066")</f>
        <v>9E-066</v>
      </c>
      <c r="BJ126" s="2" t="str">
        <f>HYPERLINK("http://www.ncbi.nlm.nih.gov/protein/XP_014160093.1","XP_014160093.1")</f>
        <v>XP_014160093.1</v>
      </c>
      <c r="BK126" s="2">
        <v>70</v>
      </c>
      <c r="BL126" s="2">
        <v>86</v>
      </c>
      <c r="BM126" s="2">
        <v>98</v>
      </c>
      <c r="BN126" s="2" t="s">
        <v>393</v>
      </c>
      <c r="BO126" s="9" t="str">
        <f>HYPERLINK(".\links\SWISSP\AGAP012107-PA-SWISSP.txt","SUMO-conjugating enzyme UBC9-A")</f>
        <v>SUMO-conjugating enzyme UBC9-A</v>
      </c>
      <c r="BP126" s="2" t="str">
        <f>HYPERLINK("http://www.uniprot.org/uniprot/Q9W6H5","2E-078")</f>
        <v>2E-078</v>
      </c>
      <c r="BQ126" s="2" t="str">
        <f>HYPERLINK("http://www.uniprot.org/uniprot/Q9W6H5#expression","Q9W6H5")</f>
        <v>Q9W6H5</v>
      </c>
      <c r="BR126" s="2">
        <v>84</v>
      </c>
      <c r="BS126" s="2">
        <v>92</v>
      </c>
      <c r="BT126" s="2">
        <v>100</v>
      </c>
      <c r="BU126" s="2" t="s">
        <v>213</v>
      </c>
      <c r="BV126" s="9" t="str">
        <f>HYPERLINK(".\links\FLYBASE\AGAP012107-PA-FLYBASE.txt","FBpp0301732")</f>
        <v>FBpp0301732</v>
      </c>
      <c r="BW126" s="2" t="str">
        <f>HYPERLINK("http://flybase.org/reports/FBgn0010602#alliance_summary_container","1E-103")</f>
        <v>1E-103</v>
      </c>
      <c r="BX126" s="2">
        <v>159</v>
      </c>
      <c r="BY126" s="2">
        <v>86</v>
      </c>
      <c r="BZ126" s="2">
        <v>93</v>
      </c>
      <c r="CA126" s="2">
        <v>99</v>
      </c>
      <c r="CB126" s="9" t="str">
        <f>HYPERLINK(".\links\CDD\AGAP012107-PA-CDD.txt","UQ_con, Ubiquitin-conjugating enzyme")</f>
        <v>UQ_con, Ubiquitin-conjugating enzyme</v>
      </c>
      <c r="CC126" s="15">
        <v>3.9999999999999997E-49</v>
      </c>
      <c r="CD126" s="2">
        <v>104.3</v>
      </c>
      <c r="CE126" s="2" t="s">
        <v>1482</v>
      </c>
      <c r="CF126" s="2" t="s">
        <v>1483</v>
      </c>
      <c r="CG126" s="9" t="str">
        <f>HYPERLINK(".\links\KOG\AGAP012107-PA-KOG.txt","Ubiquitin-protein ligase")</f>
        <v>Ubiquitin-protein ligase</v>
      </c>
      <c r="CH126" s="15">
        <v>2.9999999999999999E-78</v>
      </c>
      <c r="CI126" s="2">
        <v>98.7</v>
      </c>
      <c r="CJ126" s="2" t="s">
        <v>1484</v>
      </c>
      <c r="CK126" s="2" t="s">
        <v>111</v>
      </c>
      <c r="CL126" s="9" t="str">
        <f>HYPERLINK(".\links\PFAM\AGAP012107-PA-PFAM.txt","UQ_con, Ubiquitin-conjugating enzyme")</f>
        <v>UQ_con, Ubiquitin-conjugating enzyme</v>
      </c>
      <c r="CM126" s="15">
        <v>9.9999999999999994E-50</v>
      </c>
      <c r="CN126" s="2">
        <v>104.3</v>
      </c>
      <c r="CO126" s="2" t="s">
        <v>1482</v>
      </c>
      <c r="CP126" s="9" t="str">
        <f>HYPERLINK(".\links\SMART\AGAP012107-PA-SMART.txt","UBCc, Ubiquitin-conjugating enzyme E2, catalytic domain homologues")</f>
        <v>UBCc, Ubiquitin-conjugating enzyme E2, catalytic domain homologues</v>
      </c>
      <c r="CQ126" s="15">
        <v>7.9999999999999998E-48</v>
      </c>
      <c r="CR126" s="2">
        <v>100.7</v>
      </c>
      <c r="CS126" s="2" t="s">
        <v>1485</v>
      </c>
      <c r="CT126" s="2" t="s">
        <v>1480</v>
      </c>
      <c r="CU126" s="2" t="s">
        <v>1480</v>
      </c>
      <c r="CV126" s="2" t="s">
        <v>1480</v>
      </c>
      <c r="CW126" s="2" t="str">
        <f>HYPERLINK(".\links\pep\AGAP012107-PA-pep.txt","AGAP012107-PA")</f>
        <v>AGAP012107-PA</v>
      </c>
      <c r="CX126" s="2" t="s">
        <v>95</v>
      </c>
      <c r="CY126" s="2">
        <v>158</v>
      </c>
      <c r="CZ126" s="2" t="s">
        <v>113</v>
      </c>
      <c r="DA126" s="2" t="s">
        <v>1486</v>
      </c>
      <c r="DB126" s="2">
        <v>0</v>
      </c>
      <c r="DC126" s="2">
        <v>1</v>
      </c>
      <c r="DD126" s="2" t="str">
        <f>HYPERLINK("https://www.kegg.jp/kegg-bin/search_pathway_text?map=aga&amp;keyword=AGAP012107&amp;mode=1&amp;viewImage=true","AGAP012107")</f>
        <v>AGAP012107</v>
      </c>
      <c r="DE126" s="2" t="s">
        <v>1476</v>
      </c>
      <c r="DF126" s="2" t="s">
        <v>1477</v>
      </c>
      <c r="DG126" s="2" t="s">
        <v>94</v>
      </c>
      <c r="DH126" s="2" t="str">
        <f>HYPERLINK("https://vectorbase.org/vectorbase/app/record/gene/AGAP012107","AGAP012107-RA")</f>
        <v>AGAP012107-RA</v>
      </c>
      <c r="DI126" s="2" t="s">
        <v>118</v>
      </c>
      <c r="DJ126" s="2">
        <v>1047</v>
      </c>
      <c r="DK126" s="2" t="str">
        <f>HYPERLINK(".\links\netoglyc\AGAP012107-PA-netoglyc.txt","1")</f>
        <v>1</v>
      </c>
      <c r="DL126" s="2">
        <v>9.5</v>
      </c>
      <c r="DM126" s="2">
        <v>5.7</v>
      </c>
      <c r="DN126" s="2">
        <v>8.1999999999999993</v>
      </c>
      <c r="DO126" s="2" t="s">
        <v>104</v>
      </c>
      <c r="DP126" s="2" t="s">
        <v>102</v>
      </c>
      <c r="DQ126" s="2" t="str">
        <f>HYPERLINK(".\links\Sigp\AGAP012107-PA-SigP.txt","CYT")</f>
        <v>CYT</v>
      </c>
      <c r="DR126" s="2" t="s">
        <v>102</v>
      </c>
      <c r="DS126" s="2">
        <v>17.957000000000001</v>
      </c>
      <c r="DT126" s="2">
        <v>8.83</v>
      </c>
      <c r="DU126" s="2" t="s">
        <v>102</v>
      </c>
      <c r="DV126" s="2" t="s">
        <v>102</v>
      </c>
      <c r="DW126" s="2" t="s">
        <v>211</v>
      </c>
      <c r="DX126" s="2">
        <v>158</v>
      </c>
      <c r="DY126" s="12">
        <v>0</v>
      </c>
      <c r="DZ126" s="2" t="s">
        <v>102</v>
      </c>
      <c r="EA126" s="2" t="s">
        <v>102</v>
      </c>
      <c r="EB126" s="2" t="s">
        <v>102</v>
      </c>
      <c r="EC126" s="2" t="str">
        <f>HYPERLINK(".\links\gpi\AGAP012107-PA-gpi.txt","N")</f>
        <v>N</v>
      </c>
      <c r="ED126" s="2">
        <v>0.28999999999999998</v>
      </c>
      <c r="EF126" s="2">
        <v>4</v>
      </c>
      <c r="EG126" s="2" t="s">
        <v>102</v>
      </c>
      <c r="EH126" s="2" t="s">
        <v>102</v>
      </c>
      <c r="EI126" s="2">
        <v>9.4936708860759502</v>
      </c>
      <c r="EJ126" s="2">
        <v>8.2278481012658204</v>
      </c>
      <c r="EK126" s="2">
        <v>5.6962025316455698</v>
      </c>
      <c r="EL126" s="2">
        <v>13.924050632911401</v>
      </c>
      <c r="EM126" s="2" t="s">
        <v>102</v>
      </c>
      <c r="EN126" s="2">
        <v>1</v>
      </c>
      <c r="EO126" s="2">
        <v>1</v>
      </c>
      <c r="EP126" s="2" t="s">
        <v>102</v>
      </c>
      <c r="EQ126" s="2" t="s">
        <v>102</v>
      </c>
      <c r="ER126" s="2" t="s">
        <v>102</v>
      </c>
      <c r="ES126" s="2" t="s">
        <v>102</v>
      </c>
      <c r="ET126" s="2" t="str">
        <f>HYPERLINK(".\links\REFSEQ-INVERTEBRATE\AGAP012107-PA-REFSEQ-INVERTEBRATE.txt","AGAP012107-PA")</f>
        <v>AGAP012107-PA</v>
      </c>
      <c r="EU126" s="2" t="str">
        <f>HYPERLINK("http://www.ncbi.nlm.nih.gov/sutils/blink.cgi?pid=XP_320422.3","1E-116")</f>
        <v>1E-116</v>
      </c>
      <c r="EV126" s="2" t="str">
        <f>HYPERLINK("http://www.ncbi.nlm.nih.gov/protein/XP_320422.3","XP_320422.3")</f>
        <v>XP_320422.3</v>
      </c>
      <c r="EW126" s="2">
        <v>100</v>
      </c>
      <c r="EX126" s="2">
        <v>100</v>
      </c>
      <c r="EY126" s="2">
        <v>100</v>
      </c>
      <c r="EZ126" s="2" t="s">
        <v>105</v>
      </c>
    </row>
    <row r="127" spans="1:156" x14ac:dyDescent="0.25">
      <c r="A127" s="2" t="s">
        <v>1487</v>
      </c>
      <c r="B127" s="2">
        <v>0.35768100607490899</v>
      </c>
      <c r="C127" s="2">
        <f t="shared" si="1"/>
        <v>1.2813645706484411</v>
      </c>
      <c r="D127" s="2">
        <v>10.133927265335901</v>
      </c>
      <c r="E127" s="2">
        <v>9.6180913514866297</v>
      </c>
      <c r="F127" s="2">
        <v>1.9266986725704201E-3</v>
      </c>
      <c r="G127" s="2">
        <v>4.2732150541357102E-2</v>
      </c>
      <c r="H127" s="2" t="s">
        <v>1488</v>
      </c>
      <c r="I127" s="2" t="s">
        <v>94</v>
      </c>
      <c r="J127" s="2" t="str">
        <f>HYPERLINK("https://vectorbase.org/vectorbase/app/record/gene/AGAP012413","AGAP012413-RA")</f>
        <v>AGAP012413-RA</v>
      </c>
      <c r="K127" s="2" t="str">
        <f>HYPERLINK(".\links\pep\AGAP012413-PA-pep.txt","AGAP012413-PA")</f>
        <v>AGAP012413-PA</v>
      </c>
      <c r="L127" s="12" t="s">
        <v>95</v>
      </c>
      <c r="M127" s="2">
        <v>502</v>
      </c>
      <c r="N127" s="2">
        <v>0</v>
      </c>
      <c r="O127" s="2">
        <v>1</v>
      </c>
      <c r="P127" s="2" t="s">
        <v>1489</v>
      </c>
      <c r="Q127" s="9" t="s">
        <v>1490</v>
      </c>
      <c r="R127" s="2" t="s">
        <v>388</v>
      </c>
      <c r="S127" s="2" t="str">
        <f>HYPERLINK(".\links\KOG\AGAP012413-PA-KOG.txt","KOG")</f>
        <v>KOG</v>
      </c>
      <c r="T127" s="2">
        <v>3E-49</v>
      </c>
      <c r="U127" s="2">
        <v>64.900000000000006</v>
      </c>
      <c r="V127" s="2" t="s">
        <v>1491</v>
      </c>
      <c r="W127" s="10" t="s">
        <v>1492</v>
      </c>
      <c r="X127" s="2" t="s">
        <v>355</v>
      </c>
      <c r="Y127" s="2" t="str">
        <f>HYPERLINK(".\links\UNIPROTKB\AGAP012413-PA-UNIPROTKB.txt","UNIPROTKB")</f>
        <v>UNIPROTKB</v>
      </c>
      <c r="Z127" s="2">
        <v>0</v>
      </c>
      <c r="AA127" s="2">
        <v>100.4</v>
      </c>
      <c r="AB127" s="13" t="str">
        <f>HYPERLINK(".\links\pep\AGAP012413-PA-sulf.txt","2")</f>
        <v>2</v>
      </c>
      <c r="AC127" s="13" t="str">
        <f>HYPERLINK(".\links\Sigp\AGAP012413-PA-SigP.txt","CYT")</f>
        <v>CYT</v>
      </c>
      <c r="AD127" s="2" t="s">
        <v>102</v>
      </c>
      <c r="AE127" s="2">
        <v>56.53</v>
      </c>
      <c r="AF127" s="2">
        <v>5.65</v>
      </c>
      <c r="AG127" s="2" t="s">
        <v>102</v>
      </c>
      <c r="AH127" s="2" t="s">
        <v>102</v>
      </c>
      <c r="AI127" s="2" t="s">
        <v>1274</v>
      </c>
      <c r="AJ127" s="13">
        <v>0</v>
      </c>
      <c r="AK127" s="2" t="s">
        <v>102</v>
      </c>
      <c r="AL127" s="2" t="s">
        <v>102</v>
      </c>
      <c r="AM127" s="2" t="s">
        <v>102</v>
      </c>
      <c r="AN127" s="13" t="str">
        <f>HYPERLINK(".\links\gpi\AGAP012413-PA-gpi.txt","N")</f>
        <v>N</v>
      </c>
      <c r="AO127" s="14" t="str">
        <f>HYPERLINK(".\links\netoglyc\AGAP012413-PA-netoglyc.txt","0")</f>
        <v>0</v>
      </c>
      <c r="AP127" s="13">
        <v>12.5</v>
      </c>
      <c r="AQ127" s="2">
        <v>4</v>
      </c>
      <c r="AR127" s="2">
        <v>4.5999999999999996</v>
      </c>
      <c r="AS127" s="2" t="s">
        <v>104</v>
      </c>
      <c r="AT127" s="9" t="str">
        <f>HYPERLINK(".\links\NR-LIGHT\AGAP012413-PA-NR-LIGHT.txt","AGAP012413-PA, partial")</f>
        <v>AGAP012413-PA, partial</v>
      </c>
      <c r="AU127" s="2" t="str">
        <f>HYPERLINK("http://www.ncbi.nlm.nih.gov/sutils/blink.cgi?pid=XP_320142.3","0.0")</f>
        <v>0.0</v>
      </c>
      <c r="AV127" s="2" t="str">
        <f>HYPERLINK("http://www.ncbi.nlm.nih.gov/protein/XP_320142.3","XP_320142.3")</f>
        <v>XP_320142.3</v>
      </c>
      <c r="AW127" s="2">
        <v>99</v>
      </c>
      <c r="AX127" s="2">
        <v>99</v>
      </c>
      <c r="AY127" s="2">
        <v>100</v>
      </c>
      <c r="AZ127" s="2" t="s">
        <v>105</v>
      </c>
      <c r="BA127" s="9" t="str">
        <f>HYPERLINK(".\links\REFSEQ-INVERTEBRATE\AGAP012413-PA-REFSEQ-INVERTEBRATE.txt","AGAP012413-PA, partial")</f>
        <v>AGAP012413-PA, partial</v>
      </c>
      <c r="BB127" s="2" t="str">
        <f>HYPERLINK("http://www.ncbi.nlm.nih.gov/sutils/blink.cgi?pid=XP_320142.3","0.0")</f>
        <v>0.0</v>
      </c>
      <c r="BC127" s="2" t="str">
        <f>HYPERLINK("http://www.ncbi.nlm.nih.gov/protein/XP_320142.3","XP_320142.3")</f>
        <v>XP_320142.3</v>
      </c>
      <c r="BD127" s="2">
        <v>99</v>
      </c>
      <c r="BE127" s="2">
        <v>99</v>
      </c>
      <c r="BF127" s="2">
        <v>100</v>
      </c>
      <c r="BG127" s="2" t="s">
        <v>105</v>
      </c>
      <c r="BH127" s="9" t="str">
        <f>HYPERLINK(".\links\REFSEQ-PROTOZOA\AGAP012413-PA-REFSEQ-PROTOZOA.txt","cyclin A")</f>
        <v>cyclin A</v>
      </c>
      <c r="BI127" s="2" t="str">
        <f>HYPERLINK("http://www.ncbi.nlm.nih.gov/sutils/blink.cgi?pid=XP_004998950.1","2E-059")</f>
        <v>2E-059</v>
      </c>
      <c r="BJ127" s="2" t="str">
        <f>HYPERLINK("http://www.ncbi.nlm.nih.gov/protein/XP_004998950.1","XP_004998950.1")</f>
        <v>XP_004998950.1</v>
      </c>
      <c r="BK127" s="2">
        <v>47</v>
      </c>
      <c r="BL127" s="2">
        <v>65</v>
      </c>
      <c r="BM127" s="2">
        <v>44</v>
      </c>
      <c r="BN127" s="2" t="s">
        <v>435</v>
      </c>
      <c r="BO127" s="9" t="str">
        <f>HYPERLINK(".\links\SWISSP\AGAP012413-PA-SWISSP.txt","G2/mitotic-specific cyclin-A")</f>
        <v>G2/mitotic-specific cyclin-A</v>
      </c>
      <c r="BP127" s="2" t="str">
        <f>HYPERLINK("http://www.uniprot.org/uniprot/P14785","1E-101")</f>
        <v>1E-101</v>
      </c>
      <c r="BQ127" s="2" t="str">
        <f>HYPERLINK("http://www.uniprot.org/uniprot/P14785#expression","P14785")</f>
        <v>P14785</v>
      </c>
      <c r="BR127" s="2">
        <v>44</v>
      </c>
      <c r="BS127" s="2">
        <v>62</v>
      </c>
      <c r="BT127" s="2">
        <v>100</v>
      </c>
      <c r="BU127" s="2" t="s">
        <v>107</v>
      </c>
      <c r="BV127" s="9" t="str">
        <f>HYPERLINK(".\links\FLYBASE\AGAP012413-PA-FLYBASE.txt","FBpp0293192")</f>
        <v>FBpp0293192</v>
      </c>
      <c r="BW127" s="2" t="str">
        <f>HYPERLINK("http://flybase.org/reports/FBgn0000404#alliance_summary_container","1E-128")</f>
        <v>1E-128</v>
      </c>
      <c r="BX127" s="2">
        <v>490</v>
      </c>
      <c r="BY127" s="2">
        <v>44</v>
      </c>
      <c r="BZ127" s="2">
        <v>62</v>
      </c>
      <c r="CA127" s="2">
        <v>101</v>
      </c>
      <c r="CB127" s="9" t="str">
        <f>HYPERLINK(".\links\CDD\AGAP012413-PA-CDD.txt","Cyclin_N, Cyclin, N-terminal domain")</f>
        <v>Cyclin_N, Cyclin, N-terminal domain</v>
      </c>
      <c r="CC127" s="15">
        <v>3E-51</v>
      </c>
      <c r="CD127" s="2">
        <v>100</v>
      </c>
      <c r="CE127" s="2" t="s">
        <v>701</v>
      </c>
      <c r="CF127" s="2" t="s">
        <v>1493</v>
      </c>
      <c r="CG127" s="9" t="str">
        <f>HYPERLINK(".\links\KOG\AGAP012413-PA-KOG.txt","G2/Mitotic-specific cyclin A")</f>
        <v>G2/Mitotic-specific cyclin A</v>
      </c>
      <c r="CH127" s="15">
        <v>1E-70</v>
      </c>
      <c r="CI127" s="2">
        <v>100.8</v>
      </c>
      <c r="CJ127" s="2" t="s">
        <v>1494</v>
      </c>
      <c r="CK127" s="2" t="s">
        <v>700</v>
      </c>
      <c r="CL127" s="9" t="str">
        <f>HYPERLINK(".\links\PFAM\AGAP012413-PA-PFAM.txt","Cyclin_N, Cyclin, N-terminal domain")</f>
        <v>Cyclin_N, Cyclin, N-terminal domain</v>
      </c>
      <c r="CM127" s="15">
        <v>6E-52</v>
      </c>
      <c r="CN127" s="2">
        <v>100</v>
      </c>
      <c r="CO127" s="2" t="s">
        <v>701</v>
      </c>
      <c r="CP127" s="9" t="str">
        <f>HYPERLINK(".\links\SMART\AGAP012413-PA-SMART.txt","CYCLIN, domain present in cyclins, TFIIB and Retinoblastoma")</f>
        <v>CYCLIN, domain present in cyclins, TFIIB and Retinoblastoma</v>
      </c>
      <c r="CQ127" s="15">
        <v>7.9999999999999993E-21</v>
      </c>
      <c r="CR127" s="2">
        <v>102.4</v>
      </c>
      <c r="CS127" s="2" t="s">
        <v>478</v>
      </c>
      <c r="CT127" s="2" t="s">
        <v>1491</v>
      </c>
      <c r="CU127" s="2" t="s">
        <v>1491</v>
      </c>
      <c r="CV127" s="2" t="s">
        <v>1491</v>
      </c>
      <c r="CW127" s="2" t="str">
        <f>HYPERLINK(".\links\pep\AGAP012413-PA-pep.txt","AGAP012413-PA")</f>
        <v>AGAP012413-PA</v>
      </c>
      <c r="CX127" s="2" t="s">
        <v>95</v>
      </c>
      <c r="CY127" s="2">
        <v>502</v>
      </c>
      <c r="CZ127" s="2" t="s">
        <v>113</v>
      </c>
      <c r="DA127" s="2" t="s">
        <v>1495</v>
      </c>
      <c r="DB127" s="2">
        <v>0</v>
      </c>
      <c r="DC127" s="2">
        <v>1</v>
      </c>
      <c r="DD127" s="2" t="str">
        <f>HYPERLINK("https://www.kegg.jp/kegg-bin/search_pathway_text?map=aga&amp;keyword=AGAP012413&amp;mode=1&amp;viewImage=true","AGAP012413")</f>
        <v>AGAP012413</v>
      </c>
      <c r="DE127" s="2" t="s">
        <v>1487</v>
      </c>
      <c r="DF127" s="2" t="s">
        <v>1488</v>
      </c>
      <c r="DG127" s="2" t="s">
        <v>94</v>
      </c>
      <c r="DH127" s="2" t="str">
        <f>HYPERLINK("https://vectorbase.org/vectorbase/app/record/gene/AGAP012413","AGAP012413-RA")</f>
        <v>AGAP012413-RA</v>
      </c>
      <c r="DI127" s="2" t="s">
        <v>118</v>
      </c>
      <c r="DJ127" s="2">
        <v>2801</v>
      </c>
      <c r="DK127" s="2" t="str">
        <f>HYPERLINK(".\links\netoglyc\AGAP012413-PA-netoglyc.txt","0")</f>
        <v>0</v>
      </c>
      <c r="DL127" s="2">
        <v>12.5</v>
      </c>
      <c r="DM127" s="2">
        <v>4</v>
      </c>
      <c r="DN127" s="2">
        <v>4.5999999999999996</v>
      </c>
      <c r="DO127" s="2" t="s">
        <v>104</v>
      </c>
      <c r="DP127" s="2" t="s">
        <v>102</v>
      </c>
      <c r="DQ127" s="2" t="str">
        <f>HYPERLINK(".\links\Sigp\AGAP012413-PA-SigP.txt","CYT")</f>
        <v>CYT</v>
      </c>
      <c r="DR127" s="2" t="s">
        <v>102</v>
      </c>
      <c r="DS127" s="2">
        <v>56.53</v>
      </c>
      <c r="DT127" s="2">
        <v>5.65</v>
      </c>
      <c r="DU127" s="2" t="s">
        <v>102</v>
      </c>
      <c r="DV127" s="2" t="s">
        <v>102</v>
      </c>
      <c r="DW127" s="2" t="s">
        <v>1274</v>
      </c>
      <c r="DX127" s="2">
        <v>502</v>
      </c>
      <c r="DY127" s="12">
        <v>0</v>
      </c>
      <c r="DZ127" s="2" t="s">
        <v>102</v>
      </c>
      <c r="EA127" s="2" t="s">
        <v>102</v>
      </c>
      <c r="EB127" s="2" t="s">
        <v>102</v>
      </c>
      <c r="EC127" s="2" t="str">
        <f>HYPERLINK(".\links\gpi\AGAP012413-PA-gpi.txt","Y-NoSP")</f>
        <v>Y-NoSP</v>
      </c>
      <c r="ED127" s="2">
        <v>0.25</v>
      </c>
      <c r="EF127" s="2">
        <v>5</v>
      </c>
      <c r="EG127" s="2" t="str">
        <f>HYPERLINK(".\links\pep\AGAP012413-PA-sulf.txt","2")</f>
        <v>2</v>
      </c>
      <c r="EH127" s="2" t="s">
        <v>102</v>
      </c>
      <c r="EI127" s="2">
        <v>12.549800796812701</v>
      </c>
      <c r="EJ127" s="2">
        <v>4.5816733067729096</v>
      </c>
      <c r="EK127" s="2">
        <v>3.9840637450199199</v>
      </c>
      <c r="EL127" s="2">
        <v>8.56573705179283</v>
      </c>
      <c r="EM127" s="2" t="s">
        <v>102</v>
      </c>
      <c r="EN127" s="2">
        <v>1</v>
      </c>
      <c r="EO127" s="2">
        <v>2</v>
      </c>
      <c r="EP127" s="2" t="s">
        <v>102</v>
      </c>
      <c r="EQ127" s="2" t="s">
        <v>102</v>
      </c>
      <c r="ER127" s="2" t="s">
        <v>102</v>
      </c>
      <c r="ES127" s="2" t="s">
        <v>102</v>
      </c>
      <c r="ET127" s="2" t="str">
        <f>HYPERLINK(".\links\REFSEQ-INVERTEBRATE\AGAP012413-PA-REFSEQ-INVERTEBRATE.txt","G2/mitotic-specific cyclin-A")</f>
        <v>G2/mitotic-specific cyclin-A</v>
      </c>
      <c r="EU127" s="2" t="str">
        <f>HYPERLINK("http://www.ncbi.nlm.nih.gov/sutils/blink.cgi?pid=XP_035903397.1","0.0")</f>
        <v>0.0</v>
      </c>
      <c r="EV127" s="2" t="str">
        <f>HYPERLINK("http://www.ncbi.nlm.nih.gov/protein/XP_035903397.1","XP_035903397.1")</f>
        <v>XP_035903397.1</v>
      </c>
      <c r="EW127" s="2">
        <v>77</v>
      </c>
      <c r="EX127" s="2">
        <v>86</v>
      </c>
      <c r="EY127" s="2">
        <v>100</v>
      </c>
      <c r="EZ127" s="2" t="s">
        <v>370</v>
      </c>
    </row>
    <row r="128" spans="1:156" x14ac:dyDescent="0.25">
      <c r="A128" s="2" t="s">
        <v>1496</v>
      </c>
      <c r="B128" s="2">
        <v>0.35741491912595702</v>
      </c>
      <c r="C128" s="2">
        <f t="shared" si="1"/>
        <v>1.2811282608677905</v>
      </c>
      <c r="D128" s="2">
        <v>5.3823338295765799</v>
      </c>
      <c r="E128" s="2">
        <v>15.4400188333451</v>
      </c>
      <c r="F128" s="2">
        <v>8.5165540370930594E-5</v>
      </c>
      <c r="G128" s="2">
        <v>9.7593767483200103E-3</v>
      </c>
      <c r="H128" s="2" t="s">
        <v>1497</v>
      </c>
      <c r="I128" s="2" t="s">
        <v>94</v>
      </c>
      <c r="J128" s="2" t="str">
        <f>HYPERLINK("https://vectorbase.org/vectorbase/app/record/gene/AGAP006234","AGAP006234-RA")</f>
        <v>AGAP006234-RA</v>
      </c>
      <c r="K128" s="2" t="str">
        <f>HYPERLINK(".\links\pep\AGAP006234-PA-pep.txt","AGAP006234-PA")</f>
        <v>AGAP006234-PA</v>
      </c>
      <c r="L128" s="12" t="s">
        <v>95</v>
      </c>
      <c r="M128" s="2">
        <v>421</v>
      </c>
      <c r="N128" s="2">
        <v>0</v>
      </c>
      <c r="O128" s="2">
        <v>0</v>
      </c>
      <c r="P128" s="2" t="s">
        <v>1498</v>
      </c>
      <c r="Q128" s="9" t="s">
        <v>1499</v>
      </c>
      <c r="R128" s="2" t="s">
        <v>196</v>
      </c>
      <c r="S128" s="2" t="str">
        <f>HYPERLINK(".\links\REFSEQ-INVERTEBRATE\AGAP006234-PA-REFSEQ-INVERTEBRATE.txt","REFSEQ-INVERTEBRATE")</f>
        <v>REFSEQ-INVERTEBRATE</v>
      </c>
      <c r="T128" s="2">
        <v>0</v>
      </c>
      <c r="U128" s="2">
        <v>100</v>
      </c>
      <c r="V128" s="2" t="s">
        <v>1499</v>
      </c>
      <c r="W128" s="10" t="s">
        <v>1500</v>
      </c>
      <c r="X128" s="2" t="s">
        <v>420</v>
      </c>
      <c r="Y128" s="2" t="str">
        <f>HYPERLINK(".\links\PFAM\AGAP006234-PA-PFAM.txt","PFAM")</f>
        <v>PFAM</v>
      </c>
      <c r="Z128" s="15">
        <v>1E-13</v>
      </c>
      <c r="AA128" s="2">
        <v>87</v>
      </c>
      <c r="AB128" s="13" t="str">
        <f>HYPERLINK(".\links\pep\AGAP006234-PA-sulf.txt","3")</f>
        <v>3</v>
      </c>
      <c r="AC128" s="13" t="str">
        <f>HYPERLINK(".\links\Sigp\AGAP006234-PA-SigP.txt","CYT")</f>
        <v>CYT</v>
      </c>
      <c r="AD128" s="2" t="s">
        <v>102</v>
      </c>
      <c r="AE128" s="2">
        <v>48.302</v>
      </c>
      <c r="AF128" s="2">
        <v>4.47</v>
      </c>
      <c r="AG128" s="2" t="s">
        <v>102</v>
      </c>
      <c r="AH128" s="2" t="s">
        <v>102</v>
      </c>
      <c r="AI128" s="2" t="s">
        <v>124</v>
      </c>
      <c r="AJ128" s="13">
        <v>0</v>
      </c>
      <c r="AK128" s="2" t="s">
        <v>102</v>
      </c>
      <c r="AL128" s="2" t="s">
        <v>102</v>
      </c>
      <c r="AM128" s="2" t="s">
        <v>102</v>
      </c>
      <c r="AN128" s="13" t="str">
        <f>HYPERLINK(".\links\gpi\AGAP006234-PA-gpi.txt","N")</f>
        <v>N</v>
      </c>
      <c r="AO128" s="14" t="str">
        <f>HYPERLINK(".\links\netoglyc\AGAP006234-PA-netoglyc.txt","0")</f>
        <v>0</v>
      </c>
      <c r="AP128" s="13">
        <v>12.6</v>
      </c>
      <c r="AQ128" s="2">
        <v>3.6</v>
      </c>
      <c r="AR128" s="2">
        <v>4.5</v>
      </c>
      <c r="AS128" s="2" t="s">
        <v>104</v>
      </c>
      <c r="AT128" s="9" t="str">
        <f>HYPERLINK(".\links\NR-LIGHT\AGAP006234-PA-NR-LIGHT.txt","AGAP006234-PA")</f>
        <v>AGAP006234-PA</v>
      </c>
      <c r="AU128" s="2" t="str">
        <f>HYPERLINK("http://www.ncbi.nlm.nih.gov/sutils/blink.cgi?pid=XP_556934.3","0.0")</f>
        <v>0.0</v>
      </c>
      <c r="AV128" s="2" t="str">
        <f>HYPERLINK("http://www.ncbi.nlm.nih.gov/protein/XP_556934.3","XP_556934.3")</f>
        <v>XP_556934.3</v>
      </c>
      <c r="AW128" s="2">
        <v>100</v>
      </c>
      <c r="AX128" s="2">
        <v>100</v>
      </c>
      <c r="AY128" s="2">
        <v>100</v>
      </c>
      <c r="AZ128" s="2" t="s">
        <v>105</v>
      </c>
      <c r="BA128" s="9" t="str">
        <f>HYPERLINK(".\links\REFSEQ-INVERTEBRATE\AGAP006234-PA-REFSEQ-INVERTEBRATE.txt","AGAP006234-PA")</f>
        <v>AGAP006234-PA</v>
      </c>
      <c r="BB128" s="2" t="str">
        <f>HYPERLINK("http://www.ncbi.nlm.nih.gov/sutils/blink.cgi?pid=XP_556934.3","0.0")</f>
        <v>0.0</v>
      </c>
      <c r="BC128" s="2" t="str">
        <f>HYPERLINK("http://www.ncbi.nlm.nih.gov/protein/XP_556934.3","XP_556934.3")</f>
        <v>XP_556934.3</v>
      </c>
      <c r="BD128" s="2">
        <v>100</v>
      </c>
      <c r="BE128" s="2">
        <v>100</v>
      </c>
      <c r="BF128" s="2">
        <v>100</v>
      </c>
      <c r="BG128" s="2" t="s">
        <v>105</v>
      </c>
      <c r="BH128" s="9" t="str">
        <f>HYPERLINK(".\links\REFSEQ-PROTOZOA\AGAP006234-PA-REFSEQ-PROTOZOA.txt","hypothetical protein PPTG_08154")</f>
        <v>hypothetical protein PPTG_08154</v>
      </c>
      <c r="BI128" s="2" t="str">
        <f>HYPERLINK("http://www.ncbi.nlm.nih.gov/sutils/blink.cgi?pid=XP_008901336.1","4E-012")</f>
        <v>4E-012</v>
      </c>
      <c r="BJ128" s="2" t="str">
        <f>HYPERLINK("http://www.ncbi.nlm.nih.gov/protein/XP_008901336.1","XP_008901336.1")</f>
        <v>XP_008901336.1</v>
      </c>
      <c r="BK128" s="2">
        <v>22</v>
      </c>
      <c r="BL128" s="2">
        <v>52</v>
      </c>
      <c r="BM128" s="2">
        <v>37</v>
      </c>
      <c r="BN128" s="2" t="s">
        <v>556</v>
      </c>
      <c r="BO128" s="9" t="str">
        <f>HYPERLINK(".\links\SWISSP\AGAP006234-PA-SWISSP.txt","Protein SHQ1 homolog")</f>
        <v>Protein SHQ1 homolog</v>
      </c>
      <c r="BP128" s="2" t="str">
        <f>HYPERLINK("http://www.uniprot.org/uniprot/Q9VI74","8E-023")</f>
        <v>8E-023</v>
      </c>
      <c r="BQ128" s="2" t="str">
        <f>HYPERLINK("http://www.uniprot.org/uniprot/Q9VI74#expression","Q9VI74")</f>
        <v>Q9VI74</v>
      </c>
      <c r="BR128" s="2">
        <v>27</v>
      </c>
      <c r="BS128" s="2">
        <v>47</v>
      </c>
      <c r="BT128" s="2">
        <v>55</v>
      </c>
      <c r="BU128" s="2" t="s">
        <v>107</v>
      </c>
      <c r="BV128" s="9" t="str">
        <f>HYPERLINK(".\links\FLYBASE\AGAP006234-PA-FLYBASE.txt","FBpp0081123")</f>
        <v>FBpp0081123</v>
      </c>
      <c r="BW128" s="2" t="str">
        <f>HYPERLINK("http://flybase.org/reports/FBgn0037482#alliance_summary_container","1E-21")</f>
        <v>1E-21</v>
      </c>
      <c r="BX128" s="2">
        <v>608</v>
      </c>
      <c r="BY128" s="2">
        <v>26</v>
      </c>
      <c r="BZ128" s="2">
        <v>46</v>
      </c>
      <c r="CA128" s="2">
        <v>54</v>
      </c>
      <c r="CB128" s="9" t="str">
        <f>HYPERLINK(".\links\CDD\AGAP006234-PA-CDD.txt","SHQ1, SHQ1 protein")</f>
        <v>SHQ1, SHQ1 protein</v>
      </c>
      <c r="CC128" s="15">
        <v>4.0000000000000002E-27</v>
      </c>
      <c r="CD128" s="2">
        <v>85.7</v>
      </c>
      <c r="CE128" s="2" t="s">
        <v>1501</v>
      </c>
      <c r="CF128" s="2" t="s">
        <v>1502</v>
      </c>
      <c r="CG128" s="9" t="str">
        <f>HYPERLINK(".\links\KOG\AGAP006234-PA-KOG.txt","Uncharacterized conserved protein")</f>
        <v>Uncharacterized conserved protein</v>
      </c>
      <c r="CH128" s="15">
        <v>4.9999999999999998E-24</v>
      </c>
      <c r="CI128" s="2">
        <v>67.599999999999994</v>
      </c>
      <c r="CJ128" s="2" t="s">
        <v>1503</v>
      </c>
      <c r="CK128" s="2" t="s">
        <v>284</v>
      </c>
      <c r="CL128" s="9" t="str">
        <f>HYPERLINK(".\links\PFAM\AGAP006234-PA-PFAM.txt","SHQ1, SHQ1 protein")</f>
        <v>SHQ1, SHQ1 protein</v>
      </c>
      <c r="CM128" s="15">
        <v>7.9999999999999998E-28</v>
      </c>
      <c r="CN128" s="2">
        <v>85.7</v>
      </c>
      <c r="CO128" s="2" t="s">
        <v>1501</v>
      </c>
      <c r="CP128" s="9" t="str">
        <f>HYPERLINK(".\links\SMART\AGAP006234-PA-SMART.txt","Bet_v_1, Pathogenesis-related protein Bet v I family")</f>
        <v>Bet_v_1, Pathogenesis-related protein Bet v I family</v>
      </c>
      <c r="CQ128" s="15">
        <v>0.28999999999999998</v>
      </c>
      <c r="CR128" s="2">
        <v>9.3000000000000007</v>
      </c>
      <c r="CS128" s="2" t="s">
        <v>1504</v>
      </c>
      <c r="CT128" s="2" t="s">
        <v>1499</v>
      </c>
      <c r="CU128" s="2" t="s">
        <v>1499</v>
      </c>
      <c r="CV128" s="2" t="s">
        <v>1499</v>
      </c>
      <c r="CW128" s="2" t="str">
        <f>HYPERLINK(".\links\pep\AGAP006234-PA-pep.txt","AGAP006234-PA")</f>
        <v>AGAP006234-PA</v>
      </c>
      <c r="CX128" s="2" t="s">
        <v>95</v>
      </c>
      <c r="CY128" s="2">
        <v>421</v>
      </c>
      <c r="CZ128" s="2" t="s">
        <v>113</v>
      </c>
      <c r="DA128" s="2" t="s">
        <v>1505</v>
      </c>
      <c r="DB128" s="2">
        <v>0</v>
      </c>
      <c r="DC128" s="2">
        <v>0</v>
      </c>
      <c r="DD128" s="2" t="str">
        <f>HYPERLINK("https://www.kegg.jp/kegg-bin/search_pathway_text?map=aga&amp;keyword=AGAP006234&amp;mode=1&amp;viewImage=true","AGAP006234")</f>
        <v>AGAP006234</v>
      </c>
      <c r="DE128" s="2" t="s">
        <v>1496</v>
      </c>
      <c r="DF128" s="2" t="s">
        <v>1497</v>
      </c>
      <c r="DG128" s="2" t="s">
        <v>94</v>
      </c>
      <c r="DH128" s="2" t="str">
        <f>HYPERLINK("https://vectorbase.org/vectorbase/app/record/gene/AGAP006234","AGAP006234-RA")</f>
        <v>AGAP006234-RA</v>
      </c>
      <c r="DI128" s="2" t="s">
        <v>118</v>
      </c>
      <c r="DJ128" s="2">
        <v>1352</v>
      </c>
      <c r="DK128" s="2" t="str">
        <f>HYPERLINK(".\links\netoglyc\AGAP006234-PA-netoglyc.txt","0")</f>
        <v>0</v>
      </c>
      <c r="DL128" s="2">
        <v>12.6</v>
      </c>
      <c r="DM128" s="2">
        <v>3.6</v>
      </c>
      <c r="DN128" s="2">
        <v>4.5</v>
      </c>
      <c r="DO128" s="2" t="s">
        <v>104</v>
      </c>
      <c r="DP128" s="2" t="s">
        <v>102</v>
      </c>
      <c r="DQ128" s="2" t="str">
        <f>HYPERLINK(".\links\Sigp\AGAP006234-PA-SigP.txt","CYT")</f>
        <v>CYT</v>
      </c>
      <c r="DR128" s="2" t="s">
        <v>102</v>
      </c>
      <c r="DS128" s="2">
        <v>48.302</v>
      </c>
      <c r="DT128" s="2">
        <v>4.47</v>
      </c>
      <c r="DU128" s="2" t="s">
        <v>102</v>
      </c>
      <c r="DV128" s="2" t="s">
        <v>102</v>
      </c>
      <c r="DW128" s="2" t="s">
        <v>124</v>
      </c>
      <c r="DX128" s="2">
        <v>421</v>
      </c>
      <c r="DY128" s="12">
        <v>0</v>
      </c>
      <c r="DZ128" s="2" t="s">
        <v>102</v>
      </c>
      <c r="EA128" s="2" t="s">
        <v>102</v>
      </c>
      <c r="EB128" s="2" t="s">
        <v>102</v>
      </c>
      <c r="EC128" s="2" t="str">
        <f>HYPERLINK(".\links\gpi\AGAP006234-PA-gpi.txt","Y-NoSP")</f>
        <v>Y-NoSP</v>
      </c>
      <c r="ED128" s="2">
        <v>0.25</v>
      </c>
      <c r="EF128" s="2">
        <v>8</v>
      </c>
      <c r="EG128" s="2" t="str">
        <f>HYPERLINK(".\links\pep\AGAP006234-PA-sulf.txt","3")</f>
        <v>3</v>
      </c>
      <c r="EH128" s="2" t="s">
        <v>102</v>
      </c>
      <c r="EI128" s="2">
        <v>12.589073634204301</v>
      </c>
      <c r="EJ128" s="2">
        <v>4.5130641330166297</v>
      </c>
      <c r="EK128" s="2">
        <v>3.5629453681710199</v>
      </c>
      <c r="EL128" s="2">
        <v>8.0760095011876505</v>
      </c>
      <c r="EM128" s="2" t="s">
        <v>102</v>
      </c>
      <c r="EN128" s="2" t="s">
        <v>102</v>
      </c>
      <c r="EO128" s="2">
        <v>1</v>
      </c>
      <c r="EP128" s="2" t="s">
        <v>102</v>
      </c>
      <c r="EQ128" s="2" t="s">
        <v>102</v>
      </c>
      <c r="ER128" s="2" t="s">
        <v>102</v>
      </c>
      <c r="ES128" s="2" t="s">
        <v>102</v>
      </c>
      <c r="ET128" s="2" t="str">
        <f>HYPERLINK(".\links\REFSEQ-INVERTEBRATE\AGAP006234-PA-REFSEQ-INVERTEBRATE.txt","AGAP006234-PA")</f>
        <v>AGAP006234-PA</v>
      </c>
      <c r="EU128" s="2" t="str">
        <f>HYPERLINK("http://www.ncbi.nlm.nih.gov/sutils/blink.cgi?pid=XP_556934.3","0.0")</f>
        <v>0.0</v>
      </c>
      <c r="EV128" s="2" t="str">
        <f>HYPERLINK("http://www.ncbi.nlm.nih.gov/protein/XP_556934.3","XP_556934.3")</f>
        <v>XP_556934.3</v>
      </c>
      <c r="EW128" s="2">
        <v>100</v>
      </c>
      <c r="EX128" s="2">
        <v>100</v>
      </c>
      <c r="EY128" s="2">
        <v>100</v>
      </c>
      <c r="EZ128" s="2" t="s">
        <v>105</v>
      </c>
    </row>
    <row r="129" spans="1:156" x14ac:dyDescent="0.25">
      <c r="A129" s="2" t="s">
        <v>1506</v>
      </c>
      <c r="B129" s="2">
        <v>0.35689561069208098</v>
      </c>
      <c r="C129" s="2">
        <f t="shared" si="1"/>
        <v>1.2806671925433173</v>
      </c>
      <c r="D129" s="2">
        <v>5.1475007609331698</v>
      </c>
      <c r="E129" s="2">
        <v>10.001625514456</v>
      </c>
      <c r="F129" s="2">
        <v>1.5640211285997099E-3</v>
      </c>
      <c r="G129" s="2">
        <v>3.8731896910124998E-2</v>
      </c>
      <c r="H129" s="2" t="s">
        <v>1507</v>
      </c>
      <c r="I129" s="2" t="s">
        <v>94</v>
      </c>
      <c r="J129" s="2" t="str">
        <f>HYPERLINK("https://vectorbase.org/vectorbase/app/record/gene/AGAP010019","AGAP010019-RA")</f>
        <v>AGAP010019-RA</v>
      </c>
      <c r="K129" s="2" t="str">
        <f>HYPERLINK(".\links\pep\AGAP010019-PA-pep.txt","AGAP010019-PA")</f>
        <v>AGAP010019-PA</v>
      </c>
      <c r="L129" s="12" t="s">
        <v>95</v>
      </c>
      <c r="M129" s="2">
        <v>203</v>
      </c>
      <c r="N129" s="2">
        <v>0</v>
      </c>
      <c r="O129" s="2">
        <v>0</v>
      </c>
      <c r="P129" s="2" t="s">
        <v>1508</v>
      </c>
      <c r="Q129" s="9" t="s">
        <v>1509</v>
      </c>
      <c r="R129" s="2" t="s">
        <v>196</v>
      </c>
      <c r="S129" s="2" t="str">
        <f>HYPERLINK(".\links\REFSEQ-INVERTEBRATE\AGAP010019-PA-REFSEQ-INVERTEBRATE.txt","REFSEQ-INVERTEBRATE")</f>
        <v>REFSEQ-INVERTEBRATE</v>
      </c>
      <c r="T129" s="2">
        <v>0</v>
      </c>
      <c r="U129" s="2">
        <v>100</v>
      </c>
      <c r="V129" s="2" t="s">
        <v>1509</v>
      </c>
      <c r="W129" s="10" t="s">
        <v>1510</v>
      </c>
      <c r="X129" s="2" t="s">
        <v>196</v>
      </c>
      <c r="Y129" s="2" t="str">
        <f>HYPERLINK(".\links\ARTHORPODA\AGAP010019-PA-ARTHORPODA.txt","ARTHORPODA")</f>
        <v>ARTHORPODA</v>
      </c>
      <c r="Z129" s="2">
        <v>0</v>
      </c>
      <c r="AA129" s="2">
        <v>100</v>
      </c>
      <c r="AB129" s="13" t="s">
        <v>102</v>
      </c>
      <c r="AC129" s="13" t="str">
        <f>HYPERLINK(".\links\Sigp\AGAP010019-PA-SigP.txt","CYT")</f>
        <v>CYT</v>
      </c>
      <c r="AD129" s="2" t="s">
        <v>102</v>
      </c>
      <c r="AE129" s="2">
        <v>23.273</v>
      </c>
      <c r="AF129" s="2">
        <v>4.7300000000000004</v>
      </c>
      <c r="AG129" s="2" t="s">
        <v>102</v>
      </c>
      <c r="AH129" s="2" t="s">
        <v>102</v>
      </c>
      <c r="AI129" s="2" t="s">
        <v>211</v>
      </c>
      <c r="AJ129" s="13">
        <v>0</v>
      </c>
      <c r="AK129" s="2" t="s">
        <v>102</v>
      </c>
      <c r="AL129" s="2" t="s">
        <v>102</v>
      </c>
      <c r="AM129" s="2" t="s">
        <v>102</v>
      </c>
      <c r="AN129" s="13" t="str">
        <f>HYPERLINK(".\links\gpi\AGAP010019-PA-gpi.txt","N")</f>
        <v>N</v>
      </c>
      <c r="AO129" s="14" t="str">
        <f>HYPERLINK(".\links\netoglyc\AGAP010019-PA-netoglyc.txt","0")</f>
        <v>0</v>
      </c>
      <c r="AP129" s="13">
        <v>12.3</v>
      </c>
      <c r="AQ129" s="2">
        <v>7.4</v>
      </c>
      <c r="AR129" s="2">
        <v>1.5</v>
      </c>
      <c r="AS129" s="2" t="s">
        <v>104</v>
      </c>
      <c r="AT129" s="9" t="str">
        <f>HYPERLINK(".\links\NR-LIGHT\AGAP010019-PA-NR-LIGHT.txt","AGAP010019-PA")</f>
        <v>AGAP010019-PA</v>
      </c>
      <c r="AU129" s="2" t="str">
        <f>HYPERLINK("http://www.ncbi.nlm.nih.gov/sutils/blink.cgi?pid=XP_319166.4","1E-116")</f>
        <v>1E-116</v>
      </c>
      <c r="AV129" s="2" t="str">
        <f>HYPERLINK("http://www.ncbi.nlm.nih.gov/protein/XP_319166.4","XP_319166.4")</f>
        <v>XP_319166.4</v>
      </c>
      <c r="AW129" s="2">
        <v>100</v>
      </c>
      <c r="AX129" s="2">
        <v>100</v>
      </c>
      <c r="AY129" s="2">
        <v>100</v>
      </c>
      <c r="AZ129" s="2" t="s">
        <v>105</v>
      </c>
      <c r="BA129" s="9" t="str">
        <f>HYPERLINK(".\links\REFSEQ-INVERTEBRATE\AGAP010019-PA-REFSEQ-INVERTEBRATE.txt","AGAP010019-PA")</f>
        <v>AGAP010019-PA</v>
      </c>
      <c r="BB129" s="2" t="str">
        <f>HYPERLINK("http://www.ncbi.nlm.nih.gov/sutils/blink.cgi?pid=XP_319166.4","1E-116")</f>
        <v>1E-116</v>
      </c>
      <c r="BC129" s="2" t="str">
        <f>HYPERLINK("http://www.ncbi.nlm.nih.gov/protein/XP_319166.4","XP_319166.4")</f>
        <v>XP_319166.4</v>
      </c>
      <c r="BD129" s="2">
        <v>100</v>
      </c>
      <c r="BE129" s="2">
        <v>100</v>
      </c>
      <c r="BF129" s="2">
        <v>100</v>
      </c>
      <c r="BG129" s="2" t="s">
        <v>105</v>
      </c>
      <c r="BH129" s="9" t="str">
        <f>HYPERLINK(".\links\REFSEQ-PROTOZOA\AGAP010019-PA-REFSEQ-PROTOZOA.txt","uncharacterized protein")</f>
        <v>uncharacterized protein</v>
      </c>
      <c r="BI129" s="2" t="str">
        <f>HYPERLINK("http://www.ncbi.nlm.nih.gov/sutils/blink.cgi?pid=XP_012897052.1","2E-012")</f>
        <v>2E-012</v>
      </c>
      <c r="BJ129" s="2" t="str">
        <f>HYPERLINK("http://www.ncbi.nlm.nih.gov/protein/XP_012897052.1","XP_012897052.1")</f>
        <v>XP_012897052.1</v>
      </c>
      <c r="BK129" s="2">
        <v>29</v>
      </c>
      <c r="BL129" s="2">
        <v>48</v>
      </c>
      <c r="BM129" s="2">
        <v>81</v>
      </c>
      <c r="BN129" s="2" t="s">
        <v>1511</v>
      </c>
      <c r="BO129" s="9" t="str">
        <f>HYPERLINK(".\links\SWISSP\AGAP010019-PA-SWISSP.txt","RWD domain-containing protein 4")</f>
        <v>RWD domain-containing protein 4</v>
      </c>
      <c r="BP129" s="2" t="str">
        <f>HYPERLINK("http://www.uniprot.org/uniprot/Q9CPR1","2E-036")</f>
        <v>2E-036</v>
      </c>
      <c r="BQ129" s="2" t="str">
        <f>HYPERLINK("http://www.uniprot.org/uniprot/Q9CPR1#expression","Q9CPR1")</f>
        <v>Q9CPR1</v>
      </c>
      <c r="BR129" s="2">
        <v>39</v>
      </c>
      <c r="BS129" s="2">
        <v>58</v>
      </c>
      <c r="BT129" s="2">
        <v>107</v>
      </c>
      <c r="BU129" s="2" t="s">
        <v>662</v>
      </c>
      <c r="BV129" s="9" t="str">
        <f>HYPERLINK(".\links\FLYBASE\AGAP010019-PA-FLYBASE.txt","FBpp0080648")</f>
        <v>FBpp0080648</v>
      </c>
      <c r="BW129" s="2" t="str">
        <f>HYPERLINK("http://flybase.org/reports/FBgn0032703#alliance_summary_container","9E-68")</f>
        <v>9E-68</v>
      </c>
      <c r="BX129" s="2">
        <v>214</v>
      </c>
      <c r="BY129" s="2">
        <v>52</v>
      </c>
      <c r="BZ129" s="2">
        <v>71</v>
      </c>
      <c r="CA129" s="2">
        <v>94</v>
      </c>
      <c r="CB129" s="9" t="str">
        <f>HYPERLINK(".\links\CDD\AGAP010019-PA-CDD.txt","RWD, RWD domain")</f>
        <v>RWD, RWD domain</v>
      </c>
      <c r="CC129" s="15">
        <v>2.0000000000000001E-17</v>
      </c>
      <c r="CD129" s="2">
        <v>103.6</v>
      </c>
      <c r="CE129" s="2" t="s">
        <v>1512</v>
      </c>
      <c r="CF129" s="2" t="s">
        <v>1513</v>
      </c>
      <c r="CG129" s="9" t="str">
        <f>HYPERLINK(".\links\KOG\AGAP010019-PA-KOG.txt","contains RWD domain")</f>
        <v>contains RWD domain</v>
      </c>
      <c r="CH129" s="15">
        <v>1E-25</v>
      </c>
      <c r="CI129" s="2">
        <v>102.3</v>
      </c>
      <c r="CJ129" s="2" t="s">
        <v>1514</v>
      </c>
      <c r="CK129" s="2" t="s">
        <v>284</v>
      </c>
      <c r="CL129" s="9" t="str">
        <f>HYPERLINK(".\links\PFAM\AGAP010019-PA-PFAM.txt","RWD, RWD domain")</f>
        <v>RWD, RWD domain</v>
      </c>
      <c r="CM129" s="15">
        <v>4.0000000000000003E-18</v>
      </c>
      <c r="CN129" s="2">
        <v>103.6</v>
      </c>
      <c r="CO129" s="2" t="s">
        <v>1512</v>
      </c>
      <c r="CP129" s="9" t="str">
        <f>HYPERLINK(".\links\SMART\AGAP010019-PA-SMART.txt","RWD, domain in RING finger and WD repeat containing proteins and DEXDc-like helicases subfamily related to the UBCc domain")</f>
        <v>RWD, domain in RING finger and WD repeat containing proteins and DEXDc-like helicases subfamily related to the UBCc domain</v>
      </c>
      <c r="CQ129" s="15">
        <v>5.9999999999999997E-14</v>
      </c>
      <c r="CR129" s="2">
        <v>101.9</v>
      </c>
      <c r="CS129" s="2" t="s">
        <v>1515</v>
      </c>
      <c r="CT129" s="2" t="s">
        <v>1509</v>
      </c>
      <c r="CU129" s="2" t="s">
        <v>1509</v>
      </c>
      <c r="CV129" s="2" t="s">
        <v>1509</v>
      </c>
      <c r="CW129" s="2" t="str">
        <f>HYPERLINK(".\links\pep\AGAP010019-PA-pep.txt","AGAP010019-PA")</f>
        <v>AGAP010019-PA</v>
      </c>
      <c r="CX129" s="2" t="s">
        <v>95</v>
      </c>
      <c r="CY129" s="2">
        <v>203</v>
      </c>
      <c r="CZ129" s="2" t="s">
        <v>113</v>
      </c>
      <c r="DA129" s="2" t="s">
        <v>1516</v>
      </c>
      <c r="DB129" s="2">
        <v>0</v>
      </c>
      <c r="DC129" s="2">
        <v>0</v>
      </c>
      <c r="DD129" s="2" t="str">
        <f>HYPERLINK("https://www.kegg.jp/kegg-bin/search_pathway_text?map=aga&amp;keyword=AGAP010019&amp;mode=1&amp;viewImage=true","AGAP010019")</f>
        <v>AGAP010019</v>
      </c>
      <c r="DE129" s="2" t="s">
        <v>1506</v>
      </c>
      <c r="DF129" s="2" t="s">
        <v>1507</v>
      </c>
      <c r="DG129" s="2" t="s">
        <v>94</v>
      </c>
      <c r="DH129" s="2" t="str">
        <f>HYPERLINK("https://vectorbase.org/vectorbase/app/record/gene/AGAP010019","AGAP010019-RA")</f>
        <v>AGAP010019-RA</v>
      </c>
      <c r="DI129" s="2" t="s">
        <v>90</v>
      </c>
      <c r="DJ129" s="2">
        <v>808</v>
      </c>
      <c r="DK129" s="2" t="str">
        <f>HYPERLINK(".\links\netoglyc\AGAP010019-PA-netoglyc.txt","0")</f>
        <v>0</v>
      </c>
      <c r="DL129" s="2">
        <v>12.3</v>
      </c>
      <c r="DM129" s="2">
        <v>7.4</v>
      </c>
      <c r="DN129" s="2">
        <v>1.5</v>
      </c>
      <c r="DO129" s="2" t="s">
        <v>104</v>
      </c>
      <c r="DP129" s="2" t="s">
        <v>102</v>
      </c>
      <c r="DQ129" s="2" t="str">
        <f>HYPERLINK(".\links\Sigp\AGAP010019-PA-SigP.txt","CYT")</f>
        <v>CYT</v>
      </c>
      <c r="DR129" s="2" t="s">
        <v>102</v>
      </c>
      <c r="DS129" s="2">
        <v>23.273</v>
      </c>
      <c r="DT129" s="2">
        <v>4.7300000000000004</v>
      </c>
      <c r="DU129" s="2" t="s">
        <v>102</v>
      </c>
      <c r="DV129" s="2" t="s">
        <v>102</v>
      </c>
      <c r="DW129" s="2" t="s">
        <v>211</v>
      </c>
      <c r="DX129" s="2">
        <v>203</v>
      </c>
      <c r="DY129" s="12">
        <v>0</v>
      </c>
      <c r="DZ129" s="2" t="s">
        <v>102</v>
      </c>
      <c r="EA129" s="2" t="s">
        <v>102</v>
      </c>
      <c r="EB129" s="2" t="s">
        <v>102</v>
      </c>
      <c r="EC129" s="2" t="str">
        <f>HYPERLINK(".\links\gpi\AGAP010019-PA-gpi.txt","N")</f>
        <v>N</v>
      </c>
      <c r="ED129" s="2">
        <v>0.34</v>
      </c>
      <c r="EF129" s="2">
        <v>4</v>
      </c>
      <c r="EG129" s="2" t="s">
        <v>102</v>
      </c>
      <c r="EH129" s="2" t="s">
        <v>102</v>
      </c>
      <c r="EI129" s="2">
        <v>12.3152709359606</v>
      </c>
      <c r="EJ129" s="2">
        <v>1.47783251231527</v>
      </c>
      <c r="EK129" s="2">
        <v>7.3891625615763603</v>
      </c>
      <c r="EL129" s="2">
        <v>8.8669950738916299</v>
      </c>
      <c r="EM129" s="2" t="s">
        <v>102</v>
      </c>
      <c r="EN129" s="2">
        <v>1</v>
      </c>
      <c r="EO129" s="2">
        <v>1</v>
      </c>
      <c r="EP129" s="2" t="s">
        <v>102</v>
      </c>
      <c r="EQ129" s="2" t="s">
        <v>102</v>
      </c>
      <c r="ER129" s="2" t="s">
        <v>102</v>
      </c>
      <c r="ES129" s="2" t="s">
        <v>102</v>
      </c>
      <c r="ET129" s="2" t="str">
        <f>HYPERLINK(".\links\REFSEQ-INVERTEBRATE\AGAP010019-PA-REFSEQ-INVERTEBRATE.txt","AGAP010019-PA")</f>
        <v>AGAP010019-PA</v>
      </c>
      <c r="EU129" s="2" t="str">
        <f>HYPERLINK("http://www.ncbi.nlm.nih.gov/sutils/blink.cgi?pid=XP_319166.4","1E-150")</f>
        <v>1E-150</v>
      </c>
      <c r="EV129" s="2" t="str">
        <f>HYPERLINK("http://www.ncbi.nlm.nih.gov/protein/XP_319166.4","XP_319166.4")</f>
        <v>XP_319166.4</v>
      </c>
      <c r="EW129" s="2">
        <v>100</v>
      </c>
      <c r="EX129" s="2">
        <v>100</v>
      </c>
      <c r="EY129" s="2">
        <v>100</v>
      </c>
      <c r="EZ129" s="2" t="s">
        <v>105</v>
      </c>
    </row>
    <row r="130" spans="1:156" x14ac:dyDescent="0.25">
      <c r="A130" s="2" t="s">
        <v>1517</v>
      </c>
      <c r="B130" s="2">
        <v>0.356267430840427</v>
      </c>
      <c r="C130" s="2">
        <f t="shared" ref="C130:C193" si="2">2^B130</f>
        <v>1.2801096844187025</v>
      </c>
      <c r="D130" s="2">
        <v>5.7178548356243599</v>
      </c>
      <c r="E130" s="2">
        <v>10.4997305066846</v>
      </c>
      <c r="F130" s="2">
        <v>1.1939195651815E-3</v>
      </c>
      <c r="G130" s="2">
        <v>3.4708192669214502E-2</v>
      </c>
      <c r="H130" s="2" t="s">
        <v>93</v>
      </c>
      <c r="I130" s="2" t="s">
        <v>94</v>
      </c>
      <c r="J130" s="2" t="str">
        <f>HYPERLINK("https://vectorbase.org/vectorbase/app/record/gene/AGAP029358","AGAP029358-RA")</f>
        <v>AGAP029358-RA</v>
      </c>
      <c r="K130" s="2" t="str">
        <f>HYPERLINK(".\links\pep\AGAP029358-PA-pep.txt","AGAP029358-PA")</f>
        <v>AGAP029358-PA</v>
      </c>
      <c r="L130" s="12" t="s">
        <v>95</v>
      </c>
      <c r="M130" s="2">
        <v>1232</v>
      </c>
      <c r="N130" s="2">
        <v>0</v>
      </c>
      <c r="O130" s="2">
        <v>0</v>
      </c>
      <c r="P130" s="2" t="s">
        <v>102</v>
      </c>
      <c r="Q130" s="9" t="s">
        <v>1518</v>
      </c>
      <c r="R130" s="2" t="s">
        <v>196</v>
      </c>
      <c r="S130" s="2" t="str">
        <f>HYPERLINK(".\links\NR-LIGHT\AGAP029358-PA-NR-LIGHT.txt","NR-LIGHT")</f>
        <v>NR-LIGHT</v>
      </c>
      <c r="T130" s="2">
        <v>0</v>
      </c>
      <c r="U130" s="2">
        <v>102</v>
      </c>
      <c r="V130" s="2" t="s">
        <v>1519</v>
      </c>
      <c r="W130" s="10" t="s">
        <v>1520</v>
      </c>
      <c r="X130" s="2" t="s">
        <v>196</v>
      </c>
      <c r="Y130" s="2" t="str">
        <f>HYPERLINK(".\links\ARTHORPODA\AGAP029358-PA-ARTHORPODA.txt","ARTHORPODA")</f>
        <v>ARTHORPODA</v>
      </c>
      <c r="Z130" s="2">
        <v>0</v>
      </c>
      <c r="AA130" s="2">
        <v>100</v>
      </c>
      <c r="AB130" s="13" t="str">
        <f>HYPERLINK(".\links\pep\AGAP029358-PA-sulf.txt","3")</f>
        <v>3</v>
      </c>
      <c r="AC130" s="13" t="str">
        <f>HYPERLINK(".\links\Sigp\AGAP029358-PA-SigP.txt","CYT")</f>
        <v>CYT</v>
      </c>
      <c r="AD130" s="2" t="s">
        <v>102</v>
      </c>
      <c r="AE130" s="2">
        <v>142.97800000000001</v>
      </c>
      <c r="AF130" s="2">
        <v>5.79</v>
      </c>
      <c r="AG130" s="2" t="s">
        <v>102</v>
      </c>
      <c r="AH130" s="2" t="s">
        <v>102</v>
      </c>
      <c r="AI130" s="2" t="s">
        <v>1521</v>
      </c>
      <c r="AJ130" s="13">
        <v>0</v>
      </c>
      <c r="AK130" s="2" t="s">
        <v>102</v>
      </c>
      <c r="AL130" s="2" t="s">
        <v>102</v>
      </c>
      <c r="AM130" s="2" t="s">
        <v>102</v>
      </c>
      <c r="AN130" s="9" t="str">
        <f>HYPERLINK(".\links\gpi\AGAP029358-PA-gpi.txt","N")</f>
        <v>N</v>
      </c>
      <c r="AO130" s="14" t="str">
        <f>HYPERLINK(".\links\netoglyc\AGAP029358-PA-netoglyc.txt","0")</f>
        <v>0</v>
      </c>
      <c r="AP130" s="13">
        <v>11.9</v>
      </c>
      <c r="AQ130" s="2">
        <v>3.2</v>
      </c>
      <c r="AR130" s="2">
        <v>2.5</v>
      </c>
      <c r="AS130" s="2" t="s">
        <v>104</v>
      </c>
      <c r="AT130" s="9" t="str">
        <f>HYPERLINK(".\links\NR-LIGHT\AGAP029358-PA-NR-LIGHT.txt","hypothetical protein ZHAS_00016038")</f>
        <v>hypothetical protein ZHAS_00016038</v>
      </c>
      <c r="AU130" s="2" t="str">
        <f>HYPERLINK("http://www.ncbi.nlm.nih.gov/sutils/blink.cgi?pid=KFB48068.1","0.0")</f>
        <v>0.0</v>
      </c>
      <c r="AV130" s="2" t="str">
        <f>HYPERLINK("http://www.ncbi.nlm.nih.gov/protein/KFB48068.1","KFB48068.1")</f>
        <v>KFB48068.1</v>
      </c>
      <c r="AW130" s="2">
        <v>41</v>
      </c>
      <c r="AX130" s="2">
        <v>58</v>
      </c>
      <c r="AY130" s="2">
        <v>103</v>
      </c>
      <c r="AZ130" s="2" t="s">
        <v>1522</v>
      </c>
      <c r="BA130" s="9" t="str">
        <f>HYPERLINK(".\links\REFSEQ-INVERTEBRATE\AGAP029358-PA-REFSEQ-INVERTEBRATE.txt","uncharacterized protein LOC109399800")</f>
        <v>uncharacterized protein LOC109399800</v>
      </c>
      <c r="BB130" s="2" t="str">
        <f>HYPERLINK("http://www.ncbi.nlm.nih.gov/sutils/blink.cgi?pid=XP_019527841.1","6E-040")</f>
        <v>6E-040</v>
      </c>
      <c r="BC130" s="2" t="str">
        <f>HYPERLINK("http://www.ncbi.nlm.nih.gov/protein/XP_019527841.1","XP_019527841.1")</f>
        <v>XP_019527841.1</v>
      </c>
      <c r="BD130" s="2">
        <v>20</v>
      </c>
      <c r="BE130" s="2">
        <v>40</v>
      </c>
      <c r="BF130" s="2">
        <v>103</v>
      </c>
      <c r="BG130" s="2" t="s">
        <v>361</v>
      </c>
      <c r="BH130" s="9" t="str">
        <f>HYPERLINK(".\links\REFSEQ-PROTOZOA\AGAP029358-PA-REFSEQ-PROTOZOA.txt","hypothetical protein Plocam_131 (plastid)")</f>
        <v>hypothetical protein Plocam_131 (plastid)</v>
      </c>
      <c r="BI130" s="2" t="str">
        <f>HYPERLINK("http://www.ncbi.nlm.nih.gov/sutils/blink.cgi?pid=YP_009298029.1","0.023")</f>
        <v>0.023</v>
      </c>
      <c r="BJ130" s="2" t="str">
        <f>HYPERLINK("http://www.ncbi.nlm.nih.gov/protein/YP_009298029.1","YP_009298029.1")</f>
        <v>YP_009298029.1</v>
      </c>
      <c r="BK130" s="2">
        <v>21</v>
      </c>
      <c r="BL130" s="2">
        <v>38</v>
      </c>
      <c r="BM130" s="2">
        <v>83</v>
      </c>
      <c r="BN130" s="2" t="s">
        <v>1523</v>
      </c>
      <c r="BO130" s="9" t="str">
        <f>HYPERLINK(".\links\SWISSP\AGAP029358-PA-SWISSP.txt","Centromere-associated protein E")</f>
        <v>Centromere-associated protein E</v>
      </c>
      <c r="BP130" s="2" t="str">
        <f>HYPERLINK("http://www.uniprot.org/uniprot/Q6RT24","0.12")</f>
        <v>0.12</v>
      </c>
      <c r="BQ130" s="2" t="str">
        <f>HYPERLINK("http://www.uniprot.org/uniprot/Q6RT24#expression","Q6RT24")</f>
        <v>Q6RT24</v>
      </c>
      <c r="BR130" s="2">
        <v>22</v>
      </c>
      <c r="BS130" s="2">
        <v>38</v>
      </c>
      <c r="BT130" s="2">
        <v>10</v>
      </c>
      <c r="BU130" s="2" t="s">
        <v>662</v>
      </c>
      <c r="BV130" s="9" t="str">
        <f>HYPERLINK(".\links\FLYBASE\AGAP029358-PA-FLYBASE.txt","FBpp0078606")</f>
        <v>FBpp0078606</v>
      </c>
      <c r="BW130" s="2" t="str">
        <f>HYPERLINK("http://flybase.org/reports/FBgn0015331#alliance_summary_container","0.38")</f>
        <v>0.38</v>
      </c>
      <c r="BX130" s="2">
        <v>619</v>
      </c>
      <c r="BY130" s="2">
        <v>27</v>
      </c>
      <c r="BZ130" s="2">
        <v>42</v>
      </c>
      <c r="CA130" s="2">
        <v>20</v>
      </c>
      <c r="CB130" s="9" t="str">
        <f>HYPERLINK(".\links\CDD\AGAP029358-PA-CDD.txt","NACHT, NACHT domain")</f>
        <v>NACHT, NACHT domain</v>
      </c>
      <c r="CC130" s="15">
        <v>1.4999999999999999E-2</v>
      </c>
      <c r="CD130" s="2">
        <v>104.8</v>
      </c>
      <c r="CE130" s="2" t="s">
        <v>1524</v>
      </c>
      <c r="CF130" s="2" t="s">
        <v>1525</v>
      </c>
      <c r="CG130" s="9" t="str">
        <f>HYPERLINK(".\links\KOG\AGAP029358-PA-KOG.txt","RTK signaling protein MASK/UNC-44")</f>
        <v>RTK signaling protein MASK/UNC-44</v>
      </c>
      <c r="CH130" s="15">
        <v>0.39</v>
      </c>
      <c r="CI130" s="2">
        <v>3.4</v>
      </c>
      <c r="CJ130" s="2" t="s">
        <v>1526</v>
      </c>
      <c r="CK130" s="2" t="s">
        <v>173</v>
      </c>
      <c r="CL130" s="9" t="str">
        <f>HYPERLINK(".\links\PFAM\AGAP029358-PA-PFAM.txt","NACHT, NACHT domain")</f>
        <v>NACHT, NACHT domain</v>
      </c>
      <c r="CM130" s="15">
        <v>3.0000000000000001E-3</v>
      </c>
      <c r="CN130" s="2">
        <v>104.8</v>
      </c>
      <c r="CO130" s="2" t="s">
        <v>1524</v>
      </c>
      <c r="CP130" s="9" t="str">
        <f>HYPERLINK(".\links\SMART\AGAP029358-PA-SMART.txt","MAM, Domain in meprin, A5, receptor protein tyrosine phosphatase mu (and others)")</f>
        <v>MAM, Domain in meprin, A5, receptor protein tyrosine phosphatase mu (and others)</v>
      </c>
      <c r="CQ130" s="15">
        <v>0.7</v>
      </c>
      <c r="CR130" s="2">
        <v>15.5</v>
      </c>
      <c r="CS130" s="2" t="s">
        <v>1527</v>
      </c>
      <c r="CT130" s="2" t="s">
        <v>1519</v>
      </c>
      <c r="CU130" s="2" t="s">
        <v>1519</v>
      </c>
      <c r="CV130" s="2" t="s">
        <v>1519</v>
      </c>
      <c r="CW130" s="2" t="str">
        <f>HYPERLINK(".\links\pep\AGAP029358-PA-pep.txt","AGAP029358-PA")</f>
        <v>AGAP029358-PA</v>
      </c>
      <c r="CX130" s="2" t="s">
        <v>95</v>
      </c>
      <c r="CY130" s="2">
        <v>1232</v>
      </c>
      <c r="CZ130" s="2" t="s">
        <v>113</v>
      </c>
      <c r="DA130" s="2" t="s">
        <v>1528</v>
      </c>
      <c r="DB130" s="2">
        <v>0</v>
      </c>
      <c r="DC130" s="2">
        <v>0</v>
      </c>
      <c r="DD130" s="2" t="str">
        <f>HYPERLINK("https://www.kegg.jp/kegg-bin/search_pathway_text?map=aga&amp;keyword=AGAP029358&amp;mode=1&amp;viewImage=true","AGAP029358")</f>
        <v>AGAP029358</v>
      </c>
      <c r="DE130" s="2" t="s">
        <v>1517</v>
      </c>
      <c r="DF130" s="2" t="s">
        <v>93</v>
      </c>
      <c r="DG130" s="2" t="s">
        <v>94</v>
      </c>
      <c r="DH130" s="2" t="str">
        <f>HYPERLINK("https://vectorbase.org/vectorbase/app/record/gene/AGAP029358","AGAP029358-RA")</f>
        <v>AGAP029358-RA</v>
      </c>
      <c r="DI130" s="2" t="s">
        <v>135</v>
      </c>
      <c r="DJ130" s="2">
        <v>3872</v>
      </c>
      <c r="DK130" s="2" t="str">
        <f>HYPERLINK(".\links\netoglyc\AGAP029358-PA-netoglyc.txt","0")</f>
        <v>0</v>
      </c>
      <c r="DL130" s="2">
        <v>11.9</v>
      </c>
      <c r="DM130" s="2">
        <v>3.2</v>
      </c>
      <c r="DN130" s="2">
        <v>2.5</v>
      </c>
      <c r="DO130" s="2" t="s">
        <v>104</v>
      </c>
      <c r="DP130" s="2" t="s">
        <v>1529</v>
      </c>
      <c r="DQ130" s="2" t="str">
        <f>HYPERLINK(".\links\Sigp\AGAP029358-PA-SigP.txt","CYT")</f>
        <v>CYT</v>
      </c>
      <c r="DR130" s="2" t="s">
        <v>102</v>
      </c>
      <c r="DS130" s="2">
        <v>142.97800000000001</v>
      </c>
      <c r="DT130" s="2">
        <v>5.79</v>
      </c>
      <c r="DU130" s="2" t="s">
        <v>102</v>
      </c>
      <c r="DV130" s="2" t="s">
        <v>102</v>
      </c>
      <c r="DW130" s="2" t="s">
        <v>1521</v>
      </c>
      <c r="DX130" s="2">
        <v>1232</v>
      </c>
      <c r="DY130" s="12">
        <v>0</v>
      </c>
      <c r="DZ130" s="2" t="s">
        <v>102</v>
      </c>
      <c r="EA130" s="2" t="s">
        <v>102</v>
      </c>
      <c r="EB130" s="2" t="s">
        <v>102</v>
      </c>
      <c r="EC130" s="2" t="str">
        <f>HYPERLINK(".\links\gpi\AGAP029358-PA-gpi.txt","N")</f>
        <v>N</v>
      </c>
      <c r="ED130" s="2">
        <v>0.28999999999999998</v>
      </c>
      <c r="EF130" s="2">
        <v>30</v>
      </c>
      <c r="EG130" s="2" t="str">
        <f>HYPERLINK(".\links\pep\AGAP029358-PA-sulf.txt","3")</f>
        <v>3</v>
      </c>
      <c r="EH130" s="2" t="s">
        <v>102</v>
      </c>
      <c r="EI130" s="2">
        <v>11.8506493506494</v>
      </c>
      <c r="EJ130" s="2">
        <v>2.5162337662337699</v>
      </c>
      <c r="EK130" s="2">
        <v>3.2467532467532498</v>
      </c>
      <c r="EL130" s="2">
        <v>5.7629870129870104</v>
      </c>
      <c r="EM130" s="2">
        <v>1</v>
      </c>
      <c r="EN130" s="2">
        <v>2</v>
      </c>
      <c r="EO130" s="2">
        <v>2</v>
      </c>
      <c r="EP130" s="2" t="s">
        <v>102</v>
      </c>
      <c r="EQ130" s="2" t="s">
        <v>102</v>
      </c>
      <c r="ER130" s="2" t="s">
        <v>102</v>
      </c>
      <c r="ES130" s="2" t="s">
        <v>102</v>
      </c>
      <c r="ET130" s="2" t="str">
        <f>HYPERLINK(".\links\REFSEQ-INVERTEBRATE\AGAP029358-PA-REFSEQ-INVERTEBRATE.txt","uncharacterized protein LOC118511877")</f>
        <v>uncharacterized protein LOC118511877</v>
      </c>
      <c r="EU130" s="2" t="str">
        <f>HYPERLINK("http://www.ncbi.nlm.nih.gov/sutils/blink.cgi?pid=XP_035911393.1","0.0")</f>
        <v>0.0</v>
      </c>
      <c r="EV130" s="2" t="str">
        <f>HYPERLINK("http://www.ncbi.nlm.nih.gov/protein/XP_035911393.1","XP_035911393.1")</f>
        <v>XP_035911393.1</v>
      </c>
      <c r="EW130" s="2">
        <v>53</v>
      </c>
      <c r="EX130" s="2">
        <v>70</v>
      </c>
      <c r="EY130" s="2">
        <v>100</v>
      </c>
      <c r="EZ130" s="2" t="s">
        <v>370</v>
      </c>
    </row>
    <row r="131" spans="1:156" x14ac:dyDescent="0.25">
      <c r="A131" s="2" t="s">
        <v>1530</v>
      </c>
      <c r="B131" s="2">
        <v>0.35601821224867503</v>
      </c>
      <c r="C131" s="2">
        <f t="shared" si="2"/>
        <v>1.2798885707597607</v>
      </c>
      <c r="D131" s="2">
        <v>5.8981537710977703</v>
      </c>
      <c r="E131" s="2">
        <v>10.814852510954299</v>
      </c>
      <c r="F131" s="2">
        <v>1.00689045470913E-3</v>
      </c>
      <c r="G131" s="2">
        <v>3.2217225425839199E-2</v>
      </c>
      <c r="H131" s="2" t="s">
        <v>1531</v>
      </c>
      <c r="I131" s="2" t="s">
        <v>94</v>
      </c>
      <c r="J131" s="2" t="str">
        <f>HYPERLINK("https://vectorbase.org/vectorbase/app/record/gene/AGAP005314","AGAP005314-RA")</f>
        <v>AGAP005314-RA</v>
      </c>
      <c r="K131" s="2" t="str">
        <f>HYPERLINK(".\links\pep\AGAP005314-PA-pep.txt","AGAP005314-PA")</f>
        <v>AGAP005314-PA</v>
      </c>
      <c r="L131" s="12" t="s">
        <v>95</v>
      </c>
      <c r="M131" s="2">
        <v>79</v>
      </c>
      <c r="N131" s="2">
        <v>0</v>
      </c>
      <c r="O131" s="2">
        <v>0</v>
      </c>
      <c r="P131" s="2" t="s">
        <v>1532</v>
      </c>
      <c r="Q131" s="9" t="s">
        <v>1533</v>
      </c>
      <c r="R131" s="2" t="s">
        <v>420</v>
      </c>
      <c r="S131" s="2" t="str">
        <f>HYPERLINK(".\links\KOG\AGAP005314-PA-KOG.txt","KOG")</f>
        <v>KOG</v>
      </c>
      <c r="T131" s="2">
        <v>3E-34</v>
      </c>
      <c r="U131" s="2">
        <v>100</v>
      </c>
      <c r="V131" s="2" t="s">
        <v>1534</v>
      </c>
      <c r="W131" s="10" t="s">
        <v>1535</v>
      </c>
      <c r="X131" s="2" t="s">
        <v>420</v>
      </c>
      <c r="Y131" s="2" t="str">
        <f>HYPERLINK(".\links\KOG\AGAP005314-PA-KOG.txt","KOG")</f>
        <v>KOG</v>
      </c>
      <c r="Z131" s="15">
        <v>7.0000000000000003E-40</v>
      </c>
      <c r="AA131" s="2">
        <v>98</v>
      </c>
      <c r="AB131" s="13" t="str">
        <f>HYPERLINK(".\links\pep\AGAP005314-PA-sulf.txt","1")</f>
        <v>1</v>
      </c>
      <c r="AC131" s="13" t="str">
        <f>HYPERLINK(".\links\Sigp\AGAP005314-PA-SigP.txt","CYT")</f>
        <v>CYT</v>
      </c>
      <c r="AD131" s="2" t="s">
        <v>102</v>
      </c>
      <c r="AE131" s="2">
        <v>8.984</v>
      </c>
      <c r="AF131" s="2">
        <v>9.4600000000000009</v>
      </c>
      <c r="AG131" s="2" t="s">
        <v>102</v>
      </c>
      <c r="AH131" s="2" t="s">
        <v>102</v>
      </c>
      <c r="AI131" s="2" t="s">
        <v>211</v>
      </c>
      <c r="AJ131" s="13">
        <v>0</v>
      </c>
      <c r="AK131" s="2" t="s">
        <v>102</v>
      </c>
      <c r="AL131" s="2" t="s">
        <v>102</v>
      </c>
      <c r="AM131" s="2" t="s">
        <v>102</v>
      </c>
      <c r="AN131" s="13" t="str">
        <f>HYPERLINK(".\links\gpi\AGAP005314-PA-gpi.txt","N")</f>
        <v>N</v>
      </c>
      <c r="AO131" s="14" t="str">
        <f>HYPERLINK(".\links\netoglyc\AGAP005314-PA-netoglyc.txt","0")</f>
        <v>0</v>
      </c>
      <c r="AP131" s="13">
        <v>7.6</v>
      </c>
      <c r="AQ131" s="2">
        <v>8.9</v>
      </c>
      <c r="AR131" s="2">
        <v>1.3</v>
      </c>
      <c r="AS131" s="2" t="s">
        <v>104</v>
      </c>
      <c r="AT131" s="9" t="str">
        <f>HYPERLINK(".\links\NR-LIGHT\AGAP005314-PA-NR-LIGHT.txt","AGAP005314-PA")</f>
        <v>AGAP005314-PA</v>
      </c>
      <c r="AU131" s="2" t="str">
        <f>HYPERLINK("http://www.ncbi.nlm.nih.gov/sutils/blink.cgi?pid=XP_315329.2","2E-038")</f>
        <v>2E-038</v>
      </c>
      <c r="AV131" s="2" t="str">
        <f>HYPERLINK("http://www.ncbi.nlm.nih.gov/protein/XP_315329.2","XP_315329.2")</f>
        <v>XP_315329.2</v>
      </c>
      <c r="AW131" s="2">
        <v>100</v>
      </c>
      <c r="AX131" s="2">
        <v>100</v>
      </c>
      <c r="AY131" s="2">
        <v>100</v>
      </c>
      <c r="AZ131" s="2" t="s">
        <v>105</v>
      </c>
      <c r="BA131" s="9" t="str">
        <f>HYPERLINK(".\links\REFSEQ-INVERTEBRATE\AGAP005314-PA-REFSEQ-INVERTEBRATE.txt","U6 snRNA-associated Sm-like protein LSm6")</f>
        <v>U6 snRNA-associated Sm-like protein LSm6</v>
      </c>
      <c r="BB131" s="2" t="str">
        <f>HYPERLINK("http://www.ncbi.nlm.nih.gov/sutils/blink.cgi?pid=XP_005179000.1","2E-038")</f>
        <v>2E-038</v>
      </c>
      <c r="BC131" s="2" t="str">
        <f>HYPERLINK("http://www.ncbi.nlm.nih.gov/protein/XP_005179000.1","XP_005179000.1")</f>
        <v>XP_005179000.1</v>
      </c>
      <c r="BD131" s="2">
        <v>100</v>
      </c>
      <c r="BE131" s="2">
        <v>100</v>
      </c>
      <c r="BF131" s="2">
        <v>100</v>
      </c>
      <c r="BG131" s="2" t="s">
        <v>1536</v>
      </c>
      <c r="BH131" s="9" t="str">
        <f>HYPERLINK(".\links\REFSEQ-PROTOZOA\AGAP005314-PA-REFSEQ-PROTOZOA.txt","hypothetical protein GUITHDRAFT_157136")</f>
        <v>hypothetical protein GUITHDRAFT_157136</v>
      </c>
      <c r="BI131" s="2" t="str">
        <f>HYPERLINK("http://www.ncbi.nlm.nih.gov/sutils/blink.cgi?pid=XP_005839369.1","9E-029")</f>
        <v>9E-029</v>
      </c>
      <c r="BJ131" s="2" t="str">
        <f>HYPERLINK("http://www.ncbi.nlm.nih.gov/protein/XP_005839369.1","XP_005839369.1")</f>
        <v>XP_005839369.1</v>
      </c>
      <c r="BK131" s="2">
        <v>81</v>
      </c>
      <c r="BL131" s="2">
        <v>95</v>
      </c>
      <c r="BM131" s="2">
        <v>85</v>
      </c>
      <c r="BN131" s="2" t="s">
        <v>279</v>
      </c>
      <c r="BO131" s="9" t="str">
        <f>HYPERLINK(".\links\SWISSP\AGAP005314-PA-SWISSP.txt","U6 snRNA-associated Sm-like protein LSm6")</f>
        <v>U6 snRNA-associated Sm-like protein LSm6</v>
      </c>
      <c r="BP131" s="2" t="str">
        <f>HYPERLINK("http://www.uniprot.org/uniprot/P62313","3E-033")</f>
        <v>3E-033</v>
      </c>
      <c r="BQ131" s="2" t="str">
        <f>HYPERLINK("http://www.uniprot.org/uniprot/P62313#expression","P62313")</f>
        <v>P62313</v>
      </c>
      <c r="BR131" s="2">
        <v>88</v>
      </c>
      <c r="BS131" s="2">
        <v>93</v>
      </c>
      <c r="BT131" s="2">
        <v>96</v>
      </c>
      <c r="BU131" s="2" t="s">
        <v>662</v>
      </c>
      <c r="BV131" s="9" t="str">
        <f>HYPERLINK(".\links\FLYBASE\AGAP005314-PA-FLYBASE.txt","FBpp0071449")</f>
        <v>FBpp0071449</v>
      </c>
      <c r="BW131" s="2" t="str">
        <f>HYPERLINK("http://flybase.org/reports/FBgn0034564#alliance_summary_container","6E-52")</f>
        <v>6E-52</v>
      </c>
      <c r="BX131" s="2">
        <v>79</v>
      </c>
      <c r="BY131" s="2">
        <v>94</v>
      </c>
      <c r="BZ131" s="2">
        <v>97</v>
      </c>
      <c r="CA131" s="2">
        <v>100</v>
      </c>
      <c r="CB131" s="9" t="str">
        <f>HYPERLINK(".\links\CDD\AGAP005314-PA-CDD.txt","LSm6, Like-Sm protein 6")</f>
        <v>LSm6, Like-Sm protein 6</v>
      </c>
      <c r="CC131" s="15">
        <v>4.9999999999999997E-30</v>
      </c>
      <c r="CD131" s="2">
        <v>97.1</v>
      </c>
      <c r="CE131" s="2" t="s">
        <v>1537</v>
      </c>
      <c r="CF131" s="2" t="s">
        <v>1538</v>
      </c>
      <c r="CG131" s="9" t="str">
        <f>HYPERLINK(".\links\KOG\AGAP005314-PA-KOG.txt","Small nuclear ribonucleoprotein F")</f>
        <v>Small nuclear ribonucleoprotein F</v>
      </c>
      <c r="CH131" s="15">
        <v>3E-34</v>
      </c>
      <c r="CI131" s="2">
        <v>100</v>
      </c>
      <c r="CJ131" s="2" t="s">
        <v>1539</v>
      </c>
      <c r="CK131" s="2" t="s">
        <v>722</v>
      </c>
      <c r="CL131" s="9" t="str">
        <f>HYPERLINK(".\links\PFAM\AGAP005314-PA-PFAM.txt","LSM, LSM domain")</f>
        <v>LSM, LSM domain</v>
      </c>
      <c r="CM131" s="15">
        <v>2.0000000000000001E-13</v>
      </c>
      <c r="CN131" s="2">
        <v>97</v>
      </c>
      <c r="CO131" s="2" t="s">
        <v>1540</v>
      </c>
      <c r="CP131" s="9" t="str">
        <f>HYPERLINK(".\links\SMART\AGAP005314-PA-SMART.txt","Sm, snRNP Sm proteins")</f>
        <v>Sm, snRNP Sm proteins</v>
      </c>
      <c r="CQ131" s="15">
        <v>4.0000000000000003E-15</v>
      </c>
      <c r="CR131" s="2">
        <v>97</v>
      </c>
      <c r="CS131" s="2" t="s">
        <v>1541</v>
      </c>
      <c r="CT131" s="2" t="s">
        <v>1534</v>
      </c>
      <c r="CU131" s="2" t="s">
        <v>1534</v>
      </c>
      <c r="CV131" s="2" t="s">
        <v>1534</v>
      </c>
      <c r="CW131" s="2" t="str">
        <f>HYPERLINK(".\links\pep\AGAP005314-PA-pep.txt","AGAP005314-PA")</f>
        <v>AGAP005314-PA</v>
      </c>
      <c r="CX131" s="2" t="s">
        <v>95</v>
      </c>
      <c r="CY131" s="2">
        <v>79</v>
      </c>
      <c r="CZ131" s="2" t="s">
        <v>113</v>
      </c>
      <c r="DA131" s="2" t="s">
        <v>1542</v>
      </c>
      <c r="DB131" s="2">
        <v>0</v>
      </c>
      <c r="DC131" s="2">
        <v>0</v>
      </c>
      <c r="DD131" s="2" t="str">
        <f>HYPERLINK("https://www.kegg.jp/kegg-bin/search_pathway_text?map=aga&amp;keyword=AGAP005314&amp;mode=1&amp;viewImage=true","AGAP005314")</f>
        <v>AGAP005314</v>
      </c>
      <c r="DE131" s="2" t="s">
        <v>1530</v>
      </c>
      <c r="DF131" s="2" t="s">
        <v>1531</v>
      </c>
      <c r="DG131" s="2" t="s">
        <v>94</v>
      </c>
      <c r="DH131" s="2" t="str">
        <f>HYPERLINK("https://vectorbase.org/vectorbase/app/record/gene/AGAP005314","AGAP005314-RA")</f>
        <v>AGAP005314-RA</v>
      </c>
      <c r="DI131" s="2" t="s">
        <v>118</v>
      </c>
      <c r="DJ131" s="2">
        <v>376</v>
      </c>
      <c r="DK131" s="2" t="str">
        <f>HYPERLINK(".\links\netoglyc\AGAP005314-PA-netoglyc.txt","0")</f>
        <v>0</v>
      </c>
      <c r="DL131" s="2">
        <v>7.6</v>
      </c>
      <c r="DM131" s="2">
        <v>8.9</v>
      </c>
      <c r="DN131" s="2">
        <v>1.3</v>
      </c>
      <c r="DO131" s="2" t="s">
        <v>104</v>
      </c>
      <c r="DP131" s="2" t="s">
        <v>102</v>
      </c>
      <c r="DQ131" s="2" t="str">
        <f>HYPERLINK(".\links\Sigp\AGAP005314-PA-SigP.txt","CYT")</f>
        <v>CYT</v>
      </c>
      <c r="DR131" s="2" t="s">
        <v>102</v>
      </c>
      <c r="DS131" s="2">
        <v>8.984</v>
      </c>
      <c r="DT131" s="2">
        <v>9.4600000000000009</v>
      </c>
      <c r="DU131" s="2" t="s">
        <v>102</v>
      </c>
      <c r="DV131" s="2" t="s">
        <v>102</v>
      </c>
      <c r="DW131" s="2" t="s">
        <v>211</v>
      </c>
      <c r="DX131" s="2">
        <v>79</v>
      </c>
      <c r="DY131" s="12">
        <v>0</v>
      </c>
      <c r="DZ131" s="2" t="s">
        <v>102</v>
      </c>
      <c r="EA131" s="2" t="s">
        <v>102</v>
      </c>
      <c r="EB131" s="2" t="s">
        <v>102</v>
      </c>
      <c r="EC131" s="2" t="str">
        <f>HYPERLINK(".\links\gpi\AGAP005314-PA-gpi.txt","N")</f>
        <v>N</v>
      </c>
      <c r="ED131" s="2">
        <v>0.4</v>
      </c>
      <c r="EF131" s="2">
        <v>1</v>
      </c>
      <c r="EG131" s="2" t="str">
        <f>HYPERLINK(".\links\pep\AGAP005314-PA-sulf.txt","1")</f>
        <v>1</v>
      </c>
      <c r="EH131" s="2" t="s">
        <v>102</v>
      </c>
      <c r="EI131" s="2">
        <v>7.59493670886076</v>
      </c>
      <c r="EJ131" s="2">
        <v>1.26582278481013</v>
      </c>
      <c r="EK131" s="2">
        <v>8.8607594936708907</v>
      </c>
      <c r="EL131" s="2">
        <v>10.126582278480999</v>
      </c>
      <c r="EM131" s="2" t="s">
        <v>102</v>
      </c>
      <c r="EN131" s="2" t="s">
        <v>102</v>
      </c>
      <c r="EO131" s="2" t="s">
        <v>102</v>
      </c>
      <c r="EP131" s="2" t="s">
        <v>102</v>
      </c>
      <c r="EQ131" s="2" t="s">
        <v>102</v>
      </c>
      <c r="ER131" s="2" t="s">
        <v>102</v>
      </c>
      <c r="ES131" s="2" t="s">
        <v>102</v>
      </c>
      <c r="ET131" s="2" t="str">
        <f>HYPERLINK(".\links\REFSEQ-INVERTEBRATE\AGAP005314-PA-REFSEQ-INVERTEBRATE.txt","U6 snRNA-associated Sm-like protein LSm6")</f>
        <v>U6 snRNA-associated Sm-like protein LSm6</v>
      </c>
      <c r="EU131" s="2" t="str">
        <f>HYPERLINK("http://www.ncbi.nlm.nih.gov/sutils/blink.cgi?pid=XP_013112899.1","3E-52")</f>
        <v>3E-52</v>
      </c>
      <c r="EV131" s="2" t="str">
        <f>HYPERLINK("http://www.ncbi.nlm.nih.gov/protein/XP_013112899.1","XP_013112899.1")</f>
        <v>XP_013112899.1</v>
      </c>
      <c r="EW131" s="2">
        <v>100</v>
      </c>
      <c r="EX131" s="2">
        <v>100</v>
      </c>
      <c r="EY131" s="2">
        <v>68</v>
      </c>
      <c r="EZ131" s="2" t="s">
        <v>1543</v>
      </c>
    </row>
    <row r="132" spans="1:156" x14ac:dyDescent="0.25">
      <c r="A132" s="2" t="s">
        <v>1544</v>
      </c>
      <c r="B132" s="2">
        <v>0.35396367442717902</v>
      </c>
      <c r="C132" s="2">
        <f t="shared" si="2"/>
        <v>1.2780671823847365</v>
      </c>
      <c r="D132" s="2">
        <v>7.8060627397054603</v>
      </c>
      <c r="E132" s="2">
        <v>20.092875903560898</v>
      </c>
      <c r="F132" s="2">
        <v>7.3770956022404498E-6</v>
      </c>
      <c r="G132" s="2">
        <v>3.1540070970808398E-3</v>
      </c>
      <c r="H132" s="2" t="s">
        <v>93</v>
      </c>
      <c r="I132" s="2" t="s">
        <v>94</v>
      </c>
      <c r="J132" s="2" t="str">
        <f>HYPERLINK("https://vectorbase.org/vectorbase/app/record/gene/AGAP007725","AGAP007725-RA")</f>
        <v>AGAP007725-RA</v>
      </c>
      <c r="K132" s="2" t="str">
        <f>HYPERLINK(".\links\pep\AGAP007725-PA-pep.txt","AGAP007725-PA")</f>
        <v>AGAP007725-PA</v>
      </c>
      <c r="L132" s="12" t="s">
        <v>95</v>
      </c>
      <c r="M132" s="2">
        <v>925</v>
      </c>
      <c r="N132" s="2">
        <v>0</v>
      </c>
      <c r="O132" s="2">
        <v>1</v>
      </c>
      <c r="P132" s="2" t="s">
        <v>102</v>
      </c>
      <c r="Q132" s="9" t="s">
        <v>1545</v>
      </c>
      <c r="R132" s="2" t="s">
        <v>822</v>
      </c>
      <c r="S132" s="2" t="str">
        <f>HYPERLINK(".\links\KOG\AGAP007725-PA-KOG.txt","KOG")</f>
        <v>KOG</v>
      </c>
      <c r="T132" s="2">
        <v>3.0000000000000002E-55</v>
      </c>
      <c r="U132" s="2">
        <v>78.7</v>
      </c>
      <c r="V132" s="2" t="s">
        <v>1546</v>
      </c>
      <c r="W132" s="10" t="s">
        <v>1547</v>
      </c>
      <c r="X132" s="2" t="s">
        <v>822</v>
      </c>
      <c r="Y132" s="2" t="str">
        <f>HYPERLINK(".\links\REFSEQVERTEBRATE95\AGAP007725-PA-REFSEQVERTEBRATE95.txt","REFSEQVERTEBRATE95")</f>
        <v>REFSEQVERTEBRATE95</v>
      </c>
      <c r="Z132" s="2">
        <v>0</v>
      </c>
      <c r="AA132" s="2">
        <v>103.6</v>
      </c>
      <c r="AB132" s="13" t="s">
        <v>102</v>
      </c>
      <c r="AC132" s="13" t="str">
        <f>HYPERLINK(".\links\Sigp\AGAP007725-PA-SigP.txt","CYT")</f>
        <v>CYT</v>
      </c>
      <c r="AD132" s="2" t="s">
        <v>102</v>
      </c>
      <c r="AE132" s="2">
        <v>101.267</v>
      </c>
      <c r="AF132" s="2">
        <v>9.14</v>
      </c>
      <c r="AG132" s="2" t="s">
        <v>102</v>
      </c>
      <c r="AH132" s="2" t="s">
        <v>102</v>
      </c>
      <c r="AI132" s="2" t="s">
        <v>336</v>
      </c>
      <c r="AJ132" s="13">
        <v>0</v>
      </c>
      <c r="AK132" s="2" t="s">
        <v>102</v>
      </c>
      <c r="AL132" s="2" t="s">
        <v>102</v>
      </c>
      <c r="AM132" s="2" t="s">
        <v>102</v>
      </c>
      <c r="AN132" s="13" t="str">
        <f>HYPERLINK(".\links\gpi\AGAP007725-PA-gpi.txt","N")</f>
        <v>N</v>
      </c>
      <c r="AO132" s="14" t="str">
        <f>HYPERLINK(".\links\netoglyc\AGAP007725-PA-netoglyc.txt","4")</f>
        <v>4</v>
      </c>
      <c r="AP132" s="13">
        <v>17.899999999999999</v>
      </c>
      <c r="AQ132" s="2">
        <v>7.9</v>
      </c>
      <c r="AR132" s="2">
        <v>4.9000000000000004</v>
      </c>
      <c r="AS132" s="2" t="s">
        <v>104</v>
      </c>
      <c r="AT132" s="9" t="str">
        <f>HYPERLINK(".\links\NR-LIGHT\AGAP007725-PA-NR-LIGHT.txt","AGAP007725-PA")</f>
        <v>AGAP007725-PA</v>
      </c>
      <c r="AU132" s="2" t="str">
        <f>HYPERLINK("http://www.ncbi.nlm.nih.gov/sutils/blink.cgi?pid=XP_308151.4","0.0")</f>
        <v>0.0</v>
      </c>
      <c r="AV132" s="2" t="str">
        <f>HYPERLINK("http://www.ncbi.nlm.nih.gov/protein/XP_308151.4","XP_308151.4")</f>
        <v>XP_308151.4</v>
      </c>
      <c r="AW132" s="2">
        <v>96</v>
      </c>
      <c r="AX132" s="2">
        <v>96</v>
      </c>
      <c r="AY132" s="2">
        <v>104</v>
      </c>
      <c r="AZ132" s="2" t="s">
        <v>105</v>
      </c>
      <c r="BA132" s="9" t="str">
        <f>HYPERLINK(".\links\REFSEQ-INVERTEBRATE\AGAP007725-PA-REFSEQ-INVERTEBRATE.txt","AGAP007725-PA")</f>
        <v>AGAP007725-PA</v>
      </c>
      <c r="BB132" s="2" t="str">
        <f>HYPERLINK("http://www.ncbi.nlm.nih.gov/sutils/blink.cgi?pid=XP_308151.4","0.0")</f>
        <v>0.0</v>
      </c>
      <c r="BC132" s="2" t="str">
        <f>HYPERLINK("http://www.ncbi.nlm.nih.gov/protein/XP_308151.4","XP_308151.4")</f>
        <v>XP_308151.4</v>
      </c>
      <c r="BD132" s="2">
        <v>96</v>
      </c>
      <c r="BE132" s="2">
        <v>96</v>
      </c>
      <c r="BF132" s="2">
        <v>104</v>
      </c>
      <c r="BG132" s="2" t="s">
        <v>105</v>
      </c>
      <c r="BH132" s="9" t="str">
        <f>HYPERLINK(".\links\REFSEQ-PROTOZOA\AGAP007725-PA-REFSEQ-PROTOZOA.txt","hypothetical protein SARC_08548, partial")</f>
        <v>hypothetical protein SARC_08548, partial</v>
      </c>
      <c r="BI132" s="2" t="str">
        <f>HYPERLINK("http://www.ncbi.nlm.nih.gov/sutils/blink.cgi?pid=XP_014152945.1","6E-055")</f>
        <v>6E-055</v>
      </c>
      <c r="BJ132" s="2" t="str">
        <f>HYPERLINK("http://www.ncbi.nlm.nih.gov/protein/XP_014152945.1","XP_014152945.1")</f>
        <v>XP_014152945.1</v>
      </c>
      <c r="BK132" s="2">
        <v>36</v>
      </c>
      <c r="BL132" s="2">
        <v>55</v>
      </c>
      <c r="BM132" s="2">
        <v>42</v>
      </c>
      <c r="BN132" s="2" t="s">
        <v>393</v>
      </c>
      <c r="BO132" s="9" t="str">
        <f>HYPERLINK(".\links\SWISSP\AGAP007725-PA-SWISSP.txt","E3 ubiquitin-protein ligase ZNF598")</f>
        <v>E3 ubiquitin-protein ligase ZNF598</v>
      </c>
      <c r="BP132" s="2" t="str">
        <f>HYPERLINK("http://www.uniprot.org/uniprot/Q6PFK1","1E-109")</f>
        <v>1E-109</v>
      </c>
      <c r="BQ132" s="2" t="str">
        <f>HYPERLINK("http://www.uniprot.org/uniprot/Q6PFK1#expression","Q6PFK1")</f>
        <v>Q6PFK1</v>
      </c>
      <c r="BR132" s="2">
        <v>30</v>
      </c>
      <c r="BS132" s="2">
        <v>46</v>
      </c>
      <c r="BT132" s="2">
        <v>101</v>
      </c>
      <c r="BU132" s="2" t="s">
        <v>213</v>
      </c>
      <c r="BV132" s="9" t="str">
        <f>HYPERLINK(".\links\FLYBASE\AGAP007725-PA-FLYBASE.txt","FBpp0072214")</f>
        <v>FBpp0072214</v>
      </c>
      <c r="BW132" s="2" t="str">
        <f>HYPERLINK("http://flybase.org/reports/FBgn0035024#alliance_summary_container","0.0")</f>
        <v>0.0</v>
      </c>
      <c r="BX132" s="2">
        <v>867</v>
      </c>
      <c r="BY132" s="2">
        <v>41</v>
      </c>
      <c r="BZ132" s="2">
        <v>55</v>
      </c>
      <c r="CA132" s="2">
        <v>105</v>
      </c>
      <c r="CB132" s="9" t="str">
        <f>HYPERLINK(".\links\CDD\AGAP007725-PA-CDD.txt","COG5236, Uncharacterized conserved protein, contains RING Zn-finger")</f>
        <v>COG5236, Uncharacterized conserved protein, contains RING Zn-finger</v>
      </c>
      <c r="CC132" s="15">
        <v>9.9999999999999995E-45</v>
      </c>
      <c r="CD132" s="2">
        <v>66.099999999999994</v>
      </c>
      <c r="CE132" s="2" t="s">
        <v>1548</v>
      </c>
      <c r="CF132" s="2" t="s">
        <v>1549</v>
      </c>
      <c r="CG132" s="9" t="str">
        <f>HYPERLINK(".\links\KOG\AGAP007725-PA-KOG.txt","Predicted E3 ubiquitin ligase")</f>
        <v>Predicted E3 ubiquitin ligase</v>
      </c>
      <c r="CH132" s="15">
        <v>3.0000000000000002E-55</v>
      </c>
      <c r="CI132" s="2">
        <v>78.8</v>
      </c>
      <c r="CJ132" s="2" t="s">
        <v>1550</v>
      </c>
      <c r="CK132" s="2" t="s">
        <v>111</v>
      </c>
      <c r="CL132" s="9" t="str">
        <f>HYPERLINK(".\links\PFAM\AGAP007725-PA-PFAM.txt","zf-C3HC4_3, Zinc finger, C3HC4 type (RING finger)")</f>
        <v>zf-C3HC4_3, Zinc finger, C3HC4 type (RING finger)</v>
      </c>
      <c r="CM132" s="15">
        <v>2.9999999999999997E-8</v>
      </c>
      <c r="CN132" s="2">
        <v>102</v>
      </c>
      <c r="CO132" s="2" t="s">
        <v>1551</v>
      </c>
      <c r="CP132" s="9" t="str">
        <f>HYPERLINK(".\links\SMART\AGAP007725-PA-SMART.txt","RING, Ring finger")</f>
        <v>RING, Ring finger</v>
      </c>
      <c r="CQ132" s="15">
        <v>2.9999999999999997E-4</v>
      </c>
      <c r="CR132" s="2">
        <v>102.5</v>
      </c>
      <c r="CS132" s="2" t="s">
        <v>827</v>
      </c>
      <c r="CT132" s="2" t="s">
        <v>1546</v>
      </c>
      <c r="CU132" s="2" t="s">
        <v>1546</v>
      </c>
      <c r="CV132" s="2" t="s">
        <v>1546</v>
      </c>
      <c r="CW132" s="2" t="str">
        <f>HYPERLINK(".\links\pep\AGAP007725-PA-pep.txt","AGAP007725-PA")</f>
        <v>AGAP007725-PA</v>
      </c>
      <c r="CX132" s="2" t="s">
        <v>95</v>
      </c>
      <c r="CY132" s="2">
        <v>925</v>
      </c>
      <c r="CZ132" s="2" t="s">
        <v>113</v>
      </c>
      <c r="DA132" s="2" t="s">
        <v>1552</v>
      </c>
      <c r="DB132" s="2">
        <v>0</v>
      </c>
      <c r="DC132" s="2">
        <v>1</v>
      </c>
      <c r="DD132" s="2" t="str">
        <f>HYPERLINK("https://www.kegg.jp/kegg-bin/search_pathway_text?map=aga&amp;keyword=AGAP007725&amp;mode=1&amp;viewImage=true","AGAP007725")</f>
        <v>AGAP007725</v>
      </c>
      <c r="DE132" s="2" t="s">
        <v>1544</v>
      </c>
      <c r="DF132" s="2" t="s">
        <v>93</v>
      </c>
      <c r="DG132" s="2" t="s">
        <v>94</v>
      </c>
      <c r="DH132" s="2" t="str">
        <f>HYPERLINK("https://vectorbase.org/vectorbase/app/record/gene/AGAP007725","AGAP007725-RA")</f>
        <v>AGAP007725-RA</v>
      </c>
      <c r="DI132" s="2" t="s">
        <v>118</v>
      </c>
      <c r="DJ132" s="2">
        <v>3706</v>
      </c>
      <c r="DK132" s="2" t="str">
        <f>HYPERLINK(".\links\netoglyc\AGAP007725-PA-netoglyc.txt","4")</f>
        <v>4</v>
      </c>
      <c r="DL132" s="2">
        <v>17.899999999999999</v>
      </c>
      <c r="DM132" s="2">
        <v>7.9</v>
      </c>
      <c r="DN132" s="2">
        <v>4.9000000000000004</v>
      </c>
      <c r="DO132" s="2" t="s">
        <v>104</v>
      </c>
      <c r="DP132" s="2" t="s">
        <v>1553</v>
      </c>
      <c r="DQ132" s="2" t="str">
        <f>HYPERLINK(".\links\Sigp\AGAP007725-PA-SigP.txt","CYT")</f>
        <v>CYT</v>
      </c>
      <c r="DR132" s="2" t="s">
        <v>102</v>
      </c>
      <c r="DS132" s="2">
        <v>101.267</v>
      </c>
      <c r="DT132" s="2">
        <v>9.14</v>
      </c>
      <c r="DU132" s="2" t="s">
        <v>102</v>
      </c>
      <c r="DV132" s="2" t="s">
        <v>102</v>
      </c>
      <c r="DW132" s="2" t="s">
        <v>336</v>
      </c>
      <c r="DX132" s="2">
        <v>925</v>
      </c>
      <c r="DY132" s="12">
        <v>0</v>
      </c>
      <c r="DZ132" s="2" t="s">
        <v>102</v>
      </c>
      <c r="EA132" s="2" t="s">
        <v>102</v>
      </c>
      <c r="EB132" s="2" t="s">
        <v>102</v>
      </c>
      <c r="EC132" s="2" t="str">
        <f>HYPERLINK(".\links\gpi\AGAP007725-PA-gpi.txt","N")</f>
        <v>N</v>
      </c>
      <c r="ED132" s="2">
        <v>0.21</v>
      </c>
      <c r="EF132" s="2">
        <v>25</v>
      </c>
      <c r="EG132" s="2" t="s">
        <v>102</v>
      </c>
      <c r="EH132" s="2" t="s">
        <v>102</v>
      </c>
      <c r="EI132" s="2">
        <v>17.945945945945901</v>
      </c>
      <c r="EJ132" s="2">
        <v>4.8648648648648596</v>
      </c>
      <c r="EK132" s="2">
        <v>7.8918918918918903</v>
      </c>
      <c r="EL132" s="2">
        <v>12.756756756756801</v>
      </c>
      <c r="EM132" s="2">
        <v>4</v>
      </c>
      <c r="EN132" s="2">
        <v>3</v>
      </c>
      <c r="EO132" s="2">
        <v>3</v>
      </c>
      <c r="EP132" s="2" t="s">
        <v>102</v>
      </c>
      <c r="EQ132" s="2" t="s">
        <v>102</v>
      </c>
      <c r="ER132" s="2" t="s">
        <v>102</v>
      </c>
      <c r="ES132" s="2" t="s">
        <v>102</v>
      </c>
      <c r="ET132" s="2" t="str">
        <f>HYPERLINK(".\links\REFSEQ-INVERTEBRATE\AGAP007725-PA-REFSEQ-INVERTEBRATE.txt","AGAP007725-PA")</f>
        <v>AGAP007725-PA</v>
      </c>
      <c r="EU132" s="2" t="str">
        <f>HYPERLINK("http://www.ncbi.nlm.nih.gov/sutils/blink.cgi?pid=XP_308151.4","0.0")</f>
        <v>0.0</v>
      </c>
      <c r="EV132" s="2" t="str">
        <f>HYPERLINK("http://www.ncbi.nlm.nih.gov/protein/XP_308151.4","XP_308151.4")</f>
        <v>XP_308151.4</v>
      </c>
      <c r="EW132" s="2">
        <v>96</v>
      </c>
      <c r="EX132" s="2">
        <v>96</v>
      </c>
      <c r="EY132" s="2">
        <v>104</v>
      </c>
      <c r="EZ132" s="2" t="s">
        <v>105</v>
      </c>
    </row>
    <row r="133" spans="1:156" x14ac:dyDescent="0.25">
      <c r="A133" s="2" t="s">
        <v>1554</v>
      </c>
      <c r="B133" s="2">
        <v>0.35366817578253101</v>
      </c>
      <c r="C133" s="2">
        <f t="shared" si="2"/>
        <v>1.277805430292682</v>
      </c>
      <c r="D133" s="2">
        <v>11.656780741836</v>
      </c>
      <c r="E133" s="2">
        <v>10.803871708410499</v>
      </c>
      <c r="F133" s="2">
        <v>1.0128803829133799E-3</v>
      </c>
      <c r="G133" s="2">
        <v>3.2271640223223097E-2</v>
      </c>
      <c r="H133" s="2" t="s">
        <v>1555</v>
      </c>
      <c r="I133" s="2" t="s">
        <v>94</v>
      </c>
      <c r="J133" s="2" t="str">
        <f>HYPERLINK("https://vectorbase.org/vectorbase/app/record/gene/AGAP003331","AGAP003331-RA")</f>
        <v>AGAP003331-RA</v>
      </c>
      <c r="K133" s="2" t="str">
        <f>HYPERLINK(".\links\pep\AGAP003331-PA-pep.txt","AGAP003331-PA")</f>
        <v>AGAP003331-PA</v>
      </c>
      <c r="L133" s="12" t="s">
        <v>95</v>
      </c>
      <c r="M133" s="2">
        <v>801</v>
      </c>
      <c r="N133" s="2">
        <v>0</v>
      </c>
      <c r="O133" s="2">
        <v>0</v>
      </c>
      <c r="P133" s="2" t="s">
        <v>1556</v>
      </c>
      <c r="Q133" s="9" t="s">
        <v>1557</v>
      </c>
      <c r="R133" s="2" t="s">
        <v>1558</v>
      </c>
      <c r="S133" s="2" t="str">
        <f>HYPERLINK(".\links\KOG\AGAP003331-PA-KOG.txt","KOG")</f>
        <v>KOG</v>
      </c>
      <c r="T133" s="2">
        <v>3.0000000000000002E-66</v>
      </c>
      <c r="U133" s="2">
        <v>95.2</v>
      </c>
      <c r="V133" s="2" t="s">
        <v>1559</v>
      </c>
      <c r="W133" s="10" t="s">
        <v>183</v>
      </c>
      <c r="X133" s="2" t="s">
        <v>447</v>
      </c>
      <c r="Y133" s="2" t="str">
        <f>HYPERLINK(".\links\COG\AGAP003331-PA-COG.txt","COG")</f>
        <v>COG</v>
      </c>
      <c r="Z133" s="15">
        <v>1.9999999999999999E-48</v>
      </c>
      <c r="AA133" s="2">
        <v>106.9</v>
      </c>
      <c r="AB133" s="13" t="s">
        <v>102</v>
      </c>
      <c r="AC133" s="13" t="str">
        <f>HYPERLINK(".\links\Sigp\AGAP003331-PA-SigP.txt","CYT")</f>
        <v>CYT</v>
      </c>
      <c r="AD133" s="2" t="s">
        <v>102</v>
      </c>
      <c r="AE133" s="2">
        <v>88.323999999999998</v>
      </c>
      <c r="AF133" s="2">
        <v>4.5</v>
      </c>
      <c r="AG133" s="2" t="s">
        <v>102</v>
      </c>
      <c r="AH133" s="2" t="s">
        <v>102</v>
      </c>
      <c r="AI133" s="2" t="s">
        <v>823</v>
      </c>
      <c r="AJ133" s="13">
        <v>0</v>
      </c>
      <c r="AK133" s="2" t="s">
        <v>102</v>
      </c>
      <c r="AL133" s="2" t="s">
        <v>102</v>
      </c>
      <c r="AM133" s="2" t="s">
        <v>102</v>
      </c>
      <c r="AN133" s="13" t="str">
        <f>HYPERLINK(".\links\gpi\AGAP003331-PA-gpi.txt","N")</f>
        <v>N</v>
      </c>
      <c r="AO133" s="14" t="str">
        <f>HYPERLINK(".\links\netoglyc\AGAP003331-PA-netoglyc.txt","6")</f>
        <v>6</v>
      </c>
      <c r="AP133" s="13">
        <v>15.7</v>
      </c>
      <c r="AQ133" s="2">
        <v>5.0999999999999996</v>
      </c>
      <c r="AR133" s="2">
        <v>3.2</v>
      </c>
      <c r="AS133" s="2" t="s">
        <v>104</v>
      </c>
      <c r="AT133" s="9" t="str">
        <f>HYPERLINK(".\links\NR-LIGHT\AGAP003331-PA-NR-LIGHT.txt","AGAP003331-PA")</f>
        <v>AGAP003331-PA</v>
      </c>
      <c r="AU133" s="2" t="str">
        <f>HYPERLINK("http://www.ncbi.nlm.nih.gov/sutils/blink.cgi?pid=XP_314226.5","0.0")</f>
        <v>0.0</v>
      </c>
      <c r="AV133" s="2" t="str">
        <f>HYPERLINK("http://www.ncbi.nlm.nih.gov/protein/XP_314226.5","XP_314226.5")</f>
        <v>XP_314226.5</v>
      </c>
      <c r="AW133" s="2">
        <v>100</v>
      </c>
      <c r="AX133" s="2">
        <v>100</v>
      </c>
      <c r="AY133" s="2">
        <v>100</v>
      </c>
      <c r="AZ133" s="2" t="s">
        <v>105</v>
      </c>
      <c r="BA133" s="9" t="str">
        <f>HYPERLINK(".\links\REFSEQ-INVERTEBRATE\AGAP003331-PA-REFSEQ-INVERTEBRATE.txt","AGAP003331-PA")</f>
        <v>AGAP003331-PA</v>
      </c>
      <c r="BB133" s="2" t="str">
        <f>HYPERLINK("http://www.ncbi.nlm.nih.gov/sutils/blink.cgi?pid=XP_314226.5","0.0")</f>
        <v>0.0</v>
      </c>
      <c r="BC133" s="2" t="str">
        <f>HYPERLINK("http://www.ncbi.nlm.nih.gov/protein/XP_314226.5","XP_314226.5")</f>
        <v>XP_314226.5</v>
      </c>
      <c r="BD133" s="2">
        <v>100</v>
      </c>
      <c r="BE133" s="2">
        <v>100</v>
      </c>
      <c r="BF133" s="2">
        <v>100</v>
      </c>
      <c r="BG133" s="2" t="s">
        <v>105</v>
      </c>
      <c r="BH133" s="9" t="str">
        <f>HYPERLINK(".\links\REFSEQ-PROTOZOA\AGAP003331-PA-REFSEQ-PROTOZOA.txt","enolase-phosphatase E1")</f>
        <v>enolase-phosphatase E1</v>
      </c>
      <c r="BI133" s="2" t="str">
        <f>HYPERLINK("http://www.ncbi.nlm.nih.gov/sutils/blink.cgi?pid=XP_004990829.1","2E-056")</f>
        <v>2E-056</v>
      </c>
      <c r="BJ133" s="2" t="str">
        <f>HYPERLINK("http://www.ncbi.nlm.nih.gov/protein/XP_004990829.1","XP_004990829.1")</f>
        <v>XP_004990829.1</v>
      </c>
      <c r="BK133" s="2">
        <v>53</v>
      </c>
      <c r="BL133" s="2">
        <v>67</v>
      </c>
      <c r="BM133" s="2">
        <v>87</v>
      </c>
      <c r="BN133" s="2" t="s">
        <v>435</v>
      </c>
      <c r="BO133" s="9" t="str">
        <f>HYPERLINK(".\links\SWISSP\AGAP003331-PA-SWISSP.txt","Enolase-phosphatase E1")</f>
        <v>Enolase-phosphatase E1</v>
      </c>
      <c r="BP133" s="2" t="str">
        <f>HYPERLINK("http://www.uniprot.org/uniprot/Q7Q9C0","1E-162")</f>
        <v>1E-162</v>
      </c>
      <c r="BQ133" s="2" t="str">
        <f>HYPERLINK("http://www.uniprot.org/uniprot/Q7Q9C0#expression","Q7Q9C0")</f>
        <v>Q7Q9C0</v>
      </c>
      <c r="BR133" s="2">
        <v>98</v>
      </c>
      <c r="BS133" s="2">
        <v>98</v>
      </c>
      <c r="BT133" s="2">
        <v>100</v>
      </c>
      <c r="BU133" s="2" t="s">
        <v>249</v>
      </c>
      <c r="BV133" s="9" t="str">
        <f>HYPERLINK(".\links\FLYBASE\AGAP003331-PA-FLYBASE.txt","FBpp0078463")</f>
        <v>FBpp0078463</v>
      </c>
      <c r="BW133" s="2" t="str">
        <f>HYPERLINK("http://flybase.org/reports/FBgn0037305#alliance_summary_container","4E-61")</f>
        <v>4E-61</v>
      </c>
      <c r="BX133" s="2">
        <v>256</v>
      </c>
      <c r="BY133" s="2">
        <v>46</v>
      </c>
      <c r="BZ133" s="2">
        <v>67</v>
      </c>
      <c r="CA133" s="2">
        <v>95</v>
      </c>
      <c r="CB133" s="9" t="str">
        <f>HYPERLINK(".\links\CDD\AGAP003331-PA-CDD.txt","HAD_EP, Enolase-phosphatase similar to human enolase-phosphatase E1 and and Xanthomonas oryzae pv")</f>
        <v>HAD_EP, Enolase-phosphatase similar to human enolase-phosphatase E1 and and Xanthomonas oryzae pv</v>
      </c>
      <c r="CC133" s="15">
        <v>7.0000000000000004E-86</v>
      </c>
      <c r="CD133" s="2">
        <v>106.9</v>
      </c>
      <c r="CE133" s="2" t="s">
        <v>1560</v>
      </c>
      <c r="CF133" s="2" t="s">
        <v>1561</v>
      </c>
      <c r="CG133" s="9" t="str">
        <f>HYPERLINK(".\links\KOG\AGAP003331-PA-KOG.txt","Enolase-phosphatase E-1")</f>
        <v>Enolase-phosphatase E-1</v>
      </c>
      <c r="CH133" s="15">
        <v>3.0000000000000002E-66</v>
      </c>
      <c r="CI133" s="2">
        <v>95.3</v>
      </c>
      <c r="CJ133" s="2" t="s">
        <v>1562</v>
      </c>
      <c r="CK133" s="2" t="s">
        <v>267</v>
      </c>
      <c r="CL133" s="9" t="str">
        <f>HYPERLINK(".\links\PFAM\AGAP003331-PA-PFAM.txt","Hydrolase, haloacid dehalogenase-like hydrolase")</f>
        <v>Hydrolase, haloacid dehalogenase-like hydrolase</v>
      </c>
      <c r="CM133" s="15">
        <v>4.0000000000000001E-8</v>
      </c>
      <c r="CN133" s="2">
        <v>113.2</v>
      </c>
      <c r="CO133" s="2" t="s">
        <v>1563</v>
      </c>
      <c r="CP133" s="9" t="str">
        <f>HYPERLINK(".\links\SMART\AGAP003331-PA-SMART.txt","TOPEUc, DNA Topoisomerase I (eukaryota)")</f>
        <v>TOPEUc, DNA Topoisomerase I (eukaryota)</v>
      </c>
      <c r="CQ133" s="15">
        <v>1.7999999999999999E-2</v>
      </c>
      <c r="CR133" s="2">
        <v>34</v>
      </c>
      <c r="CS133" s="2" t="s">
        <v>709</v>
      </c>
      <c r="CT133" s="2" t="s">
        <v>1559</v>
      </c>
      <c r="CU133" s="2" t="s">
        <v>1559</v>
      </c>
      <c r="CV133" s="2" t="s">
        <v>1559</v>
      </c>
      <c r="CW133" s="2" t="str">
        <f>HYPERLINK(".\links\pep\AGAP003331-PA-pep.txt","AGAP003331-PA")</f>
        <v>AGAP003331-PA</v>
      </c>
      <c r="CX133" s="2" t="s">
        <v>95</v>
      </c>
      <c r="CY133" s="2">
        <v>801</v>
      </c>
      <c r="CZ133" s="2" t="s">
        <v>113</v>
      </c>
      <c r="DA133" s="2" t="s">
        <v>1564</v>
      </c>
      <c r="DB133" s="2">
        <v>0</v>
      </c>
      <c r="DC133" s="2">
        <v>0</v>
      </c>
      <c r="DD133" s="2" t="str">
        <f>HYPERLINK("https://www.kegg.jp/kegg-bin/search_pathway_text?map=aga&amp;keyword=AGAP003331&amp;mode=1&amp;viewImage=true","AGAP003331")</f>
        <v>AGAP003331</v>
      </c>
      <c r="DE133" s="2" t="s">
        <v>1554</v>
      </c>
      <c r="DF133" s="2" t="s">
        <v>1555</v>
      </c>
      <c r="DG133" s="2" t="s">
        <v>94</v>
      </c>
      <c r="DH133" s="2" t="str">
        <f>HYPERLINK("https://vectorbase.org/vectorbase/app/record/gene/AGAP003331","AGAP003331-RA")</f>
        <v>AGAP003331-RA</v>
      </c>
      <c r="DI133" s="2" t="s">
        <v>90</v>
      </c>
      <c r="DJ133" s="2">
        <v>3203</v>
      </c>
      <c r="DK133" s="2" t="str">
        <f>HYPERLINK(".\links\netoglyc\AGAP003331-PA-netoglyc.txt","6")</f>
        <v>6</v>
      </c>
      <c r="DL133" s="2">
        <v>15.7</v>
      </c>
      <c r="DM133" s="2">
        <v>5.0999999999999996</v>
      </c>
      <c r="DN133" s="2">
        <v>3.2</v>
      </c>
      <c r="DO133" s="2" t="s">
        <v>104</v>
      </c>
      <c r="DP133" s="2" t="s">
        <v>102</v>
      </c>
      <c r="DQ133" s="2" t="str">
        <f>HYPERLINK(".\links\Sigp\AGAP003331-PA-SigP.txt","CYT")</f>
        <v>CYT</v>
      </c>
      <c r="DR133" s="2" t="s">
        <v>102</v>
      </c>
      <c r="DS133" s="2">
        <v>88.323999999999998</v>
      </c>
      <c r="DT133" s="2">
        <v>4.5</v>
      </c>
      <c r="DU133" s="2" t="s">
        <v>102</v>
      </c>
      <c r="DV133" s="2" t="s">
        <v>102</v>
      </c>
      <c r="DW133" s="2" t="s">
        <v>823</v>
      </c>
      <c r="DX133" s="2">
        <v>801</v>
      </c>
      <c r="DY133" s="12">
        <v>0</v>
      </c>
      <c r="DZ133" s="2" t="s">
        <v>102</v>
      </c>
      <c r="EA133" s="2" t="s">
        <v>102</v>
      </c>
      <c r="EB133" s="2" t="s">
        <v>102</v>
      </c>
      <c r="EC133" s="2" t="str">
        <f>HYPERLINK(".\links\gpi\AGAP003331-PA-gpi.txt","N")</f>
        <v>N</v>
      </c>
      <c r="ED133" s="2">
        <v>0.56999999999999995</v>
      </c>
      <c r="EF133" s="2">
        <v>3</v>
      </c>
      <c r="EG133" s="2" t="s">
        <v>102</v>
      </c>
      <c r="EH133" s="2" t="s">
        <v>102</v>
      </c>
      <c r="EI133" s="2">
        <v>15.730337078651701</v>
      </c>
      <c r="EJ133" s="2">
        <v>3.2459425717852701</v>
      </c>
      <c r="EK133" s="2">
        <v>5.1186017478152301</v>
      </c>
      <c r="EL133" s="2">
        <v>8.3645443196004994</v>
      </c>
      <c r="EM133" s="2" t="s">
        <v>102</v>
      </c>
      <c r="EN133" s="2">
        <v>3</v>
      </c>
      <c r="EO133" s="2">
        <v>3</v>
      </c>
      <c r="EP133" s="2" t="s">
        <v>102</v>
      </c>
      <c r="EQ133" s="2" t="s">
        <v>102</v>
      </c>
      <c r="ER133" s="2" t="s">
        <v>102</v>
      </c>
      <c r="ES133" s="2" t="s">
        <v>102</v>
      </c>
      <c r="ET133" s="2" t="str">
        <f>HYPERLINK(".\links\REFSEQ-INVERTEBRATE\AGAP003331-PA-REFSEQ-INVERTEBRATE.txt","AGAP003331-PA")</f>
        <v>AGAP003331-PA</v>
      </c>
      <c r="EU133" s="2" t="str">
        <f>HYPERLINK("http://www.ncbi.nlm.nih.gov/sutils/blink.cgi?pid=XP_314226.5","0.0")</f>
        <v>0.0</v>
      </c>
      <c r="EV133" s="2" t="str">
        <f>HYPERLINK("http://www.ncbi.nlm.nih.gov/protein/XP_314226.5","XP_314226.5")</f>
        <v>XP_314226.5</v>
      </c>
      <c r="EW133" s="2">
        <v>100</v>
      </c>
      <c r="EX133" s="2">
        <v>100</v>
      </c>
      <c r="EY133" s="2">
        <v>100</v>
      </c>
      <c r="EZ133" s="2" t="s">
        <v>105</v>
      </c>
    </row>
    <row r="134" spans="1:156" x14ac:dyDescent="0.25">
      <c r="A134" s="2" t="s">
        <v>1565</v>
      </c>
      <c r="B134" s="2">
        <v>0.35236524101805899</v>
      </c>
      <c r="C134" s="2">
        <f t="shared" si="2"/>
        <v>1.2766519325049317</v>
      </c>
      <c r="D134" s="2">
        <v>7.6424803834069897</v>
      </c>
      <c r="E134" s="2">
        <v>10.7296743760658</v>
      </c>
      <c r="F134" s="2">
        <v>1.0543099784359601E-3</v>
      </c>
      <c r="G134" s="2">
        <v>3.2880458346476002E-2</v>
      </c>
      <c r="H134" s="2" t="s">
        <v>1566</v>
      </c>
      <c r="I134" s="2" t="s">
        <v>94</v>
      </c>
      <c r="J134" s="2" t="str">
        <f>HYPERLINK("https://vectorbase.org/vectorbase/app/record/gene/AGAP004699","AGAP004699-RA")</f>
        <v>AGAP004699-RA</v>
      </c>
      <c r="K134" s="2" t="str">
        <f>HYPERLINK(".\links\pep\AGAP004699-PA-pep.txt","AGAP004699-PA")</f>
        <v>AGAP004699-PA</v>
      </c>
      <c r="L134" s="12" t="s">
        <v>95</v>
      </c>
      <c r="M134" s="2">
        <v>685</v>
      </c>
      <c r="N134" s="2">
        <v>0</v>
      </c>
      <c r="O134" s="2">
        <v>1</v>
      </c>
      <c r="P134" s="2" t="s">
        <v>1567</v>
      </c>
      <c r="Q134" s="9" t="s">
        <v>1568</v>
      </c>
      <c r="R134" s="2" t="s">
        <v>355</v>
      </c>
      <c r="S134" s="2" t="str">
        <f>HYPERLINK(".\links\PFAM\AGAP004699-PA-PFAM.txt","PFAM")</f>
        <v>PFAM</v>
      </c>
      <c r="T134" s="2">
        <v>5.0000000000000001E-59</v>
      </c>
      <c r="U134" s="2">
        <v>102.3</v>
      </c>
      <c r="V134" s="2" t="s">
        <v>1569</v>
      </c>
      <c r="W134" s="10" t="s">
        <v>1570</v>
      </c>
      <c r="X134" s="2" t="s">
        <v>355</v>
      </c>
      <c r="Y134" s="2" t="str">
        <f>HYPERLINK(".\links\REFSEQVERTEBRATE95\AGAP004699-PA-REFSEQVERTEBRATE95.txt","REFSEQVERTEBRATE95")</f>
        <v>REFSEQVERTEBRATE95</v>
      </c>
      <c r="Z134" s="2">
        <v>0</v>
      </c>
      <c r="AA134" s="2">
        <v>94.6</v>
      </c>
      <c r="AB134" s="13" t="s">
        <v>102</v>
      </c>
      <c r="AC134" s="13" t="str">
        <f>HYPERLINK(".\links\Sigp\AGAP004699-PA-SigP.txt","CYT")</f>
        <v>CYT</v>
      </c>
      <c r="AD134" s="2" t="s">
        <v>102</v>
      </c>
      <c r="AE134" s="2">
        <v>78.347999999999999</v>
      </c>
      <c r="AF134" s="2">
        <v>7.79</v>
      </c>
      <c r="AG134" s="2" t="s">
        <v>102</v>
      </c>
      <c r="AH134" s="2" t="s">
        <v>102</v>
      </c>
      <c r="AI134" s="2" t="s">
        <v>482</v>
      </c>
      <c r="AJ134" s="13">
        <v>0</v>
      </c>
      <c r="AK134" s="2" t="s">
        <v>102</v>
      </c>
      <c r="AL134" s="2" t="s">
        <v>102</v>
      </c>
      <c r="AM134" s="2" t="s">
        <v>102</v>
      </c>
      <c r="AN134" s="13" t="str">
        <f>HYPERLINK(".\links\gpi\AGAP004699-PA-gpi.txt","N")</f>
        <v>N</v>
      </c>
      <c r="AO134" s="14" t="str">
        <f>HYPERLINK(".\links\netoglyc\AGAP004699-PA-netoglyc.txt","0")</f>
        <v>0</v>
      </c>
      <c r="AP134" s="13">
        <v>12.6</v>
      </c>
      <c r="AQ134" s="2">
        <v>4.0999999999999996</v>
      </c>
      <c r="AR134" s="2">
        <v>5.5</v>
      </c>
      <c r="AS134" s="2">
        <v>0.4</v>
      </c>
      <c r="AT134" s="9" t="str">
        <f>HYPERLINK(".\links\NR-LIGHT\AGAP004699-PA-NR-LIGHT.txt","AGAP004699-PA")</f>
        <v>AGAP004699-PA</v>
      </c>
      <c r="AU134" s="2" t="str">
        <f>HYPERLINK("http://www.ncbi.nlm.nih.gov/sutils/blink.cgi?pid=XP_318144.4","0.0")</f>
        <v>0.0</v>
      </c>
      <c r="AV134" s="2" t="str">
        <f>HYPERLINK("http://www.ncbi.nlm.nih.gov/protein/XP_318144.4","XP_318144.4")</f>
        <v>XP_318144.4</v>
      </c>
      <c r="AW134" s="2">
        <v>97</v>
      </c>
      <c r="AX134" s="2">
        <v>97</v>
      </c>
      <c r="AY134" s="2">
        <v>103</v>
      </c>
      <c r="AZ134" s="2" t="s">
        <v>105</v>
      </c>
      <c r="BA134" s="9" t="str">
        <f>HYPERLINK(".\links\REFSEQ-INVERTEBRATE\AGAP004699-PA-REFSEQ-INVERTEBRATE.txt","AGAP004699-PA")</f>
        <v>AGAP004699-PA</v>
      </c>
      <c r="BB134" s="2" t="str">
        <f>HYPERLINK("http://www.ncbi.nlm.nih.gov/sutils/blink.cgi?pid=XP_318144.4","0.0")</f>
        <v>0.0</v>
      </c>
      <c r="BC134" s="2" t="str">
        <f>HYPERLINK("http://www.ncbi.nlm.nih.gov/protein/XP_318144.4","XP_318144.4")</f>
        <v>XP_318144.4</v>
      </c>
      <c r="BD134" s="2">
        <v>97</v>
      </c>
      <c r="BE134" s="2">
        <v>97</v>
      </c>
      <c r="BF134" s="2">
        <v>103</v>
      </c>
      <c r="BG134" s="2" t="s">
        <v>105</v>
      </c>
      <c r="BH134" s="9" t="str">
        <f>HYPERLINK(".\links\REFSEQ-PROTOZOA\AGAP004699-PA-REFSEQ-PROTOZOA.txt","serine/threonine-protein kinase-transforming protein Rmil")</f>
        <v>serine/threonine-protein kinase-transforming protein Rmil</v>
      </c>
      <c r="BI134" s="2" t="str">
        <f>HYPERLINK("http://www.ncbi.nlm.nih.gov/sutils/blink.cgi?pid=XP_004346331.1","1E-082")</f>
        <v>1E-082</v>
      </c>
      <c r="BJ134" s="2" t="str">
        <f>HYPERLINK("http://www.ncbi.nlm.nih.gov/protein/XP_004346331.1","XP_004346331.1")</f>
        <v>XP_004346331.1</v>
      </c>
      <c r="BK134" s="2">
        <v>53</v>
      </c>
      <c r="BL134" s="2">
        <v>69</v>
      </c>
      <c r="BM134" s="2">
        <v>26</v>
      </c>
      <c r="BN134" s="2" t="s">
        <v>106</v>
      </c>
      <c r="BO134" s="9" t="str">
        <f>HYPERLINK(".\links\SWISSP\AGAP004699-PA-SWISSP.txt","Raf homolog serine/threonine-protein kinase Raf")</f>
        <v>Raf homolog serine/threonine-protein kinase Raf</v>
      </c>
      <c r="BP134" s="2" t="str">
        <f>HYPERLINK("http://www.uniprot.org/uniprot/P11346","0.0")</f>
        <v>0.0</v>
      </c>
      <c r="BQ134" s="2" t="str">
        <f>HYPERLINK("http://www.uniprot.org/uniprot/P11346#expression","P11346")</f>
        <v>P11346</v>
      </c>
      <c r="BR134" s="2">
        <v>64</v>
      </c>
      <c r="BS134" s="2">
        <v>74</v>
      </c>
      <c r="BT134" s="2">
        <v>101</v>
      </c>
      <c r="BU134" s="2" t="s">
        <v>107</v>
      </c>
      <c r="BV134" s="9" t="str">
        <f>HYPERLINK(".\links\FLYBASE\AGAP004699-PA-FLYBASE.txt","FBpp0310458")</f>
        <v>FBpp0310458</v>
      </c>
      <c r="BW134" s="2" t="str">
        <f>HYPERLINK("http://flybase.org/reports/FBgn0003079#alliance_summary_container","0.0")</f>
        <v>0.0</v>
      </c>
      <c r="BX134" s="2">
        <v>739</v>
      </c>
      <c r="BY134" s="2">
        <v>64</v>
      </c>
      <c r="BZ134" s="2">
        <v>74</v>
      </c>
      <c r="CA134" s="2">
        <v>101</v>
      </c>
      <c r="CB134" s="9" t="str">
        <f>HYPERLINK(".\links\CDD\AGAP004699-PA-CDD.txt","STKc_Raf, Catalytic domain of the Serine/Threonine Kinases, Raf (Rapidly Accelerated Fibrosarcoma) kinases")</f>
        <v>STKc_Raf, Catalytic domain of the Serine/Threonine Kinases, Raf (Rapidly Accelerated Fibrosarcoma) kinases</v>
      </c>
      <c r="CC134" s="15">
        <v>1.0000000000000001E-152</v>
      </c>
      <c r="CD134" s="2">
        <v>100</v>
      </c>
      <c r="CE134" s="2" t="s">
        <v>1571</v>
      </c>
      <c r="CF134" s="2" t="s">
        <v>1572</v>
      </c>
      <c r="CG134" s="9" t="str">
        <f>HYPERLINK(".\links\KOG\AGAP004699-PA-KOG.txt","Serine/threonine protein kinase RAF")</f>
        <v>Serine/threonine protein kinase RAF</v>
      </c>
      <c r="CH134" s="15">
        <v>0</v>
      </c>
      <c r="CI134" s="2">
        <v>99.1</v>
      </c>
      <c r="CJ134" s="2" t="s">
        <v>1573</v>
      </c>
      <c r="CK134" s="2" t="s">
        <v>173</v>
      </c>
      <c r="CL134" s="9" t="str">
        <f>HYPERLINK(".\links\PFAM\AGAP004699-PA-PFAM.txt","Pkinase, Protein kinase domain")</f>
        <v>Pkinase, Protein kinase domain</v>
      </c>
      <c r="CM134" s="15">
        <v>5.0000000000000001E-59</v>
      </c>
      <c r="CN134" s="2">
        <v>102.4</v>
      </c>
      <c r="CO134" s="2" t="s">
        <v>1574</v>
      </c>
      <c r="CP134" s="9" t="str">
        <f>HYPERLINK(".\links\SMART\AGAP004699-PA-SMART.txt","S_TKc, Serine/Threonine protein kinases, catalytic domain")</f>
        <v>S_TKc, Serine/Threonine protein kinases, catalytic domain</v>
      </c>
      <c r="CQ134" s="15">
        <v>1E-54</v>
      </c>
      <c r="CR134" s="2">
        <v>98.8</v>
      </c>
      <c r="CS134" s="2" t="s">
        <v>1575</v>
      </c>
      <c r="CT134" s="2" t="s">
        <v>1569</v>
      </c>
      <c r="CU134" s="2" t="s">
        <v>1569</v>
      </c>
      <c r="CV134" s="2" t="s">
        <v>1569</v>
      </c>
      <c r="CW134" s="2" t="str">
        <f>HYPERLINK(".\links\pep\AGAP004699-PA-pep.txt","AGAP004699-PA")</f>
        <v>AGAP004699-PA</v>
      </c>
      <c r="CX134" s="2" t="s">
        <v>95</v>
      </c>
      <c r="CY134" s="2">
        <v>685</v>
      </c>
      <c r="CZ134" s="2" t="s">
        <v>113</v>
      </c>
      <c r="DA134" s="2" t="s">
        <v>1576</v>
      </c>
      <c r="DB134" s="2">
        <v>0</v>
      </c>
      <c r="DC134" s="2">
        <v>1</v>
      </c>
      <c r="DD134" s="2" t="str">
        <f>HYPERLINK("https://www.kegg.jp/kegg-bin/search_pathway_text?map=aga&amp;keyword=AGAP004699&amp;mode=1&amp;viewImage=true","AGAP004699")</f>
        <v>AGAP004699</v>
      </c>
      <c r="DE134" s="2" t="s">
        <v>1565</v>
      </c>
      <c r="DF134" s="2" t="s">
        <v>1566</v>
      </c>
      <c r="DG134" s="2" t="s">
        <v>94</v>
      </c>
      <c r="DH134" s="2" t="str">
        <f>HYPERLINK("https://vectorbase.org/vectorbase/app/record/gene/AGAP004699","AGAP004699-RA")</f>
        <v>AGAP004699-RA</v>
      </c>
      <c r="DI134" s="2" t="s">
        <v>135</v>
      </c>
      <c r="DJ134" s="2">
        <v>3129</v>
      </c>
      <c r="DK134" s="2" t="str">
        <f>HYPERLINK(".\links\netoglyc\AGAP004699-PA-netoglyc.txt","0")</f>
        <v>0</v>
      </c>
      <c r="DL134" s="2">
        <v>12.6</v>
      </c>
      <c r="DM134" s="2">
        <v>4.0999999999999996</v>
      </c>
      <c r="DN134" s="2">
        <v>5.5</v>
      </c>
      <c r="DO134" s="2">
        <v>0.4</v>
      </c>
      <c r="DP134" s="2" t="s">
        <v>1577</v>
      </c>
      <c r="DQ134" s="2" t="str">
        <f>HYPERLINK(".\links\Sigp\AGAP004699-PA-SigP.txt","CYT")</f>
        <v>CYT</v>
      </c>
      <c r="DR134" s="2" t="s">
        <v>102</v>
      </c>
      <c r="DS134" s="2">
        <v>78.347999999999999</v>
      </c>
      <c r="DT134" s="2">
        <v>7.79</v>
      </c>
      <c r="DU134" s="2" t="s">
        <v>102</v>
      </c>
      <c r="DV134" s="2" t="s">
        <v>102</v>
      </c>
      <c r="DW134" s="2" t="s">
        <v>482</v>
      </c>
      <c r="DX134" s="2">
        <v>685</v>
      </c>
      <c r="DY134" s="12">
        <v>0</v>
      </c>
      <c r="DZ134" s="2" t="s">
        <v>102</v>
      </c>
      <c r="EA134" s="2" t="s">
        <v>102</v>
      </c>
      <c r="EB134" s="2" t="s">
        <v>102</v>
      </c>
      <c r="EC134" s="2" t="str">
        <f>HYPERLINK(".\links\gpi\AGAP004699-PA-gpi.txt","Y-NoSP")</f>
        <v>Y-NoSP</v>
      </c>
      <c r="ED134" s="2">
        <v>0.17</v>
      </c>
      <c r="EF134" s="2">
        <v>20</v>
      </c>
      <c r="EG134" s="2" t="s">
        <v>102</v>
      </c>
      <c r="EH134" s="2" t="s">
        <v>102</v>
      </c>
      <c r="EI134" s="2">
        <v>12.554744525547401</v>
      </c>
      <c r="EJ134" s="2">
        <v>5.5474452554744502</v>
      </c>
      <c r="EK134" s="2">
        <v>4.0875912408759101</v>
      </c>
      <c r="EL134" s="2">
        <v>9.6350364963503594</v>
      </c>
      <c r="EM134" s="2" t="s">
        <v>102</v>
      </c>
      <c r="EN134" s="2" t="s">
        <v>102</v>
      </c>
      <c r="EO134" s="2">
        <v>2</v>
      </c>
      <c r="EP134" s="2" t="s">
        <v>102</v>
      </c>
      <c r="EQ134" s="2" t="s">
        <v>102</v>
      </c>
      <c r="ER134" s="2" t="s">
        <v>102</v>
      </c>
      <c r="ES134" s="2" t="s">
        <v>102</v>
      </c>
      <c r="ET134" s="2" t="str">
        <f>HYPERLINK(".\links\REFSEQ-INVERTEBRATE\AGAP004699-PA-REFSEQ-INVERTEBRATE.txt","AGAP004699-PA")</f>
        <v>AGAP004699-PA</v>
      </c>
      <c r="EU134" s="2" t="str">
        <f>HYPERLINK("http://www.ncbi.nlm.nih.gov/sutils/blink.cgi?pid=XP_318144.4","0.0")</f>
        <v>0.0</v>
      </c>
      <c r="EV134" s="2" t="str">
        <f>HYPERLINK("http://www.ncbi.nlm.nih.gov/protein/XP_318144.4","XP_318144.4")</f>
        <v>XP_318144.4</v>
      </c>
      <c r="EW134" s="2">
        <v>97</v>
      </c>
      <c r="EX134" s="2">
        <v>97</v>
      </c>
      <c r="EY134" s="2">
        <v>103</v>
      </c>
      <c r="EZ134" s="2" t="s">
        <v>105</v>
      </c>
    </row>
    <row r="135" spans="1:156" x14ac:dyDescent="0.25">
      <c r="A135" s="2" t="s">
        <v>1578</v>
      </c>
      <c r="B135" s="2">
        <v>0.35216248829485902</v>
      </c>
      <c r="C135" s="2">
        <f t="shared" si="2"/>
        <v>1.2764725276683426</v>
      </c>
      <c r="D135" s="2">
        <v>5.5517503543634401</v>
      </c>
      <c r="E135" s="2">
        <v>8.95931152712566</v>
      </c>
      <c r="F135" s="2">
        <v>2.7605890631202902E-3</v>
      </c>
      <c r="G135" s="2">
        <v>4.8408550208274802E-2</v>
      </c>
      <c r="H135" s="2" t="s">
        <v>93</v>
      </c>
      <c r="I135" s="2" t="s">
        <v>94</v>
      </c>
      <c r="J135" s="2" t="str">
        <f>HYPERLINK("https://vectorbase.org/vectorbase/app/record/gene/AGAP029665","AGAP029665-RA")</f>
        <v>AGAP029665-RA</v>
      </c>
      <c r="K135" s="2" t="str">
        <f>HYPERLINK(".\links\pep\AGAP029665-PA-pep.txt","AGAP029665-PA")</f>
        <v>AGAP029665-PA</v>
      </c>
      <c r="L135" s="12" t="s">
        <v>95</v>
      </c>
      <c r="M135" s="2">
        <v>631</v>
      </c>
      <c r="N135" s="2">
        <v>0</v>
      </c>
      <c r="O135" s="2">
        <v>0</v>
      </c>
      <c r="P135" s="2" t="s">
        <v>102</v>
      </c>
      <c r="Q135" s="9" t="s">
        <v>1579</v>
      </c>
      <c r="R135" s="2" t="s">
        <v>196</v>
      </c>
      <c r="S135" s="2" t="str">
        <f>HYPERLINK(".\links\REFSEQ-INVERTEBRATE\AGAP029665-PA-REFSEQ-INVERTEBRATE.txt","REFSEQ-INVERTEBRATE")</f>
        <v>REFSEQ-INVERTEBRATE</v>
      </c>
      <c r="T135" s="2">
        <v>9.0000000000000006E-81</v>
      </c>
      <c r="U135" s="2">
        <v>100</v>
      </c>
      <c r="V135" s="2" t="s">
        <v>1580</v>
      </c>
      <c r="W135" s="10" t="s">
        <v>1581</v>
      </c>
      <c r="X135" s="2" t="s">
        <v>196</v>
      </c>
      <c r="Y135" s="2" t="str">
        <f>HYPERLINK(".\links\ARTHORPODA\AGAP029665-PA-ARTHORPODA.txt","ARTHORPODA")</f>
        <v>ARTHORPODA</v>
      </c>
      <c r="Z135" s="2">
        <v>0</v>
      </c>
      <c r="AA135" s="2">
        <v>100</v>
      </c>
      <c r="AB135" s="13" t="str">
        <f>HYPERLINK(".\links\pep\AGAP029665-PA-sulf.txt","1")</f>
        <v>1</v>
      </c>
      <c r="AC135" s="13" t="str">
        <f>HYPERLINK(".\links\Sigp\AGAP029665-PA-SigP.txt","CYT")</f>
        <v>CYT</v>
      </c>
      <c r="AD135" s="2" t="s">
        <v>102</v>
      </c>
      <c r="AE135" s="2">
        <v>72.814999999999998</v>
      </c>
      <c r="AF135" s="2">
        <v>9.17</v>
      </c>
      <c r="AG135" s="2" t="s">
        <v>102</v>
      </c>
      <c r="AH135" s="2" t="s">
        <v>102</v>
      </c>
      <c r="AI135" s="2" t="s">
        <v>1582</v>
      </c>
      <c r="AJ135" s="13">
        <v>0</v>
      </c>
      <c r="AK135" s="2" t="s">
        <v>102</v>
      </c>
      <c r="AL135" s="2" t="s">
        <v>102</v>
      </c>
      <c r="AM135" s="2" t="s">
        <v>102</v>
      </c>
      <c r="AN135" s="9" t="str">
        <f>HYPERLINK(".\links\gpi\AGAP029665-PA-gpi.txt","N")</f>
        <v>N</v>
      </c>
      <c r="AO135" s="14" t="str">
        <f>HYPERLINK(".\links\netoglyc\AGAP029665-PA-netoglyc.txt","0")</f>
        <v>0</v>
      </c>
      <c r="AP135" s="13">
        <v>14.1</v>
      </c>
      <c r="AQ135" s="2">
        <v>2.9</v>
      </c>
      <c r="AR135" s="2">
        <v>3.8</v>
      </c>
      <c r="AS135" s="2" t="s">
        <v>104</v>
      </c>
      <c r="AT135" s="9" t="str">
        <f>HYPERLINK(".\links\NR-LIGHT\AGAP029665-PA-NR-LIGHT.txt","AGAP011074-PA, partial")</f>
        <v>AGAP011074-PA, partial</v>
      </c>
      <c r="AU135" s="2" t="str">
        <f>HYPERLINK("http://www.ncbi.nlm.nih.gov/sutils/blink.cgi?pid=XP_564472.2","9E-081")</f>
        <v>9E-081</v>
      </c>
      <c r="AV135" s="2" t="str">
        <f>HYPERLINK("http://www.ncbi.nlm.nih.gov/protein/XP_564472.2","XP_564472.2")</f>
        <v>XP_564472.2</v>
      </c>
      <c r="AW135" s="2">
        <v>100</v>
      </c>
      <c r="AX135" s="2">
        <v>100</v>
      </c>
      <c r="AY135" s="2">
        <v>100</v>
      </c>
      <c r="AZ135" s="2" t="s">
        <v>105</v>
      </c>
      <c r="BA135" s="9" t="str">
        <f>HYPERLINK(".\links\REFSEQ-INVERTEBRATE\AGAP029665-PA-REFSEQ-INVERTEBRATE.txt","AGAP011074-PA, partial")</f>
        <v>AGAP011074-PA, partial</v>
      </c>
      <c r="BB135" s="2" t="str">
        <f>HYPERLINK("http://www.ncbi.nlm.nih.gov/sutils/blink.cgi?pid=XP_564472.2","9E-081")</f>
        <v>9E-081</v>
      </c>
      <c r="BC135" s="2" t="str">
        <f>HYPERLINK("http://www.ncbi.nlm.nih.gov/protein/XP_564472.2","XP_564472.2")</f>
        <v>XP_564472.2</v>
      </c>
      <c r="BD135" s="2">
        <v>100</v>
      </c>
      <c r="BE135" s="2">
        <v>100</v>
      </c>
      <c r="BF135" s="2">
        <v>100</v>
      </c>
      <c r="BG135" s="2" t="s">
        <v>105</v>
      </c>
      <c r="BH135" s="9" t="str">
        <f>HYPERLINK(".\links\REFSEQ-PROTOZOA\AGAP029665-PA-REFSEQ-PROTOZOA.txt","viral A-type inclusion protein")</f>
        <v>viral A-type inclusion protein</v>
      </c>
      <c r="BI135" s="2" t="str">
        <f>HYPERLINK("http://www.ncbi.nlm.nih.gov/sutils/blink.cgi?pid=XP_001307408.1","2E-008")</f>
        <v>2E-008</v>
      </c>
      <c r="BJ135" s="2" t="str">
        <f>HYPERLINK("http://www.ncbi.nlm.nih.gov/protein/XP_001307408.1","XP_001307408.1")</f>
        <v>XP_001307408.1</v>
      </c>
      <c r="BK135" s="2">
        <v>19</v>
      </c>
      <c r="BL135" s="2">
        <v>40</v>
      </c>
      <c r="BM135" s="2">
        <v>30</v>
      </c>
      <c r="BN135" s="2" t="s">
        <v>292</v>
      </c>
      <c r="BO135" s="9" t="str">
        <f>HYPERLINK(".\links\SWISSP\AGAP029665-PA-SWISSP.txt","Nucleoprotein TPR")</f>
        <v>Nucleoprotein TPR</v>
      </c>
      <c r="BP135" s="2" t="str">
        <f>HYPERLINK("http://www.uniprot.org/uniprot/P12270","0.001")</f>
        <v>0.001</v>
      </c>
      <c r="BQ135" s="2" t="str">
        <f>HYPERLINK("http://www.uniprot.org/uniprot/P12270#expression","P12270")</f>
        <v>P12270</v>
      </c>
      <c r="BR135" s="2">
        <v>23</v>
      </c>
      <c r="BS135" s="2">
        <v>42</v>
      </c>
      <c r="BT135" s="2">
        <v>12</v>
      </c>
      <c r="BU135" s="2" t="s">
        <v>127</v>
      </c>
      <c r="BV135" s="9" t="str">
        <f>HYPERLINK(".\links\FLYBASE\AGAP029665-PA-FLYBASE.txt","FBpp0088249")</f>
        <v>FBpp0088249</v>
      </c>
      <c r="BW135" s="2" t="str">
        <f>HYPERLINK("http://flybase.org/reports/FBgn0019650#alliance_summary_container","4.1")</f>
        <v>4.1</v>
      </c>
      <c r="BX135" s="2">
        <v>543</v>
      </c>
      <c r="BY135" s="2">
        <v>28</v>
      </c>
      <c r="BZ135" s="2">
        <v>53</v>
      </c>
      <c r="CA135" s="2">
        <v>12</v>
      </c>
      <c r="CB135" s="9" t="str">
        <f>HYPERLINK(".\links\CDD\AGAP029665-PA-CDD.txt","LRIF1, Ligand-dependent nuclear receptor-interacting factor 1")</f>
        <v>LRIF1, Ligand-dependent nuclear receptor-interacting factor 1</v>
      </c>
      <c r="CC135" s="15">
        <v>2.9000000000000001E-2</v>
      </c>
      <c r="CD135" s="2">
        <v>25.6</v>
      </c>
      <c r="CE135" s="2" t="s">
        <v>1583</v>
      </c>
      <c r="CF135" s="2" t="s">
        <v>1584</v>
      </c>
      <c r="CG135" s="9" t="str">
        <f>HYPERLINK(".\links\KOG\AGAP029665-PA-KOG.txt","subunit SNAP43")</f>
        <v>subunit SNAP43</v>
      </c>
      <c r="CH135" s="15">
        <v>7.6999999999999999E-2</v>
      </c>
      <c r="CI135" s="2">
        <v>31</v>
      </c>
      <c r="CJ135" s="2" t="s">
        <v>1585</v>
      </c>
      <c r="CK135" s="2" t="s">
        <v>722</v>
      </c>
      <c r="CL135" s="9" t="str">
        <f>HYPERLINK(".\links\PFAM\AGAP029665-PA-PFAM.txt","LRIF1, Ligand-dependent nuclear receptor-interacting factor 1")</f>
        <v>LRIF1, Ligand-dependent nuclear receptor-interacting factor 1</v>
      </c>
      <c r="CM135" s="15">
        <v>6.0000000000000001E-3</v>
      </c>
      <c r="CN135" s="2">
        <v>25.6</v>
      </c>
      <c r="CO135" s="2" t="s">
        <v>1583</v>
      </c>
      <c r="CP135" s="9" t="str">
        <f>HYPERLINK(".\links\SMART\AGAP029665-PA-SMART.txt","zf-AD, Zinc-finger associated domain (zf-AD)")</f>
        <v>zf-AD, Zinc-finger associated domain (zf-AD)</v>
      </c>
      <c r="CQ135" s="15">
        <v>0.94</v>
      </c>
      <c r="CR135" s="2">
        <v>56.2</v>
      </c>
      <c r="CS135" s="2" t="s">
        <v>684</v>
      </c>
      <c r="CT135" s="2" t="s">
        <v>1580</v>
      </c>
      <c r="CU135" s="2" t="s">
        <v>1580</v>
      </c>
      <c r="CV135" s="2" t="s">
        <v>1580</v>
      </c>
      <c r="CW135" s="2" t="str">
        <f>HYPERLINK(".\links\pep\AGAP029665-PA-pep.txt","AGAP029665-PA")</f>
        <v>AGAP029665-PA</v>
      </c>
      <c r="CX135" s="2" t="s">
        <v>95</v>
      </c>
      <c r="CY135" s="2">
        <v>631</v>
      </c>
      <c r="CZ135" s="2" t="s">
        <v>113</v>
      </c>
      <c r="DA135" s="2" t="s">
        <v>1586</v>
      </c>
      <c r="DB135" s="2">
        <v>0</v>
      </c>
      <c r="DC135" s="2">
        <v>0</v>
      </c>
      <c r="DD135" s="2" t="str">
        <f>HYPERLINK("https://www.kegg.jp/kegg-bin/search_pathway_text?map=aga&amp;keyword=AGAP029665&amp;mode=1&amp;viewImage=true","AGAP029665")</f>
        <v>AGAP029665</v>
      </c>
      <c r="DE135" s="2" t="s">
        <v>1578</v>
      </c>
      <c r="DF135" s="2" t="s">
        <v>93</v>
      </c>
      <c r="DG135" s="2" t="s">
        <v>94</v>
      </c>
      <c r="DH135" s="2" t="str">
        <f>HYPERLINK("https://vectorbase.org/vectorbase/app/record/gene/AGAP029665","AGAP029665-RA")</f>
        <v>AGAP029665-RA</v>
      </c>
      <c r="DI135" s="2" t="s">
        <v>90</v>
      </c>
      <c r="DJ135" s="2">
        <v>2167</v>
      </c>
      <c r="DK135" s="2" t="str">
        <f>HYPERLINK(".\links\netoglyc\AGAP029665-PA-netoglyc.txt","0")</f>
        <v>0</v>
      </c>
      <c r="DL135" s="2">
        <v>14.1</v>
      </c>
      <c r="DM135" s="2">
        <v>2.9</v>
      </c>
      <c r="DN135" s="2">
        <v>3.8</v>
      </c>
      <c r="DO135" s="2" t="s">
        <v>104</v>
      </c>
      <c r="DP135" s="2" t="s">
        <v>102</v>
      </c>
      <c r="DQ135" s="2" t="str">
        <f>HYPERLINK(".\links\Sigp\AGAP029665-PA-SigP.txt","CYT")</f>
        <v>CYT</v>
      </c>
      <c r="DR135" s="2" t="s">
        <v>102</v>
      </c>
      <c r="DS135" s="2">
        <v>72.814999999999998</v>
      </c>
      <c r="DT135" s="2">
        <v>9.17</v>
      </c>
      <c r="DU135" s="2" t="s">
        <v>102</v>
      </c>
      <c r="DV135" s="2" t="s">
        <v>102</v>
      </c>
      <c r="DW135" s="2" t="s">
        <v>1582</v>
      </c>
      <c r="DX135" s="2">
        <v>631</v>
      </c>
      <c r="DY135" s="12">
        <v>0</v>
      </c>
      <c r="DZ135" s="2" t="s">
        <v>102</v>
      </c>
      <c r="EA135" s="2" t="s">
        <v>102</v>
      </c>
      <c r="EB135" s="2" t="s">
        <v>102</v>
      </c>
      <c r="EC135" s="2" t="str">
        <f>HYPERLINK(".\links\gpi\AGAP029665-PA-gpi.txt","N")</f>
        <v>N</v>
      </c>
      <c r="ED135" s="2">
        <v>0.22</v>
      </c>
      <c r="EF135" s="2">
        <v>12</v>
      </c>
      <c r="EG135" s="2" t="str">
        <f>HYPERLINK(".\links\pep\AGAP029665-PA-sulf.txt","1")</f>
        <v>1</v>
      </c>
      <c r="EH135" s="2" t="s">
        <v>102</v>
      </c>
      <c r="EI135" s="2">
        <v>14.1045958795563</v>
      </c>
      <c r="EJ135" s="2">
        <v>3.80348652931854</v>
      </c>
      <c r="EK135" s="2">
        <v>2.8526148969889098</v>
      </c>
      <c r="EL135" s="2">
        <v>6.6561014263074503</v>
      </c>
      <c r="EM135" s="2" t="s">
        <v>102</v>
      </c>
      <c r="EN135" s="2" t="s">
        <v>102</v>
      </c>
      <c r="EO135" s="2" t="s">
        <v>102</v>
      </c>
      <c r="EP135" s="2" t="s">
        <v>102</v>
      </c>
      <c r="EQ135" s="2" t="s">
        <v>102</v>
      </c>
      <c r="ER135" s="2" t="s">
        <v>102</v>
      </c>
      <c r="ES135" s="2" t="s">
        <v>102</v>
      </c>
      <c r="ET135" s="2" t="str">
        <f>HYPERLINK(".\links\REFSEQ-INVERTEBRATE\AGAP029665-PA-REFSEQ-INVERTEBRATE.txt","AGAP011074-PA, partial")</f>
        <v>AGAP011074-PA, partial</v>
      </c>
      <c r="EU135" s="2" t="str">
        <f>HYPERLINK("http://www.ncbi.nlm.nih.gov/sutils/blink.cgi?pid=XP_564472.2","1E-104")</f>
        <v>1E-104</v>
      </c>
      <c r="EV135" s="2" t="str">
        <f>HYPERLINK("http://www.ncbi.nlm.nih.gov/protein/XP_564472.2","XP_564472.2")</f>
        <v>XP_564472.2</v>
      </c>
      <c r="EW135" s="2">
        <v>100</v>
      </c>
      <c r="EX135" s="2">
        <v>100</v>
      </c>
      <c r="EY135" s="2">
        <v>100</v>
      </c>
      <c r="EZ135" s="2" t="s">
        <v>105</v>
      </c>
    </row>
    <row r="136" spans="1:156" x14ac:dyDescent="0.25">
      <c r="A136" s="2" t="s">
        <v>1587</v>
      </c>
      <c r="B136" s="2">
        <v>0.35096313295185799</v>
      </c>
      <c r="C136" s="2">
        <f t="shared" si="2"/>
        <v>1.2754117990185172</v>
      </c>
      <c r="D136" s="2">
        <v>5.7428722549173399</v>
      </c>
      <c r="E136" s="2">
        <v>9.3001059242049493</v>
      </c>
      <c r="F136" s="2">
        <v>2.2914060908278701E-3</v>
      </c>
      <c r="G136" s="2">
        <v>4.5804882403871497E-2</v>
      </c>
      <c r="H136" s="2" t="s">
        <v>1588</v>
      </c>
      <c r="I136" s="2" t="s">
        <v>94</v>
      </c>
      <c r="J136" s="2" t="str">
        <f>HYPERLINK("https://vectorbase.org/vectorbase/app/record/gene/AGAP008158","AGAP008158-RA")</f>
        <v>AGAP008158-RA</v>
      </c>
      <c r="K136" s="2" t="str">
        <f>HYPERLINK(".\links\pep\AGAP008158-PA-pep.txt","AGAP008158-PA")</f>
        <v>AGAP008158-PA</v>
      </c>
      <c r="L136" s="12" t="s">
        <v>95</v>
      </c>
      <c r="M136" s="2">
        <v>206</v>
      </c>
      <c r="N136" s="2">
        <v>0</v>
      </c>
      <c r="O136" s="2">
        <v>1</v>
      </c>
      <c r="P136" s="2" t="s">
        <v>1589</v>
      </c>
      <c r="Q136" s="9" t="s">
        <v>1590</v>
      </c>
      <c r="R136" s="2" t="s">
        <v>1221</v>
      </c>
      <c r="S136" s="2" t="str">
        <f>HYPERLINK(".\links\KOG\AGAP008158-PA-KOG.txt","KOG")</f>
        <v>KOG</v>
      </c>
      <c r="T136" s="2">
        <v>2.0000000000000001E-58</v>
      </c>
      <c r="U136" s="2">
        <v>75.2</v>
      </c>
      <c r="V136" s="2" t="s">
        <v>1591</v>
      </c>
      <c r="W136" s="10" t="s">
        <v>1592</v>
      </c>
      <c r="X136" s="2" t="s">
        <v>1221</v>
      </c>
      <c r="Y136" s="2" t="str">
        <f>HYPERLINK(".\links\KOG\AGAP008158-PA-KOG.txt","KOG")</f>
        <v>KOG</v>
      </c>
      <c r="Z136" s="15">
        <v>3E-65</v>
      </c>
      <c r="AA136" s="2">
        <v>72.099999999999994</v>
      </c>
      <c r="AB136" s="13" t="s">
        <v>102</v>
      </c>
      <c r="AC136" s="13" t="str">
        <f>HYPERLINK(".\links\Sigp\AGAP008158-PA-SigP.txt","CYT")</f>
        <v>CYT</v>
      </c>
      <c r="AD136" s="2" t="s">
        <v>102</v>
      </c>
      <c r="AE136" s="2">
        <v>23.295000000000002</v>
      </c>
      <c r="AF136" s="2">
        <v>6.21</v>
      </c>
      <c r="AG136" s="2" t="s">
        <v>102</v>
      </c>
      <c r="AH136" s="2" t="s">
        <v>102</v>
      </c>
      <c r="AI136" s="2" t="s">
        <v>583</v>
      </c>
      <c r="AJ136" s="13">
        <v>0</v>
      </c>
      <c r="AK136" s="2" t="s">
        <v>102</v>
      </c>
      <c r="AL136" s="2" t="s">
        <v>102</v>
      </c>
      <c r="AM136" s="2" t="s">
        <v>102</v>
      </c>
      <c r="AN136" s="13" t="str">
        <f>HYPERLINK(".\links\gpi\AGAP008158-PA-gpi.txt","N")</f>
        <v>N</v>
      </c>
      <c r="AO136" s="14" t="str">
        <f>HYPERLINK(".\links\netoglyc\AGAP008158-PA-netoglyc.txt","2")</f>
        <v>2</v>
      </c>
      <c r="AP136" s="13">
        <v>12.1</v>
      </c>
      <c r="AQ136" s="2">
        <v>3.4</v>
      </c>
      <c r="AR136" s="2">
        <v>5.3</v>
      </c>
      <c r="AS136" s="2" t="s">
        <v>104</v>
      </c>
      <c r="AT136" s="9" t="str">
        <f>HYPERLINK(".\links\NR-LIGHT\AGAP008158-PA-NR-LIGHT.txt","AGAP008158-PA, partial")</f>
        <v>AGAP008158-PA, partial</v>
      </c>
      <c r="AU136" s="2" t="str">
        <f>HYPERLINK("http://www.ncbi.nlm.nih.gov/sutils/blink.cgi?pid=XP_317305.2","4E-097")</f>
        <v>4E-097</v>
      </c>
      <c r="AV136" s="2" t="str">
        <f>HYPERLINK("http://www.ncbi.nlm.nih.gov/protein/XP_317305.2","XP_317305.2")</f>
        <v>XP_317305.2</v>
      </c>
      <c r="AW136" s="2">
        <v>100</v>
      </c>
      <c r="AX136" s="2">
        <v>100</v>
      </c>
      <c r="AY136" s="2">
        <v>94</v>
      </c>
      <c r="AZ136" s="2" t="s">
        <v>105</v>
      </c>
      <c r="BA136" s="9" t="str">
        <f>HYPERLINK(".\links\REFSEQ-INVERTEBRATE\AGAP008158-PA-REFSEQ-INVERTEBRATE.txt","AGAP008158-PA, partial")</f>
        <v>AGAP008158-PA, partial</v>
      </c>
      <c r="BB136" s="2" t="str">
        <f>HYPERLINK("http://www.ncbi.nlm.nih.gov/sutils/blink.cgi?pid=XP_317305.2","4E-097")</f>
        <v>4E-097</v>
      </c>
      <c r="BC136" s="2" t="str">
        <f>HYPERLINK("http://www.ncbi.nlm.nih.gov/protein/XP_317305.2","XP_317305.2")</f>
        <v>XP_317305.2</v>
      </c>
      <c r="BD136" s="2">
        <v>100</v>
      </c>
      <c r="BE136" s="2">
        <v>100</v>
      </c>
      <c r="BF136" s="2">
        <v>94</v>
      </c>
      <c r="BG136" s="2" t="s">
        <v>105</v>
      </c>
      <c r="BH136" s="9" t="str">
        <f>HYPERLINK(".\links\REFSEQ-PROTOZOA\AGAP008158-PA-REFSEQ-PROTOZOA.txt","deoxycytidylate deaminase")</f>
        <v>deoxycytidylate deaminase</v>
      </c>
      <c r="BI136" s="2" t="str">
        <f>HYPERLINK("http://www.ncbi.nlm.nih.gov/sutils/blink.cgi?pid=XP_004343364.2","6E-063")</f>
        <v>6E-063</v>
      </c>
      <c r="BJ136" s="2" t="str">
        <f>HYPERLINK("http://www.ncbi.nlm.nih.gov/protein/XP_004343364.2","XP_004343364.2")</f>
        <v>XP_004343364.2</v>
      </c>
      <c r="BK136" s="2">
        <v>62</v>
      </c>
      <c r="BL136" s="2">
        <v>82</v>
      </c>
      <c r="BM136" s="2">
        <v>73</v>
      </c>
      <c r="BN136" s="2" t="s">
        <v>106</v>
      </c>
      <c r="BO136" s="9" t="str">
        <f>HYPERLINK(".\links\SWISSP\AGAP008158-PA-SWISSP.txt","Deoxycytidylate deaminase")</f>
        <v>Deoxycytidylate deaminase</v>
      </c>
      <c r="BP136" s="2" t="str">
        <f>HYPERLINK("http://www.uniprot.org/uniprot/Q5M9G0","2E-060")</f>
        <v>2E-060</v>
      </c>
      <c r="BQ136" s="2" t="str">
        <f>HYPERLINK("http://www.uniprot.org/uniprot/Q5M9G0#expression","Q5M9G0")</f>
        <v>Q5M9G0</v>
      </c>
      <c r="BR136" s="2">
        <v>62</v>
      </c>
      <c r="BS136" s="2">
        <v>79</v>
      </c>
      <c r="BT136" s="2">
        <v>97</v>
      </c>
      <c r="BU136" s="2" t="s">
        <v>305</v>
      </c>
      <c r="BV136" s="9" t="str">
        <f>HYPERLINK(".\links\FLYBASE\AGAP008158-PA-FLYBASE.txt","FBpp0074598")</f>
        <v>FBpp0074598</v>
      </c>
      <c r="BW136" s="2" t="str">
        <f>HYPERLINK("http://flybase.org/reports/FBgn0036959#alliance_summary_container","9E-65")</f>
        <v>9E-65</v>
      </c>
      <c r="BX136" s="2">
        <v>203</v>
      </c>
      <c r="BY136" s="2">
        <v>57</v>
      </c>
      <c r="BZ136" s="2">
        <v>68</v>
      </c>
      <c r="CA136" s="2">
        <v>82</v>
      </c>
      <c r="CB136" s="9" t="str">
        <f>HYPERLINK(".\links\CDD\AGAP008158-PA-CDD.txt","deoxycytidylate_deaminase, Deoxycytidylate deaminase domain")</f>
        <v>deoxycytidylate_deaminase, Deoxycytidylate deaminase domain</v>
      </c>
      <c r="CC136" s="15">
        <v>8.0000000000000003E-42</v>
      </c>
      <c r="CD136" s="2">
        <v>103.1</v>
      </c>
      <c r="CE136" s="2" t="s">
        <v>1593</v>
      </c>
      <c r="CF136" s="2" t="s">
        <v>1594</v>
      </c>
      <c r="CG136" s="9" t="str">
        <f>HYPERLINK(".\links\KOG\AGAP008158-PA-KOG.txt","Deoxycytidylate deaminase")</f>
        <v>Deoxycytidylate deaminase</v>
      </c>
      <c r="CH136" s="15">
        <v>2.0000000000000001E-58</v>
      </c>
      <c r="CI136" s="2">
        <v>75.2</v>
      </c>
      <c r="CJ136" s="2" t="s">
        <v>1595</v>
      </c>
      <c r="CK136" s="2" t="s">
        <v>1227</v>
      </c>
      <c r="CL136" s="9" t="str">
        <f>HYPERLINK(".\links\PFAM\AGAP008158-PA-PFAM.txt","dCMP_cyt_deam_1, Cytidine and deoxycytidylate deaminase zinc-binding region")</f>
        <v>dCMP_cyt_deam_1, Cytidine and deoxycytidylate deaminase zinc-binding region</v>
      </c>
      <c r="CM136" s="15">
        <v>5.9999999999999999E-24</v>
      </c>
      <c r="CN136" s="2">
        <v>118</v>
      </c>
      <c r="CO136" s="2" t="s">
        <v>1596</v>
      </c>
      <c r="CP136" s="9" t="str">
        <f>HYPERLINK(".\links\SMART\AGAP008158-PA-SMART.txt","RNB, This domain is the catalytic domain of ribonuclease II")</f>
        <v>RNB, This domain is the catalytic domain of ribonuclease II</v>
      </c>
      <c r="CQ136" s="15">
        <v>1.4</v>
      </c>
      <c r="CR136" s="2">
        <v>11.9</v>
      </c>
      <c r="CS136" s="2" t="s">
        <v>1597</v>
      </c>
      <c r="CT136" s="2" t="s">
        <v>1591</v>
      </c>
      <c r="CU136" s="2" t="s">
        <v>1591</v>
      </c>
      <c r="CV136" s="2" t="s">
        <v>1591</v>
      </c>
      <c r="CW136" s="2" t="str">
        <f>HYPERLINK(".\links\pep\AGAP008158-PA-pep.txt","AGAP008158-PA")</f>
        <v>AGAP008158-PA</v>
      </c>
      <c r="CX136" s="2" t="s">
        <v>95</v>
      </c>
      <c r="CY136" s="2">
        <v>206</v>
      </c>
      <c r="CZ136" s="2" t="s">
        <v>113</v>
      </c>
      <c r="DA136" s="2" t="s">
        <v>1598</v>
      </c>
      <c r="DB136" s="2">
        <v>0</v>
      </c>
      <c r="DC136" s="2">
        <v>1</v>
      </c>
      <c r="DD136" s="2" t="str">
        <f>HYPERLINK("https://www.kegg.jp/kegg-bin/search_pathway_text?map=aga&amp;keyword=AGAP008158&amp;mode=1&amp;viewImage=true","AGAP008158")</f>
        <v>AGAP008158</v>
      </c>
      <c r="DE136" s="2" t="s">
        <v>1587</v>
      </c>
      <c r="DF136" s="2" t="s">
        <v>1588</v>
      </c>
      <c r="DG136" s="2" t="s">
        <v>94</v>
      </c>
      <c r="DH136" s="2" t="str">
        <f>HYPERLINK("https://vectorbase.org/vectorbase/app/record/gene/AGAP008158","AGAP008158-RA")</f>
        <v>AGAP008158-RA</v>
      </c>
      <c r="DI136" s="2" t="s">
        <v>90</v>
      </c>
      <c r="DJ136" s="2">
        <v>829</v>
      </c>
      <c r="DK136" s="2" t="str">
        <f>HYPERLINK(".\links\netoglyc\AGAP008158-PA-netoglyc.txt","2")</f>
        <v>2</v>
      </c>
      <c r="DL136" s="2">
        <v>12.1</v>
      </c>
      <c r="DM136" s="2">
        <v>3.4</v>
      </c>
      <c r="DN136" s="2">
        <v>5.3</v>
      </c>
      <c r="DO136" s="2" t="s">
        <v>104</v>
      </c>
      <c r="DP136" s="2" t="s">
        <v>102</v>
      </c>
      <c r="DQ136" s="2" t="str">
        <f>HYPERLINK(".\links\Sigp\AGAP008158-PA-SigP.txt","CYT")</f>
        <v>CYT</v>
      </c>
      <c r="DR136" s="2" t="s">
        <v>102</v>
      </c>
      <c r="DS136" s="2">
        <v>23.295000000000002</v>
      </c>
      <c r="DT136" s="2">
        <v>6.21</v>
      </c>
      <c r="DU136" s="2" t="s">
        <v>102</v>
      </c>
      <c r="DV136" s="2" t="s">
        <v>102</v>
      </c>
      <c r="DW136" s="2" t="s">
        <v>583</v>
      </c>
      <c r="DX136" s="2">
        <v>206</v>
      </c>
      <c r="DY136" s="12">
        <v>0</v>
      </c>
      <c r="DZ136" s="2" t="s">
        <v>102</v>
      </c>
      <c r="EA136" s="2" t="s">
        <v>102</v>
      </c>
      <c r="EB136" s="2" t="s">
        <v>102</v>
      </c>
      <c r="EC136" s="2" t="str">
        <f>HYPERLINK(".\links\gpi\AGAP008158-PA-gpi.txt","Y-NoSP")</f>
        <v>Y-NoSP</v>
      </c>
      <c r="ED136" s="2">
        <v>0.27</v>
      </c>
      <c r="EF136" s="2">
        <v>7</v>
      </c>
      <c r="EG136" s="2" t="s">
        <v>102</v>
      </c>
      <c r="EH136" s="2" t="s">
        <v>102</v>
      </c>
      <c r="EI136" s="2">
        <v>12.135922330097101</v>
      </c>
      <c r="EJ136" s="2">
        <v>5.3398058252427196</v>
      </c>
      <c r="EK136" s="2">
        <v>3.3980582524271798</v>
      </c>
      <c r="EL136" s="2">
        <v>8.7378640776699008</v>
      </c>
      <c r="EM136" s="2" t="s">
        <v>102</v>
      </c>
      <c r="EN136" s="2">
        <v>1</v>
      </c>
      <c r="EO136" s="2">
        <v>1</v>
      </c>
      <c r="EP136" s="2" t="s">
        <v>102</v>
      </c>
      <c r="EQ136" s="2" t="s">
        <v>102</v>
      </c>
      <c r="ER136" s="2" t="s">
        <v>102</v>
      </c>
      <c r="ES136" s="2" t="s">
        <v>102</v>
      </c>
      <c r="ET136" s="2" t="str">
        <f>HYPERLINK(".\links\REFSEQ-INVERTEBRATE\AGAP008158-PA-REFSEQ-INVERTEBRATE.txt","AGAP008158-PA, partial")</f>
        <v>AGAP008158-PA, partial</v>
      </c>
      <c r="EU136" s="2" t="str">
        <f>HYPERLINK("http://www.ncbi.nlm.nih.gov/sutils/blink.cgi?pid=XP_317305.2","1E-127")</f>
        <v>1E-127</v>
      </c>
      <c r="EV136" s="2" t="str">
        <f>HYPERLINK("http://www.ncbi.nlm.nih.gov/protein/XP_317305.2","XP_317305.2")</f>
        <v>XP_317305.2</v>
      </c>
      <c r="EW136" s="2">
        <v>100</v>
      </c>
      <c r="EX136" s="2">
        <v>100</v>
      </c>
      <c r="EY136" s="2">
        <v>94</v>
      </c>
      <c r="EZ136" s="2" t="s">
        <v>105</v>
      </c>
    </row>
    <row r="137" spans="1:156" x14ac:dyDescent="0.25">
      <c r="A137" s="2" t="s">
        <v>1599</v>
      </c>
      <c r="B137" s="2">
        <v>0.35086889847793701</v>
      </c>
      <c r="C137" s="2">
        <f t="shared" si="2"/>
        <v>1.2753284939323011</v>
      </c>
      <c r="D137" s="2">
        <v>5.1912252000151904</v>
      </c>
      <c r="E137" s="2">
        <v>13.049498961717701</v>
      </c>
      <c r="F137" s="2">
        <v>3.0336555273843298E-4</v>
      </c>
      <c r="G137" s="2">
        <v>1.9288177562821002E-2</v>
      </c>
      <c r="H137" s="2" t="s">
        <v>1600</v>
      </c>
      <c r="I137" s="2" t="s">
        <v>102</v>
      </c>
      <c r="J137" s="2" t="str">
        <f>HYPERLINK("https://vectorbase.org/vectorbase/app/record/gene/AGAP004057","AGAP004057-RA")</f>
        <v>AGAP004057-RA</v>
      </c>
      <c r="K137" s="2" t="str">
        <f>HYPERLINK(".\links\pep\AGAP004057-PA-pep.txt","AGAP004057-PA")</f>
        <v>AGAP004057-PA</v>
      </c>
      <c r="L137" s="12" t="s">
        <v>95</v>
      </c>
      <c r="M137" s="2">
        <v>492</v>
      </c>
      <c r="N137" s="2">
        <v>0</v>
      </c>
      <c r="O137" s="2">
        <v>1</v>
      </c>
      <c r="P137" s="2" t="s">
        <v>1601</v>
      </c>
      <c r="Q137" s="9" t="s">
        <v>1602</v>
      </c>
      <c r="R137" s="2" t="s">
        <v>1558</v>
      </c>
      <c r="S137" s="2" t="str">
        <f>HYPERLINK(".\links\CDD\AGAP004057-PA-CDD.txt","CDD")</f>
        <v>CDD</v>
      </c>
      <c r="T137" s="2">
        <v>0</v>
      </c>
      <c r="U137" s="2">
        <v>102</v>
      </c>
      <c r="V137" s="2" t="s">
        <v>1603</v>
      </c>
      <c r="W137" s="10" t="s">
        <v>183</v>
      </c>
      <c r="X137" s="2" t="s">
        <v>672</v>
      </c>
      <c r="Y137" s="2" t="str">
        <f>HYPERLINK(".\links\COG\AGAP004057-PA-COG.txt","COG")</f>
        <v>COG</v>
      </c>
      <c r="Z137" s="15">
        <v>9.9999999999999996E-95</v>
      </c>
      <c r="AA137" s="2">
        <v>97.2</v>
      </c>
      <c r="AB137" s="13" t="s">
        <v>102</v>
      </c>
      <c r="AC137" s="13" t="str">
        <f>HYPERLINK(".\links\Sigp\AGAP004057-PA-SigP.txt","CYT")</f>
        <v>CYT</v>
      </c>
      <c r="AD137" s="2" t="s">
        <v>102</v>
      </c>
      <c r="AE137" s="2">
        <v>53.972000000000001</v>
      </c>
      <c r="AF137" s="2">
        <v>6.39</v>
      </c>
      <c r="AG137" s="2" t="s">
        <v>102</v>
      </c>
      <c r="AH137" s="2" t="s">
        <v>102</v>
      </c>
      <c r="AI137" s="2" t="s">
        <v>1604</v>
      </c>
      <c r="AJ137" s="13">
        <v>0</v>
      </c>
      <c r="AK137" s="2" t="s">
        <v>102</v>
      </c>
      <c r="AL137" s="2" t="s">
        <v>102</v>
      </c>
      <c r="AM137" s="2" t="s">
        <v>102</v>
      </c>
      <c r="AN137" s="13" t="str">
        <f>HYPERLINK(".\links\gpi\AGAP004057-PA-gpi.txt","N")</f>
        <v>N</v>
      </c>
      <c r="AO137" s="14" t="str">
        <f>HYPERLINK(".\links\netoglyc\AGAP004057-PA-netoglyc.txt","0")</f>
        <v>0</v>
      </c>
      <c r="AP137" s="13">
        <v>14.4</v>
      </c>
      <c r="AQ137" s="2">
        <v>6.7</v>
      </c>
      <c r="AR137" s="2">
        <v>4.0999999999999996</v>
      </c>
      <c r="AS137" s="2" t="s">
        <v>104</v>
      </c>
      <c r="AT137" s="9" t="str">
        <f>HYPERLINK(".\links\NR-LIGHT\AGAP004057-PA-NR-LIGHT.txt","AGAP004057-PA")</f>
        <v>AGAP004057-PA</v>
      </c>
      <c r="AU137" s="2" t="str">
        <f>HYPERLINK("http://www.ncbi.nlm.nih.gov/sutils/blink.cgi?pid=XP_309611.3","0.0")</f>
        <v>0.0</v>
      </c>
      <c r="AV137" s="2" t="str">
        <f>HYPERLINK("http://www.ncbi.nlm.nih.gov/protein/XP_309611.3","XP_309611.3")</f>
        <v>XP_309611.3</v>
      </c>
      <c r="AW137" s="2">
        <v>100</v>
      </c>
      <c r="AX137" s="2">
        <v>100</v>
      </c>
      <c r="AY137" s="2">
        <v>100</v>
      </c>
      <c r="AZ137" s="2" t="s">
        <v>105</v>
      </c>
      <c r="BA137" s="9" t="str">
        <f>HYPERLINK(".\links\REFSEQ-INVERTEBRATE\AGAP004057-PA-REFSEQ-INVERTEBRATE.txt","AGAP004057-PA")</f>
        <v>AGAP004057-PA</v>
      </c>
      <c r="BB137" s="2" t="str">
        <f>HYPERLINK("http://www.ncbi.nlm.nih.gov/sutils/blink.cgi?pid=XP_309611.3","0.0")</f>
        <v>0.0</v>
      </c>
      <c r="BC137" s="2" t="str">
        <f>HYPERLINK("http://www.ncbi.nlm.nih.gov/protein/XP_309611.3","XP_309611.3")</f>
        <v>XP_309611.3</v>
      </c>
      <c r="BD137" s="2">
        <v>100</v>
      </c>
      <c r="BE137" s="2">
        <v>100</v>
      </c>
      <c r="BF137" s="2">
        <v>100</v>
      </c>
      <c r="BG137" s="2" t="s">
        <v>105</v>
      </c>
      <c r="BH137" s="9" t="str">
        <f>HYPERLINK(".\links\REFSEQ-PROTOZOA\AGAP004057-PA-REFSEQ-PROTOZOA.txt","aspartyl/glutamyl-tRNA(Asn/Gln) amidotransferase, A subunit")</f>
        <v>aspartyl/glutamyl-tRNA(Asn/Gln) amidotransferase, A subunit</v>
      </c>
      <c r="BI137" s="2" t="str">
        <f>HYPERLINK("http://www.ncbi.nlm.nih.gov/sutils/blink.cgi?pid=XP_008895519.1","1E-108")</f>
        <v>1E-108</v>
      </c>
      <c r="BJ137" s="2" t="str">
        <f>HYPERLINK("http://www.ncbi.nlm.nih.gov/protein/XP_008895519.1","XP_008895519.1")</f>
        <v>XP_008895519.1</v>
      </c>
      <c r="BK137" s="2">
        <v>45</v>
      </c>
      <c r="BL137" s="2">
        <v>60</v>
      </c>
      <c r="BM137" s="2">
        <v>90</v>
      </c>
      <c r="BN137" s="2" t="s">
        <v>556</v>
      </c>
      <c r="BO137" s="9" t="str">
        <f>HYPERLINK(".\links\SWISSP\AGAP004057-PA-SWISSP.txt","Glutamyl-tRNA(Gln) amidotransferase subunit A, mitochondrial")</f>
        <v>Glutamyl-tRNA(Gln) amidotransferase subunit A, mitochondrial</v>
      </c>
      <c r="BP137" s="2" t="str">
        <f>HYPERLINK("http://www.uniprot.org/uniprot/Q7QH64","0.0")</f>
        <v>0.0</v>
      </c>
      <c r="BQ137" s="2" t="str">
        <f>HYPERLINK("http://www.uniprot.org/uniprot/Q7QH64#expression","Q7QH64")</f>
        <v>Q7QH64</v>
      </c>
      <c r="BR137" s="2">
        <v>100</v>
      </c>
      <c r="BS137" s="2">
        <v>100</v>
      </c>
      <c r="BT137" s="2">
        <v>100</v>
      </c>
      <c r="BU137" s="2" t="s">
        <v>249</v>
      </c>
      <c r="BV137" s="9" t="str">
        <f>HYPERLINK(".\links\FLYBASE\AGAP004057-PA-FLYBASE.txt","FBpp0083132")</f>
        <v>FBpp0083132</v>
      </c>
      <c r="BW137" s="2" t="str">
        <f>HYPERLINK("http://flybase.org/reports/FBgn0260779#alliance_summary_container","0.0")</f>
        <v>0.0</v>
      </c>
      <c r="BX137" s="2">
        <v>508</v>
      </c>
      <c r="BY137" s="2">
        <v>67</v>
      </c>
      <c r="BZ137" s="2">
        <v>80</v>
      </c>
      <c r="CA137" s="2">
        <v>95</v>
      </c>
      <c r="CB137" s="9" t="str">
        <f>HYPERLINK(".\links\CDD\AGAP004057-PA-CDD.txt","gatA, aspartyl/glutamyl-tRNA amidotransferase subunit A")</f>
        <v>gatA, aspartyl/glutamyl-tRNA amidotransferase subunit A</v>
      </c>
      <c r="CC137" s="15">
        <v>1E-175</v>
      </c>
      <c r="CD137" s="2">
        <v>102.4</v>
      </c>
      <c r="CE137" s="2" t="s">
        <v>1605</v>
      </c>
      <c r="CF137" s="2" t="s">
        <v>1606</v>
      </c>
      <c r="CG137" s="9" t="str">
        <f>HYPERLINK(".\links\KOG\AGAP004057-PA-KOG.txt","Amidases")</f>
        <v>Amidases</v>
      </c>
      <c r="CH137" s="15">
        <v>1E-150</v>
      </c>
      <c r="CI137" s="2">
        <v>98.6</v>
      </c>
      <c r="CJ137" s="2" t="s">
        <v>1607</v>
      </c>
      <c r="CK137" s="2" t="s">
        <v>678</v>
      </c>
      <c r="CL137" s="9" t="str">
        <f>HYPERLINK(".\links\PFAM\AGAP004057-PA-PFAM.txt","Amidase, Amidase")</f>
        <v>Amidase, Amidase</v>
      </c>
      <c r="CM137" s="15">
        <v>9.9999999999999999E-132</v>
      </c>
      <c r="CN137" s="2">
        <v>103.1</v>
      </c>
      <c r="CO137" s="2" t="s">
        <v>1608</v>
      </c>
      <c r="CP137" s="9" t="str">
        <f>HYPERLINK(".\links\SMART\AGAP004057-PA-SMART.txt","RelA_SpoT, Region found in RelA / SpoT proteins")</f>
        <v>RelA_SpoT, Region found in RelA / SpoT proteins</v>
      </c>
      <c r="CQ137" s="15">
        <v>1.6</v>
      </c>
      <c r="CR137" s="2">
        <v>29.7</v>
      </c>
      <c r="CS137" s="2" t="s">
        <v>766</v>
      </c>
      <c r="CT137" s="2" t="s">
        <v>1603</v>
      </c>
      <c r="CU137" s="2" t="s">
        <v>1603</v>
      </c>
      <c r="CV137" s="2" t="s">
        <v>1603</v>
      </c>
      <c r="CW137" s="2" t="str">
        <f>HYPERLINK(".\links\pep\AGAP004057-PA-pep.txt","AGAP004057-PA")</f>
        <v>AGAP004057-PA</v>
      </c>
      <c r="CX137" s="2" t="s">
        <v>95</v>
      </c>
      <c r="CY137" s="2">
        <v>492</v>
      </c>
      <c r="CZ137" s="2" t="s">
        <v>113</v>
      </c>
      <c r="DA137" s="2">
        <v>0</v>
      </c>
      <c r="DB137" s="2">
        <v>1</v>
      </c>
      <c r="DD137" s="2" t="str">
        <f>HYPERLINK("https://www.kegg.jp/kegg-bin/search_pathway_text?map=aga&amp;keyword=AGAP004057&amp;mode=1&amp;viewImage=true","AGAP004057")</f>
        <v>AGAP004057</v>
      </c>
      <c r="DE137" s="2" t="s">
        <v>1599</v>
      </c>
      <c r="DF137" s="2" t="s">
        <v>1600</v>
      </c>
      <c r="DG137" s="2" t="s">
        <v>102</v>
      </c>
      <c r="DH137" s="2" t="str">
        <f>HYPERLINK("https://vectorbase.org/vectorbase/app/record/gene/AGAP004057","AGAP004057-RA")</f>
        <v>AGAP004057-RA</v>
      </c>
      <c r="DI137" s="2" t="s">
        <v>135</v>
      </c>
      <c r="DJ137" s="2">
        <v>1582</v>
      </c>
      <c r="DK137" s="2" t="str">
        <f>HYPERLINK(".\links\netoglyc\AGAP004057-PA-netoglyc.txt","0")</f>
        <v>0</v>
      </c>
      <c r="DL137" s="2">
        <v>14.4</v>
      </c>
      <c r="DM137" s="2">
        <v>6.7</v>
      </c>
      <c r="DN137" s="2">
        <v>4.0999999999999996</v>
      </c>
      <c r="DO137" s="2" t="s">
        <v>104</v>
      </c>
      <c r="DP137" s="2" t="s">
        <v>102</v>
      </c>
      <c r="DQ137" s="2" t="str">
        <f>HYPERLINK(".\links\Sigp\AGAP004057-PA-SigP.txt","CYT")</f>
        <v>CYT</v>
      </c>
      <c r="DR137" s="2" t="s">
        <v>102</v>
      </c>
      <c r="DS137" s="2">
        <v>53.972000000000001</v>
      </c>
      <c r="DT137" s="2">
        <v>6.39</v>
      </c>
      <c r="DU137" s="2" t="s">
        <v>102</v>
      </c>
      <c r="DV137" s="2" t="s">
        <v>102</v>
      </c>
      <c r="DW137" s="2" t="s">
        <v>1604</v>
      </c>
      <c r="DX137" s="2">
        <v>492</v>
      </c>
      <c r="DY137" s="12">
        <v>0</v>
      </c>
      <c r="DZ137" s="2" t="s">
        <v>102</v>
      </c>
      <c r="EA137" s="2" t="s">
        <v>102</v>
      </c>
      <c r="EB137" s="2" t="s">
        <v>102</v>
      </c>
      <c r="EC137" s="2" t="str">
        <f>HYPERLINK(".\links\gpi\AGAP004057-PA-gpi.txt","Y-NoSP")</f>
        <v>Y-NoSP</v>
      </c>
      <c r="ED137" s="2">
        <v>0.14000000000000001</v>
      </c>
      <c r="EF137" s="2">
        <v>11</v>
      </c>
      <c r="EG137" s="2" t="s">
        <v>102</v>
      </c>
      <c r="EH137" s="2" t="s">
        <v>102</v>
      </c>
      <c r="EI137" s="2">
        <v>14.430894308943101</v>
      </c>
      <c r="EJ137" s="2">
        <v>4.0650406504065</v>
      </c>
      <c r="EK137" s="2">
        <v>6.7073170731707297</v>
      </c>
      <c r="EL137" s="2">
        <v>10.772357723577199</v>
      </c>
      <c r="EM137" s="2" t="s">
        <v>102</v>
      </c>
      <c r="EN137" s="2">
        <v>2</v>
      </c>
      <c r="EO137" s="2">
        <v>2</v>
      </c>
      <c r="EP137" s="2" t="s">
        <v>102</v>
      </c>
      <c r="EQ137" s="2" t="s">
        <v>102</v>
      </c>
      <c r="ER137" s="2" t="s">
        <v>102</v>
      </c>
      <c r="ES137" s="2" t="s">
        <v>102</v>
      </c>
      <c r="ET137" s="2" t="str">
        <f>HYPERLINK(".\links\REFSEQ-INVERTEBRATE\AGAP004057-PA-REFSEQ-INVERTEBRATE.txt","AGAP004057-PA")</f>
        <v>AGAP004057-PA</v>
      </c>
      <c r="EU137" s="2" t="str">
        <f>HYPERLINK("http://www.ncbi.nlm.nih.gov/sutils/blink.cgi?pid=XP_309611.3","0.0")</f>
        <v>0.0</v>
      </c>
      <c r="EV137" s="2" t="str">
        <f>HYPERLINK("http://www.ncbi.nlm.nih.gov/protein/XP_309611.3","XP_309611.3")</f>
        <v>XP_309611.3</v>
      </c>
      <c r="EW137" s="2">
        <v>100</v>
      </c>
      <c r="EX137" s="2">
        <v>100</v>
      </c>
      <c r="EY137" s="2">
        <v>100</v>
      </c>
      <c r="EZ137" s="2" t="s">
        <v>105</v>
      </c>
    </row>
    <row r="138" spans="1:156" x14ac:dyDescent="0.25">
      <c r="A138" s="2" t="s">
        <v>1609</v>
      </c>
      <c r="B138" s="2">
        <v>0.34901916405439798</v>
      </c>
      <c r="C138" s="2">
        <f t="shared" si="2"/>
        <v>1.2736943943467005</v>
      </c>
      <c r="D138" s="2">
        <v>6.3254538368385402</v>
      </c>
      <c r="E138" s="2">
        <v>9.3413692459999709</v>
      </c>
      <c r="F138" s="2">
        <v>2.24038070665219E-3</v>
      </c>
      <c r="G138" s="2">
        <v>4.5336656805045797E-2</v>
      </c>
      <c r="H138" s="2" t="s">
        <v>1610</v>
      </c>
      <c r="I138" s="2" t="s">
        <v>102</v>
      </c>
      <c r="J138" s="2" t="str">
        <f>HYPERLINK("https://vectorbase.org/vectorbase/app/record/gene/AGAP010440","AGAP010440-RA")</f>
        <v>AGAP010440-RA</v>
      </c>
      <c r="K138" s="2" t="str">
        <f>HYPERLINK(".\links\pep\AGAP010440-PA-pep.txt","AGAP010440-PA")</f>
        <v>AGAP010440-PA</v>
      </c>
      <c r="L138" s="12" t="s">
        <v>95</v>
      </c>
      <c r="M138" s="2">
        <v>90</v>
      </c>
      <c r="N138" s="2">
        <v>0</v>
      </c>
      <c r="O138" s="2">
        <v>0</v>
      </c>
      <c r="P138" s="2" t="s">
        <v>1611</v>
      </c>
      <c r="Q138" s="9" t="s">
        <v>1611</v>
      </c>
      <c r="R138" s="2" t="s">
        <v>420</v>
      </c>
      <c r="S138" s="2" t="str">
        <f>HYPERLINK(".\links\KOG\AGAP010440-PA-KOG.txt","KOG")</f>
        <v>KOG</v>
      </c>
      <c r="T138" s="2">
        <v>3.0000000000000002E-36</v>
      </c>
      <c r="U138" s="2">
        <v>97.7</v>
      </c>
      <c r="V138" s="2" t="s">
        <v>1612</v>
      </c>
      <c r="W138" s="10" t="s">
        <v>1613</v>
      </c>
      <c r="X138" s="2" t="s">
        <v>420</v>
      </c>
      <c r="Y138" s="2" t="str">
        <f>HYPERLINK(".\links\CDD\AGAP010440-PA-CDD.txt","CDD")</f>
        <v>CDD</v>
      </c>
      <c r="Z138" s="15">
        <v>3E-43</v>
      </c>
      <c r="AA138" s="2">
        <v>100</v>
      </c>
      <c r="AB138" s="13" t="s">
        <v>102</v>
      </c>
      <c r="AC138" s="13" t="str">
        <f>HYPERLINK(".\links\Sigp\AGAP010440-PA-SigP.txt","CYT")</f>
        <v>CYT</v>
      </c>
      <c r="AD138" s="2" t="s">
        <v>102</v>
      </c>
      <c r="AE138" s="2">
        <v>10.795999999999999</v>
      </c>
      <c r="AF138" s="2">
        <v>9.69</v>
      </c>
      <c r="AG138" s="2" t="s">
        <v>102</v>
      </c>
      <c r="AH138" s="2" t="s">
        <v>102</v>
      </c>
      <c r="AI138" s="2" t="s">
        <v>211</v>
      </c>
      <c r="AJ138" s="13">
        <v>0</v>
      </c>
      <c r="AK138" s="2" t="s">
        <v>102</v>
      </c>
      <c r="AL138" s="2" t="s">
        <v>102</v>
      </c>
      <c r="AM138" s="2" t="s">
        <v>102</v>
      </c>
      <c r="AN138" s="13" t="str">
        <f>HYPERLINK(".\links\gpi\AGAP010440-PA-gpi.txt","N")</f>
        <v>N</v>
      </c>
      <c r="AO138" s="14" t="str">
        <f>HYPERLINK(".\links\netoglyc\AGAP010440-PA-netoglyc.txt","0")</f>
        <v>0</v>
      </c>
      <c r="AP138" s="13">
        <v>6.7</v>
      </c>
      <c r="AQ138" s="2">
        <v>5.6</v>
      </c>
      <c r="AR138" s="2">
        <v>1.1000000000000001</v>
      </c>
      <c r="AS138" s="2" t="s">
        <v>104</v>
      </c>
      <c r="AT138" s="9" t="str">
        <f>HYPERLINK(".\links\NR-LIGHT\AGAP010440-PA-NR-LIGHT.txt","AGAP010440-PA")</f>
        <v>AGAP010440-PA</v>
      </c>
      <c r="AU138" s="2" t="str">
        <f>HYPERLINK("http://www.ncbi.nlm.nih.gov/sutils/blink.cgi?pid=XP_311506.3","9E-045")</f>
        <v>9E-045</v>
      </c>
      <c r="AV138" s="2" t="str">
        <f>HYPERLINK("http://www.ncbi.nlm.nih.gov/protein/XP_311506.3","XP_311506.3")</f>
        <v>XP_311506.3</v>
      </c>
      <c r="AW138" s="2">
        <v>100</v>
      </c>
      <c r="AX138" s="2">
        <v>100</v>
      </c>
      <c r="AY138" s="2">
        <v>100</v>
      </c>
      <c r="AZ138" s="2" t="s">
        <v>105</v>
      </c>
      <c r="BA138" s="9" t="str">
        <f>HYPERLINK(".\links\REFSEQ-INVERTEBRATE\AGAP010440-PA-REFSEQ-INVERTEBRATE.txt","AGAP010440-PA")</f>
        <v>AGAP010440-PA</v>
      </c>
      <c r="BB138" s="2" t="str">
        <f>HYPERLINK("http://www.ncbi.nlm.nih.gov/sutils/blink.cgi?pid=XP_311506.3","8E-045")</f>
        <v>8E-045</v>
      </c>
      <c r="BC138" s="2" t="str">
        <f>HYPERLINK("http://www.ncbi.nlm.nih.gov/protein/XP_311506.3","XP_311506.3")</f>
        <v>XP_311506.3</v>
      </c>
      <c r="BD138" s="2">
        <v>100</v>
      </c>
      <c r="BE138" s="2">
        <v>100</v>
      </c>
      <c r="BF138" s="2">
        <v>100</v>
      </c>
      <c r="BG138" s="2" t="s">
        <v>105</v>
      </c>
      <c r="BH138" s="9" t="str">
        <f>HYPERLINK(".\links\REFSEQ-PROTOZOA\AGAP010440-PA-REFSEQ-PROTOZOA.txt","hypothetical protein EMIHUDRAFT_74860")</f>
        <v>hypothetical protein EMIHUDRAFT_74860</v>
      </c>
      <c r="BI138" s="2" t="str">
        <f>HYPERLINK("http://www.ncbi.nlm.nih.gov/sutils/blink.cgi?pid=XP_005773968.1","3E-030")</f>
        <v>3E-030</v>
      </c>
      <c r="BJ138" s="2" t="str">
        <f>HYPERLINK("http://www.ncbi.nlm.nih.gov/protein/XP_005773968.1","XP_005773968.1")</f>
        <v>XP_005773968.1</v>
      </c>
      <c r="BK138" s="2">
        <v>71</v>
      </c>
      <c r="BL138" s="2">
        <v>88</v>
      </c>
      <c r="BM138" s="2">
        <v>97</v>
      </c>
      <c r="BN138" s="2" t="s">
        <v>169</v>
      </c>
      <c r="BO138" s="9" t="str">
        <f>HYPERLINK(".\links\SWISSP\AGAP010440-PA-SWISSP.txt","Probable small nuclear ribonucleoprotein E")</f>
        <v>Probable small nuclear ribonucleoprotein E</v>
      </c>
      <c r="BP138" s="2" t="str">
        <f>HYPERLINK("http://www.uniprot.org/uniprot/Q9VLV5","2E-036")</f>
        <v>2E-036</v>
      </c>
      <c r="BQ138" s="2" t="str">
        <f>HYPERLINK("http://www.uniprot.org/uniprot/Q9VLV5#expression","Q9VLV5")</f>
        <v>Q9VLV5</v>
      </c>
      <c r="BR138" s="2">
        <v>86</v>
      </c>
      <c r="BS138" s="2">
        <v>91</v>
      </c>
      <c r="BT138" s="2">
        <v>95</v>
      </c>
      <c r="BU138" s="2" t="s">
        <v>107</v>
      </c>
      <c r="BV138" s="9" t="str">
        <f>HYPERLINK(".\links\FLYBASE\AGAP010440-PA-FLYBASE.txt","FBpp0079182")</f>
        <v>FBpp0079182</v>
      </c>
      <c r="BW138" s="2" t="str">
        <f>HYPERLINK("http://flybase.org/reports/FBgn0261790#alliance_summary_container","5E-50")</f>
        <v>5E-50</v>
      </c>
      <c r="BX138" s="2">
        <v>94</v>
      </c>
      <c r="BY138" s="2">
        <v>86</v>
      </c>
      <c r="BZ138" s="2">
        <v>89</v>
      </c>
      <c r="CA138" s="2">
        <v>95</v>
      </c>
      <c r="CB138" s="9" t="str">
        <f>HYPERLINK(".\links\CDD\AGAP010440-PA-CDD.txt","Sm_E, Sm protein E")</f>
        <v>Sm_E, Sm protein E</v>
      </c>
      <c r="CC138" s="15">
        <v>7E-39</v>
      </c>
      <c r="CD138" s="2">
        <v>100</v>
      </c>
      <c r="CE138" s="2" t="s">
        <v>1614</v>
      </c>
      <c r="CF138" s="2" t="s">
        <v>1615</v>
      </c>
      <c r="CG138" s="9" t="str">
        <f>HYPERLINK(".\links\KOG\AGAP010440-PA-KOG.txt","Small nuclear ribonucleoprotein E")</f>
        <v>Small nuclear ribonucleoprotein E</v>
      </c>
      <c r="CH138" s="15">
        <v>3.0000000000000002E-36</v>
      </c>
      <c r="CI138" s="2">
        <v>97.7</v>
      </c>
      <c r="CJ138" s="2" t="s">
        <v>1616</v>
      </c>
      <c r="CK138" s="2" t="s">
        <v>722</v>
      </c>
      <c r="CL138" s="9" t="str">
        <f>HYPERLINK(".\links\PFAM\AGAP010440-PA-PFAM.txt","LSM, LSM domain")</f>
        <v>LSM, LSM domain</v>
      </c>
      <c r="CM138" s="15">
        <v>2E-12</v>
      </c>
      <c r="CN138" s="2">
        <v>98.5</v>
      </c>
      <c r="CO138" s="2" t="s">
        <v>1540</v>
      </c>
      <c r="CP138" s="9" t="str">
        <f>HYPERLINK(".\links\SMART\AGAP010440-PA-SMART.txt","Sm, snRNP Sm proteins")</f>
        <v>Sm, snRNP Sm proteins</v>
      </c>
      <c r="CQ138" s="15">
        <v>2.9999999999999998E-14</v>
      </c>
      <c r="CR138" s="2">
        <v>98.5</v>
      </c>
      <c r="CS138" s="2" t="s">
        <v>1541</v>
      </c>
      <c r="CT138" s="2" t="s">
        <v>1612</v>
      </c>
      <c r="CU138" s="2" t="s">
        <v>1612</v>
      </c>
      <c r="CV138" s="2" t="s">
        <v>1612</v>
      </c>
      <c r="CW138" s="2" t="str">
        <f>HYPERLINK(".\links\pep\AGAP010440-PA-pep.txt","AGAP010440-PA")</f>
        <v>AGAP010440-PA</v>
      </c>
      <c r="CX138" s="2" t="s">
        <v>95</v>
      </c>
      <c r="CY138" s="2">
        <v>90</v>
      </c>
      <c r="CZ138" s="2" t="s">
        <v>113</v>
      </c>
      <c r="DA138" s="2">
        <v>0</v>
      </c>
      <c r="DB138" s="2">
        <v>0</v>
      </c>
      <c r="DD138" s="2" t="str">
        <f>HYPERLINK("https://www.kegg.jp/kegg-bin/search_pathway_text?map=aga&amp;keyword=AGAP010440&amp;mode=1&amp;viewImage=true","AGAP010440")</f>
        <v>AGAP010440</v>
      </c>
      <c r="DE138" s="2" t="s">
        <v>1609</v>
      </c>
      <c r="DF138" s="2" t="s">
        <v>1610</v>
      </c>
      <c r="DG138" s="2" t="s">
        <v>102</v>
      </c>
      <c r="DH138" s="2" t="str">
        <f>HYPERLINK("https://vectorbase.org/vectorbase/app/record/gene/AGAP010440","AGAP010440-RA")</f>
        <v>AGAP010440-RA</v>
      </c>
      <c r="DI138" s="2" t="s">
        <v>115</v>
      </c>
      <c r="DJ138" s="2">
        <v>527</v>
      </c>
      <c r="DK138" s="2" t="str">
        <f>HYPERLINK(".\links\netoglyc\AGAP010440-PA-netoglyc.txt","0")</f>
        <v>0</v>
      </c>
      <c r="DL138" s="2">
        <v>6.7</v>
      </c>
      <c r="DM138" s="2">
        <v>5.6</v>
      </c>
      <c r="DN138" s="2">
        <v>1.1000000000000001</v>
      </c>
      <c r="DO138" s="2" t="s">
        <v>104</v>
      </c>
      <c r="DP138" s="2" t="s">
        <v>102</v>
      </c>
      <c r="DQ138" s="2" t="str">
        <f>HYPERLINK(".\links\Sigp\AGAP010440-PA-SigP.txt","CYT")</f>
        <v>CYT</v>
      </c>
      <c r="DR138" s="2" t="s">
        <v>102</v>
      </c>
      <c r="DS138" s="2">
        <v>10.795999999999999</v>
      </c>
      <c r="DT138" s="2">
        <v>9.69</v>
      </c>
      <c r="DU138" s="2" t="s">
        <v>102</v>
      </c>
      <c r="DV138" s="2" t="s">
        <v>102</v>
      </c>
      <c r="DW138" s="2" t="s">
        <v>211</v>
      </c>
      <c r="DX138" s="2">
        <v>90</v>
      </c>
      <c r="DY138" s="12">
        <v>0</v>
      </c>
      <c r="DZ138" s="2" t="s">
        <v>102</v>
      </c>
      <c r="EA138" s="2" t="s">
        <v>102</v>
      </c>
      <c r="EB138" s="2" t="s">
        <v>102</v>
      </c>
      <c r="EC138" s="2" t="str">
        <f>HYPERLINK(".\links\gpi\AGAP010440-PA-gpi.txt","N")</f>
        <v>N</v>
      </c>
      <c r="ED138" s="2">
        <v>0.48</v>
      </c>
      <c r="EF138" s="2">
        <v>0</v>
      </c>
      <c r="EG138" s="2" t="s">
        <v>102</v>
      </c>
      <c r="EH138" s="2" t="s">
        <v>102</v>
      </c>
      <c r="EI138" s="2">
        <v>6.6666666666666696</v>
      </c>
      <c r="EJ138" s="2">
        <v>1.1111111111111101</v>
      </c>
      <c r="EK138" s="2">
        <v>5.5555555555555598</v>
      </c>
      <c r="EL138" s="2">
        <v>6.6666666666666696</v>
      </c>
      <c r="EM138" s="2" t="s">
        <v>102</v>
      </c>
      <c r="EN138" s="2">
        <v>2</v>
      </c>
      <c r="EO138" s="2">
        <v>2</v>
      </c>
      <c r="EP138" s="2" t="s">
        <v>102</v>
      </c>
      <c r="EQ138" s="2" t="s">
        <v>102</v>
      </c>
      <c r="ER138" s="2" t="s">
        <v>102</v>
      </c>
      <c r="ES138" s="2" t="s">
        <v>102</v>
      </c>
      <c r="ET138" s="2" t="str">
        <f>HYPERLINK(".\links\REFSEQ-INVERTEBRATE\AGAP010440-PA-REFSEQ-INVERTEBRATE.txt","AGAP010440-PA")</f>
        <v>AGAP010440-PA</v>
      </c>
      <c r="EU138" s="2" t="str">
        <f>HYPERLINK("http://www.ncbi.nlm.nih.gov/sutils/blink.cgi?pid=XP_311506.3","3E-60")</f>
        <v>3E-60</v>
      </c>
      <c r="EV138" s="2" t="str">
        <f>HYPERLINK("http://www.ncbi.nlm.nih.gov/protein/XP_311506.3","XP_311506.3")</f>
        <v>XP_311506.3</v>
      </c>
      <c r="EW138" s="2">
        <v>100</v>
      </c>
      <c r="EX138" s="2">
        <v>100</v>
      </c>
      <c r="EY138" s="2">
        <v>100</v>
      </c>
      <c r="EZ138" s="2" t="s">
        <v>105</v>
      </c>
    </row>
    <row r="139" spans="1:156" x14ac:dyDescent="0.25">
      <c r="A139" s="2" t="s">
        <v>1617</v>
      </c>
      <c r="B139" s="2">
        <v>0.34852987379040001</v>
      </c>
      <c r="C139" s="2">
        <f t="shared" si="2"/>
        <v>1.2732624939238848</v>
      </c>
      <c r="D139" s="2">
        <v>5.3457683085587</v>
      </c>
      <c r="E139" s="2">
        <v>9.2909940085464005</v>
      </c>
      <c r="F139" s="2">
        <v>2.3028317076014102E-3</v>
      </c>
      <c r="G139" s="2">
        <v>4.58876742400747E-2</v>
      </c>
      <c r="H139" s="2" t="s">
        <v>93</v>
      </c>
      <c r="I139" s="2" t="s">
        <v>94</v>
      </c>
      <c r="J139" s="2" t="str">
        <f>HYPERLINK("https://vectorbase.org/vectorbase/app/record/gene/AGAP005461","AGAP005461-RA")</f>
        <v>AGAP005461-RA</v>
      </c>
      <c r="K139" s="2" t="str">
        <f>HYPERLINK(".\links\pep\AGAP005461-PA-pep.txt","AGAP005461-PA")</f>
        <v>AGAP005461-PA</v>
      </c>
      <c r="L139" s="12" t="s">
        <v>95</v>
      </c>
      <c r="M139" s="2">
        <v>239</v>
      </c>
      <c r="N139" s="2">
        <v>0</v>
      </c>
      <c r="O139" s="2">
        <v>1</v>
      </c>
      <c r="P139" s="2" t="s">
        <v>102</v>
      </c>
      <c r="Q139" s="9" t="s">
        <v>1618</v>
      </c>
      <c r="R139" s="2" t="s">
        <v>388</v>
      </c>
      <c r="S139" s="2" t="str">
        <f>HYPERLINK(".\links\KOG\AGAP005461-PA-KOG.txt","KOG")</f>
        <v>KOG</v>
      </c>
      <c r="T139" s="2">
        <v>4.0000000000000002E-33</v>
      </c>
      <c r="U139" s="2">
        <v>97.8</v>
      </c>
      <c r="V139" s="2" t="s">
        <v>1619</v>
      </c>
      <c r="W139" s="10" t="s">
        <v>1620</v>
      </c>
      <c r="X139" s="2" t="s">
        <v>822</v>
      </c>
      <c r="Y139" s="2" t="str">
        <f>HYPERLINK(".\links\EC\AGAP005461-PA-EC.txt","EC")</f>
        <v>EC</v>
      </c>
      <c r="Z139" s="15">
        <v>9.9999999999999995E-45</v>
      </c>
      <c r="AA139" s="2">
        <v>97.8</v>
      </c>
      <c r="AB139" s="13" t="s">
        <v>102</v>
      </c>
      <c r="AC139" s="13" t="str">
        <f>HYPERLINK(".\links\Sigp\AGAP005461-PA-SigP.txt","CYT")</f>
        <v>CYT</v>
      </c>
      <c r="AD139" s="2" t="s">
        <v>102</v>
      </c>
      <c r="AE139" s="2">
        <v>27.297000000000001</v>
      </c>
      <c r="AF139" s="2">
        <v>5.59</v>
      </c>
      <c r="AG139" s="2" t="s">
        <v>102</v>
      </c>
      <c r="AH139" s="2" t="s">
        <v>102</v>
      </c>
      <c r="AI139" s="2" t="s">
        <v>1621</v>
      </c>
      <c r="AJ139" s="13">
        <v>0</v>
      </c>
      <c r="AK139" s="2" t="s">
        <v>102</v>
      </c>
      <c r="AL139" s="2" t="s">
        <v>102</v>
      </c>
      <c r="AM139" s="2" t="s">
        <v>102</v>
      </c>
      <c r="AN139" s="13" t="str">
        <f>HYPERLINK(".\links\gpi\AGAP005461-PA-gpi.txt","N")</f>
        <v>N</v>
      </c>
      <c r="AO139" s="14" t="str">
        <f>HYPERLINK(".\links\netoglyc\AGAP005461-PA-netoglyc.txt","0")</f>
        <v>0</v>
      </c>
      <c r="AP139" s="13">
        <v>12.6</v>
      </c>
      <c r="AQ139" s="2">
        <v>2.1</v>
      </c>
      <c r="AR139" s="2">
        <v>3.8</v>
      </c>
      <c r="AS139" s="2" t="s">
        <v>104</v>
      </c>
      <c r="AT139" s="9" t="str">
        <f>HYPERLINK(".\links\NR-LIGHT\AGAP005461-PA-NR-LIGHT.txt","AGAP005461-PA")</f>
        <v>AGAP005461-PA</v>
      </c>
      <c r="AU139" s="2" t="str">
        <f>HYPERLINK("http://www.ncbi.nlm.nih.gov/sutils/blink.cgi?pid=XP_315464.4","1E-138")</f>
        <v>1E-138</v>
      </c>
      <c r="AV139" s="2" t="str">
        <f>HYPERLINK("http://www.ncbi.nlm.nih.gov/protein/XP_315464.4","XP_315464.4")</f>
        <v>XP_315464.4</v>
      </c>
      <c r="AW139" s="2">
        <v>100</v>
      </c>
      <c r="AX139" s="2">
        <v>100</v>
      </c>
      <c r="AY139" s="2">
        <v>100</v>
      </c>
      <c r="AZ139" s="2" t="s">
        <v>105</v>
      </c>
      <c r="BA139" s="9" t="str">
        <f>HYPERLINK(".\links\REFSEQ-INVERTEBRATE\AGAP005461-PA-REFSEQ-INVERTEBRATE.txt","AGAP005461-PA")</f>
        <v>AGAP005461-PA</v>
      </c>
      <c r="BB139" s="2" t="str">
        <f>HYPERLINK("http://www.ncbi.nlm.nih.gov/sutils/blink.cgi?pid=XP_315464.4","1E-138")</f>
        <v>1E-138</v>
      </c>
      <c r="BC139" s="2" t="str">
        <f>HYPERLINK("http://www.ncbi.nlm.nih.gov/protein/XP_315464.4","XP_315464.4")</f>
        <v>XP_315464.4</v>
      </c>
      <c r="BD139" s="2">
        <v>100</v>
      </c>
      <c r="BE139" s="2">
        <v>100</v>
      </c>
      <c r="BF139" s="2">
        <v>100</v>
      </c>
      <c r="BG139" s="2" t="s">
        <v>105</v>
      </c>
      <c r="BH139" s="9" t="str">
        <f>HYPERLINK(".\links\REFSEQ-PROTOZOA\AGAP005461-PA-REFSEQ-PROTOZOA.txt","hypothetical protein SPRG_10380")</f>
        <v>hypothetical protein SPRG_10380</v>
      </c>
      <c r="BI139" s="2" t="str">
        <f>HYPERLINK("http://www.ncbi.nlm.nih.gov/sutils/blink.cgi?pid=XP_012204902.1","2E-008")</f>
        <v>2E-008</v>
      </c>
      <c r="BJ139" s="2" t="str">
        <f>HYPERLINK("http://www.ncbi.nlm.nih.gov/protein/XP_012204902.1","XP_012204902.1")</f>
        <v>XP_012204902.1</v>
      </c>
      <c r="BK139" s="2">
        <v>26</v>
      </c>
      <c r="BL139" s="2">
        <v>42</v>
      </c>
      <c r="BM139" s="2">
        <v>102</v>
      </c>
      <c r="BN139" s="2" t="s">
        <v>1622</v>
      </c>
      <c r="BO139" s="9" t="str">
        <f>HYPERLINK(".\links\SWISSP\AGAP005461-PA-SWISSP.txt","Non-structural maintenance of chromosomes element 1 homolog")</f>
        <v>Non-structural maintenance of chromosomes element 1 homolog</v>
      </c>
      <c r="BP139" s="2" t="str">
        <f>HYPERLINK("http://www.uniprot.org/uniprot/Q9VMA0","1E-035")</f>
        <v>1E-035</v>
      </c>
      <c r="BQ139" s="2" t="str">
        <f>HYPERLINK("http://www.uniprot.org/uniprot/Q9VMA0#expression","Q9VMA0")</f>
        <v>Q9VMA0</v>
      </c>
      <c r="BR139" s="2">
        <v>34</v>
      </c>
      <c r="BS139" s="2">
        <v>53</v>
      </c>
      <c r="BT139" s="2">
        <v>98</v>
      </c>
      <c r="BU139" s="2" t="s">
        <v>107</v>
      </c>
      <c r="BV139" s="9" t="str">
        <f>HYPERLINK(".\links\FLYBASE\AGAP005461-PA-FLYBASE.txt","FBpp0305541")</f>
        <v>FBpp0305541</v>
      </c>
      <c r="BW139" s="2" t="str">
        <f>HYPERLINK("http://flybase.org/reports/FBgn0031848#alliance_summary_container","3E-45")</f>
        <v>3E-45</v>
      </c>
      <c r="BX139" s="2">
        <v>235</v>
      </c>
      <c r="BY139" s="2">
        <v>34</v>
      </c>
      <c r="BZ139" s="2">
        <v>53</v>
      </c>
      <c r="CA139" s="2">
        <v>98</v>
      </c>
      <c r="CB139" s="9" t="str">
        <f>HYPERLINK(".\links\CDD\AGAP005461-PA-CDD.txt","SMC_Nse1, Nse1 non-SMC component of SMC5-6 complex")</f>
        <v>SMC_Nse1, Nse1 non-SMC component of SMC5-6 complex</v>
      </c>
      <c r="CC139" s="15">
        <v>7.9999999999999996E-7</v>
      </c>
      <c r="CD139" s="2">
        <v>100</v>
      </c>
      <c r="CE139" s="2" t="s">
        <v>1623</v>
      </c>
      <c r="CF139" s="2" t="s">
        <v>1624</v>
      </c>
      <c r="CG139" s="9" t="str">
        <f>HYPERLINK(".\links\KOG\AGAP005461-PA-KOG.txt","Non-SMC (structural maintenance of chromosomes) element 1 protein (NSE1)")</f>
        <v>Non-SMC (structural maintenance of chromosomes) element 1 protein (NSE1)</v>
      </c>
      <c r="CH139" s="15">
        <v>4.0000000000000002E-33</v>
      </c>
      <c r="CI139" s="2">
        <v>97.9</v>
      </c>
      <c r="CJ139" s="2" t="s">
        <v>1625</v>
      </c>
      <c r="CK139" s="2" t="s">
        <v>398</v>
      </c>
      <c r="CL139" s="9" t="str">
        <f>HYPERLINK(".\links\PFAM\AGAP005461-PA-PFAM.txt","SMC_Nse1, Nse1 non-SMC component of SMC5-6 complex")</f>
        <v>SMC_Nse1, Nse1 non-SMC component of SMC5-6 complex</v>
      </c>
      <c r="CM139" s="15">
        <v>1.9999999999999999E-7</v>
      </c>
      <c r="CN139" s="2">
        <v>100</v>
      </c>
      <c r="CO139" s="2" t="s">
        <v>1623</v>
      </c>
      <c r="CP139" s="9" t="str">
        <f>HYPERLINK(".\links\SMART\AGAP005461-PA-SMART.txt","C1, Protein kinase C conserved region 1 (C1) domains (Cysteine-rich domains)")</f>
        <v>C1, Protein kinase C conserved region 1 (C1) domains (Cysteine-rich domains)</v>
      </c>
      <c r="CQ139" s="15">
        <v>1.4E-2</v>
      </c>
      <c r="CR139" s="2">
        <v>68</v>
      </c>
      <c r="CS139" s="2" t="s">
        <v>1626</v>
      </c>
      <c r="CT139" s="2" t="s">
        <v>1619</v>
      </c>
      <c r="CU139" s="2" t="s">
        <v>1619</v>
      </c>
      <c r="CV139" s="2" t="s">
        <v>1619</v>
      </c>
      <c r="CW139" s="2" t="str">
        <f>HYPERLINK(".\links\pep\AGAP005461-PA-pep.txt","AGAP005461-PA")</f>
        <v>AGAP005461-PA</v>
      </c>
      <c r="CX139" s="2" t="s">
        <v>95</v>
      </c>
      <c r="CY139" s="2">
        <v>239</v>
      </c>
      <c r="CZ139" s="2" t="s">
        <v>113</v>
      </c>
      <c r="DA139" s="2" t="s">
        <v>1627</v>
      </c>
      <c r="DB139" s="2">
        <v>0</v>
      </c>
      <c r="DC139" s="2">
        <v>1</v>
      </c>
      <c r="DD139" s="2" t="str">
        <f>HYPERLINK("https://www.kegg.jp/kegg-bin/search_pathway_text?map=aga&amp;keyword=AGAP005461&amp;mode=1&amp;viewImage=true","AGAP005461")</f>
        <v>AGAP005461</v>
      </c>
      <c r="DE139" s="2" t="s">
        <v>1617</v>
      </c>
      <c r="DF139" s="2" t="s">
        <v>93</v>
      </c>
      <c r="DG139" s="2" t="s">
        <v>94</v>
      </c>
      <c r="DH139" s="2" t="str">
        <f>HYPERLINK("https://vectorbase.org/vectorbase/app/record/gene/AGAP005461","AGAP005461-RA")</f>
        <v>AGAP005461-RA</v>
      </c>
      <c r="DI139" s="2" t="s">
        <v>135</v>
      </c>
      <c r="DJ139" s="2">
        <v>793</v>
      </c>
      <c r="DK139" s="2" t="str">
        <f>HYPERLINK(".\links\netoglyc\AGAP005461-PA-netoglyc.txt","0")</f>
        <v>0</v>
      </c>
      <c r="DL139" s="2">
        <v>12.6</v>
      </c>
      <c r="DM139" s="2">
        <v>2.1</v>
      </c>
      <c r="DN139" s="2">
        <v>3.8</v>
      </c>
      <c r="DO139" s="2" t="s">
        <v>104</v>
      </c>
      <c r="DP139" s="2" t="s">
        <v>102</v>
      </c>
      <c r="DQ139" s="2" t="str">
        <f>HYPERLINK(".\links\Sigp\AGAP005461-PA-SigP.txt","CYT")</f>
        <v>CYT</v>
      </c>
      <c r="DR139" s="2" t="s">
        <v>102</v>
      </c>
      <c r="DS139" s="2">
        <v>27.297000000000001</v>
      </c>
      <c r="DT139" s="2">
        <v>5.59</v>
      </c>
      <c r="DU139" s="2" t="s">
        <v>102</v>
      </c>
      <c r="DV139" s="2" t="s">
        <v>102</v>
      </c>
      <c r="DW139" s="2" t="s">
        <v>1621</v>
      </c>
      <c r="DX139" s="2">
        <v>239</v>
      </c>
      <c r="DY139" s="12">
        <v>0</v>
      </c>
      <c r="DZ139" s="2" t="s">
        <v>102</v>
      </c>
      <c r="EA139" s="2" t="s">
        <v>102</v>
      </c>
      <c r="EB139" s="2" t="s">
        <v>102</v>
      </c>
      <c r="EC139" s="2" t="str">
        <f>HYPERLINK(".\links\gpi\AGAP005461-PA-gpi.txt","Y-NoSP")</f>
        <v>Y-NoSP</v>
      </c>
      <c r="ED139" s="2">
        <v>0.23</v>
      </c>
      <c r="EF139" s="2">
        <v>12</v>
      </c>
      <c r="EG139" s="2" t="s">
        <v>102</v>
      </c>
      <c r="EH139" s="2" t="s">
        <v>102</v>
      </c>
      <c r="EI139" s="2">
        <v>12.5523012552301</v>
      </c>
      <c r="EJ139" s="2">
        <v>3.7656903765690402</v>
      </c>
      <c r="EK139" s="2">
        <v>2.0920502092050199</v>
      </c>
      <c r="EL139" s="2">
        <v>5.8577405857740601</v>
      </c>
      <c r="EM139" s="2" t="s">
        <v>102</v>
      </c>
      <c r="EN139" s="2" t="s">
        <v>102</v>
      </c>
      <c r="EO139" s="2" t="s">
        <v>102</v>
      </c>
      <c r="EP139" s="2" t="s">
        <v>102</v>
      </c>
      <c r="EQ139" s="2" t="s">
        <v>102</v>
      </c>
      <c r="ER139" s="2" t="s">
        <v>102</v>
      </c>
      <c r="ES139" s="2" t="s">
        <v>102</v>
      </c>
      <c r="ET139" s="2" t="str">
        <f>HYPERLINK(".\links\REFSEQ-INVERTEBRATE\AGAP005461-PA-REFSEQ-INVERTEBRATE.txt","AGAP005461-PA")</f>
        <v>AGAP005461-PA</v>
      </c>
      <c r="EU139" s="2" t="str">
        <f>HYPERLINK("http://www.ncbi.nlm.nih.gov/sutils/blink.cgi?pid=XP_315464.4","1E-180")</f>
        <v>1E-180</v>
      </c>
      <c r="EV139" s="2" t="str">
        <f>HYPERLINK("http://www.ncbi.nlm.nih.gov/protein/XP_315464.4","XP_315464.4")</f>
        <v>XP_315464.4</v>
      </c>
      <c r="EW139" s="2">
        <v>100</v>
      </c>
      <c r="EX139" s="2">
        <v>100</v>
      </c>
      <c r="EY139" s="2">
        <v>100</v>
      </c>
      <c r="EZ139" s="2" t="s">
        <v>105</v>
      </c>
    </row>
    <row r="140" spans="1:156" x14ac:dyDescent="0.25">
      <c r="A140" s="2" t="s">
        <v>1628</v>
      </c>
      <c r="B140" s="2">
        <v>0.34798686735186601</v>
      </c>
      <c r="C140" s="2">
        <f t="shared" si="2"/>
        <v>1.2727833492570821</v>
      </c>
      <c r="D140" s="2">
        <v>7.1957616178750703</v>
      </c>
      <c r="E140" s="2">
        <v>14.170143664946499</v>
      </c>
      <c r="F140" s="2">
        <v>1.6699948667996901E-4</v>
      </c>
      <c r="G140" s="2">
        <v>1.41877581140612E-2</v>
      </c>
      <c r="H140" s="2" t="s">
        <v>93</v>
      </c>
      <c r="I140" s="2" t="s">
        <v>94</v>
      </c>
      <c r="J140" s="2" t="str">
        <f>HYPERLINK("https://vectorbase.org/vectorbase/app/record/gene/AGAP008040","AGAP008040-RA")</f>
        <v>AGAP008040-RA</v>
      </c>
      <c r="K140" s="2" t="str">
        <f>HYPERLINK(".\links\pep\AGAP008040-PA-pep.txt","AGAP008040-PA")</f>
        <v>AGAP008040-PA</v>
      </c>
      <c r="L140" s="12" t="s">
        <v>95</v>
      </c>
      <c r="M140" s="2">
        <v>298</v>
      </c>
      <c r="N140" s="2">
        <v>0</v>
      </c>
      <c r="O140" s="2">
        <v>0</v>
      </c>
      <c r="P140" s="2" t="s">
        <v>102</v>
      </c>
      <c r="Q140" s="9" t="s">
        <v>1629</v>
      </c>
      <c r="R140" s="2" t="s">
        <v>196</v>
      </c>
      <c r="S140" s="2" t="str">
        <f>HYPERLINK(".\links\REFSEQ-INVERTEBRATE\AGAP008040-PA-REFSEQ-INVERTEBRATE.txt","REFSEQ-INVERTEBRATE")</f>
        <v>REFSEQ-INVERTEBRATE</v>
      </c>
      <c r="T140" s="2">
        <v>0</v>
      </c>
      <c r="U140" s="2">
        <v>113.6</v>
      </c>
      <c r="V140" s="2" t="s">
        <v>1629</v>
      </c>
      <c r="W140" s="10" t="s">
        <v>1630</v>
      </c>
      <c r="X140" s="2" t="s">
        <v>196</v>
      </c>
      <c r="Y140" s="2" t="str">
        <f>HYPERLINK(".\links\ARTHORPODA\AGAP008040-PA-ARTHORPODA.txt","ARTHORPODA")</f>
        <v>ARTHORPODA</v>
      </c>
      <c r="Z140" s="2">
        <v>0</v>
      </c>
      <c r="AA140" s="2">
        <v>100</v>
      </c>
      <c r="AB140" s="13" t="s">
        <v>102</v>
      </c>
      <c r="AC140" s="13" t="str">
        <f>HYPERLINK(".\links\Sigp\AGAP008040-PA-SigP.txt","CYT")</f>
        <v>CYT</v>
      </c>
      <c r="AD140" s="2" t="s">
        <v>102</v>
      </c>
      <c r="AE140" s="2">
        <v>33.292000000000002</v>
      </c>
      <c r="AF140" s="2">
        <v>7.7</v>
      </c>
      <c r="AG140" s="2" t="s">
        <v>102</v>
      </c>
      <c r="AH140" s="2" t="s">
        <v>102</v>
      </c>
      <c r="AI140" s="2" t="s">
        <v>211</v>
      </c>
      <c r="AJ140" s="13">
        <v>0</v>
      </c>
      <c r="AK140" s="2" t="s">
        <v>102</v>
      </c>
      <c r="AL140" s="2" t="s">
        <v>102</v>
      </c>
      <c r="AM140" s="2" t="s">
        <v>102</v>
      </c>
      <c r="AN140" s="13" t="str">
        <f>HYPERLINK(".\links\gpi\AGAP008040-PA-gpi.txt","N")</f>
        <v>N</v>
      </c>
      <c r="AO140" s="14" t="str">
        <f>HYPERLINK(".\links\netoglyc\AGAP008040-PA-netoglyc.txt","8")</f>
        <v>8</v>
      </c>
      <c r="AP140" s="13">
        <v>18.5</v>
      </c>
      <c r="AQ140" s="2">
        <v>4</v>
      </c>
      <c r="AR140" s="2">
        <v>6.7</v>
      </c>
      <c r="AS140" s="2" t="s">
        <v>104</v>
      </c>
      <c r="AT140" s="9" t="str">
        <f>HYPERLINK(".\links\NR-LIGHT\AGAP008040-PA-NR-LIGHT.txt","AGAP008040-PA")</f>
        <v>AGAP008040-PA</v>
      </c>
      <c r="AU140" s="2" t="str">
        <f>HYPERLINK("http://www.ncbi.nlm.nih.gov/sutils/blink.cgi?pid=XP_001689034.1","1E-117")</f>
        <v>1E-117</v>
      </c>
      <c r="AV140" s="2" t="str">
        <f>HYPERLINK("http://www.ncbi.nlm.nih.gov/protein/XP_001689034.1","XP_001689034.1")</f>
        <v>XP_001689034.1</v>
      </c>
      <c r="AW140" s="2">
        <v>88</v>
      </c>
      <c r="AX140" s="2">
        <v>88</v>
      </c>
      <c r="AY140" s="2">
        <v>114</v>
      </c>
      <c r="AZ140" s="2" t="s">
        <v>105</v>
      </c>
      <c r="BA140" s="9" t="str">
        <f>HYPERLINK(".\links\REFSEQ-INVERTEBRATE\AGAP008040-PA-REFSEQ-INVERTEBRATE.txt","AGAP008040-PA")</f>
        <v>AGAP008040-PA</v>
      </c>
      <c r="BB140" s="2" t="str">
        <f>HYPERLINK("http://www.ncbi.nlm.nih.gov/sutils/blink.cgi?pid=XP_001689034.1","1E-117")</f>
        <v>1E-117</v>
      </c>
      <c r="BC140" s="2" t="str">
        <f>HYPERLINK("http://www.ncbi.nlm.nih.gov/protein/XP_001689034.1","XP_001689034.1")</f>
        <v>XP_001689034.1</v>
      </c>
      <c r="BD140" s="2">
        <v>88</v>
      </c>
      <c r="BE140" s="2">
        <v>88</v>
      </c>
      <c r="BF140" s="2">
        <v>114</v>
      </c>
      <c r="BG140" s="2" t="s">
        <v>105</v>
      </c>
      <c r="BH140" s="9" t="str">
        <f>HYPERLINK(".\links\REFSEQ-PROTOZOA\AGAP008040-PA-REFSEQ-PROTOZOA.txt","hypothetical protein ABB37_08417")</f>
        <v>hypothetical protein ABB37_08417</v>
      </c>
      <c r="BI140" s="2" t="str">
        <f>HYPERLINK("http://www.ncbi.nlm.nih.gov/sutils/blink.cgi?pid=XP_015653964.1","0.024")</f>
        <v>0.024</v>
      </c>
      <c r="BJ140" s="2" t="str">
        <f>HYPERLINK("http://www.ncbi.nlm.nih.gov/protein/XP_015653964.1","XP_015653964.1")</f>
        <v>XP_015653964.1</v>
      </c>
      <c r="BK140" s="2">
        <v>32</v>
      </c>
      <c r="BL140" s="2">
        <v>44</v>
      </c>
      <c r="BM140" s="2">
        <v>3</v>
      </c>
      <c r="BN140" s="2" t="s">
        <v>1631</v>
      </c>
      <c r="BO140" s="9" t="str">
        <f>HYPERLINK(".\links\SWISSP\AGAP008040-PA-SWISSP.txt","Zinc finger protein ZFAT")</f>
        <v>Zinc finger protein ZFAT</v>
      </c>
      <c r="BP140" s="2" t="str">
        <f>HYPERLINK("http://www.uniprot.org/uniprot/Q9P243","0.006")</f>
        <v>0.006</v>
      </c>
      <c r="BQ140" s="2" t="str">
        <f>HYPERLINK("http://www.uniprot.org/uniprot/Q9P243#expression","Q9P243")</f>
        <v>Q9P243</v>
      </c>
      <c r="BR140" s="2">
        <v>27</v>
      </c>
      <c r="BS140" s="2">
        <v>54</v>
      </c>
      <c r="BT140" s="2">
        <v>5</v>
      </c>
      <c r="BU140" s="2" t="s">
        <v>127</v>
      </c>
      <c r="BV140" s="9" t="str">
        <f>HYPERLINK(".\links\FLYBASE\AGAP008040-PA-FLYBASE.txt","FBpp0083005")</f>
        <v>FBpp0083005</v>
      </c>
      <c r="BW140" s="2" t="str">
        <f>HYPERLINK("http://flybase.org/reports/FBgn0004618#alliance_summary_container","0.024")</f>
        <v>0.024</v>
      </c>
      <c r="BX140" s="2">
        <v>604</v>
      </c>
      <c r="BY140" s="2">
        <v>34</v>
      </c>
      <c r="BZ140" s="2">
        <v>50</v>
      </c>
      <c r="CA140" s="2">
        <v>11</v>
      </c>
      <c r="CB140" s="9" t="str">
        <f>HYPERLINK(".\links\CDD\AGAP008040-PA-CDD.txt","ZnF_C2H2, zinc finger")</f>
        <v>ZnF_C2H2, zinc finger</v>
      </c>
      <c r="CC140" s="15">
        <v>0.53</v>
      </c>
      <c r="CD140" s="2">
        <v>100</v>
      </c>
      <c r="CE140" s="2" t="s">
        <v>573</v>
      </c>
      <c r="CF140" s="2" t="s">
        <v>1632</v>
      </c>
      <c r="CG140" s="9" t="str">
        <f>HYPERLINK(".\links\KOG\AGAP008040-PA-KOG.txt","FERM domain protein EHM2")</f>
        <v>FERM domain protein EHM2</v>
      </c>
      <c r="CH140" s="15">
        <v>0.39</v>
      </c>
      <c r="CI140" s="2">
        <v>14.1</v>
      </c>
      <c r="CJ140" s="2" t="s">
        <v>1633</v>
      </c>
      <c r="CK140" s="2" t="s">
        <v>191</v>
      </c>
      <c r="CL140" s="9" t="str">
        <f>HYPERLINK(".\links\PFAM\AGAP008040-PA-PFAM.txt","DUF4540, Domain of unknown function (DUF4540)")</f>
        <v>DUF4540, Domain of unknown function (DUF4540)</v>
      </c>
      <c r="CM140" s="15">
        <v>0.72</v>
      </c>
      <c r="CN140" s="2">
        <v>25.8</v>
      </c>
      <c r="CO140" s="2" t="s">
        <v>1634</v>
      </c>
      <c r="CP140" s="9" t="str">
        <f>HYPERLINK(".\links\SMART\AGAP008040-PA-SMART.txt","ZnF_C2H2, zinc finger")</f>
        <v>ZnF_C2H2, zinc finger</v>
      </c>
      <c r="CQ140" s="15">
        <v>5.0000000000000001E-3</v>
      </c>
      <c r="CR140" s="2">
        <v>100</v>
      </c>
      <c r="CS140" s="2" t="s">
        <v>573</v>
      </c>
      <c r="CT140" s="2" t="s">
        <v>1629</v>
      </c>
      <c r="CU140" s="2" t="s">
        <v>1629</v>
      </c>
      <c r="CV140" s="2" t="s">
        <v>1629</v>
      </c>
      <c r="CW140" s="2" t="str">
        <f>HYPERLINK(".\links\pep\AGAP008040-PA-pep.txt","AGAP008040-PA")</f>
        <v>AGAP008040-PA</v>
      </c>
      <c r="CX140" s="2" t="s">
        <v>95</v>
      </c>
      <c r="CY140" s="2">
        <v>298</v>
      </c>
      <c r="CZ140" s="2" t="s">
        <v>113</v>
      </c>
      <c r="DA140" s="2" t="s">
        <v>1635</v>
      </c>
      <c r="DB140" s="2">
        <v>0</v>
      </c>
      <c r="DC140" s="2">
        <v>0</v>
      </c>
      <c r="DD140" s="2" t="str">
        <f>HYPERLINK("https://www.kegg.jp/kegg-bin/search_pathway_text?map=aga&amp;keyword=AGAP008040&amp;mode=1&amp;viewImage=true","AGAP008040")</f>
        <v>AGAP008040</v>
      </c>
      <c r="DE140" s="2" t="s">
        <v>1628</v>
      </c>
      <c r="DF140" s="2" t="s">
        <v>93</v>
      </c>
      <c r="DG140" s="2" t="s">
        <v>94</v>
      </c>
      <c r="DH140" s="2" t="str">
        <f>HYPERLINK("https://vectorbase.org/vectorbase/app/record/gene/AGAP008040","AGAP008040-RA")</f>
        <v>AGAP008040-RA</v>
      </c>
      <c r="DI140" s="2" t="s">
        <v>115</v>
      </c>
      <c r="DJ140" s="2">
        <v>1421</v>
      </c>
      <c r="DK140" s="2" t="str">
        <f>HYPERLINK(".\links\netoglyc\AGAP008040-PA-netoglyc.txt","8")</f>
        <v>8</v>
      </c>
      <c r="DL140" s="2">
        <v>18.5</v>
      </c>
      <c r="DM140" s="2">
        <v>4</v>
      </c>
      <c r="DN140" s="2">
        <v>6.7</v>
      </c>
      <c r="DO140" s="2" t="s">
        <v>104</v>
      </c>
      <c r="DP140" s="2" t="s">
        <v>1636</v>
      </c>
      <c r="DQ140" s="2" t="str">
        <f>HYPERLINK(".\links\Sigp\AGAP008040-PA-SigP.txt","CYT")</f>
        <v>CYT</v>
      </c>
      <c r="DR140" s="2" t="s">
        <v>102</v>
      </c>
      <c r="DS140" s="2">
        <v>33.292000000000002</v>
      </c>
      <c r="DT140" s="2">
        <v>7.7</v>
      </c>
      <c r="DU140" s="2" t="s">
        <v>102</v>
      </c>
      <c r="DV140" s="2" t="s">
        <v>102</v>
      </c>
      <c r="DW140" s="2" t="s">
        <v>211</v>
      </c>
      <c r="DX140" s="2">
        <v>298</v>
      </c>
      <c r="DY140" s="12">
        <v>0</v>
      </c>
      <c r="DZ140" s="2" t="s">
        <v>102</v>
      </c>
      <c r="EA140" s="2" t="s">
        <v>102</v>
      </c>
      <c r="EB140" s="2" t="s">
        <v>102</v>
      </c>
      <c r="EC140" s="2" t="str">
        <f>HYPERLINK(".\links\gpi\AGAP008040-PA-gpi.txt","Y-NoSP")</f>
        <v>Y-NoSP</v>
      </c>
      <c r="ED140" s="2">
        <v>0.24</v>
      </c>
      <c r="EF140" s="2">
        <v>7</v>
      </c>
      <c r="EG140" s="2" t="s">
        <v>102</v>
      </c>
      <c r="EH140" s="2" t="s">
        <v>102</v>
      </c>
      <c r="EI140" s="2">
        <v>18.456375838926199</v>
      </c>
      <c r="EJ140" s="2">
        <v>6.71140939597315</v>
      </c>
      <c r="EK140" s="2">
        <v>4.0268456375838904</v>
      </c>
      <c r="EL140" s="2">
        <v>10.738255033557</v>
      </c>
      <c r="EM140" s="2" t="s">
        <v>102</v>
      </c>
      <c r="EN140" s="2" t="s">
        <v>102</v>
      </c>
      <c r="EO140" s="2" t="s">
        <v>102</v>
      </c>
      <c r="EP140" s="2" t="s">
        <v>102</v>
      </c>
      <c r="EQ140" s="2" t="s">
        <v>102</v>
      </c>
      <c r="ER140" s="2" t="s">
        <v>102</v>
      </c>
      <c r="ES140" s="2" t="s">
        <v>102</v>
      </c>
      <c r="ET140" s="2" t="str">
        <f>HYPERLINK(".\links\REFSEQ-INVERTEBRATE\AGAP008040-PA-REFSEQ-INVERTEBRATE.txt","AGAP008040-PA")</f>
        <v>AGAP008040-PA</v>
      </c>
      <c r="EU140" s="2" t="str">
        <f>HYPERLINK("http://www.ncbi.nlm.nih.gov/sutils/blink.cgi?pid=XP_001689034.1","1E-153")</f>
        <v>1E-153</v>
      </c>
      <c r="EV140" s="2" t="str">
        <f>HYPERLINK("http://www.ncbi.nlm.nih.gov/protein/XP_001689034.1","XP_001689034.1")</f>
        <v>XP_001689034.1</v>
      </c>
      <c r="EW140" s="2">
        <v>88</v>
      </c>
      <c r="EX140" s="2">
        <v>88</v>
      </c>
      <c r="EY140" s="2">
        <v>114</v>
      </c>
      <c r="EZ140" s="2" t="s">
        <v>105</v>
      </c>
    </row>
    <row r="141" spans="1:156" x14ac:dyDescent="0.25">
      <c r="A141" s="2" t="s">
        <v>1637</v>
      </c>
      <c r="B141" s="2">
        <v>0.347745659810344</v>
      </c>
      <c r="C141" s="2">
        <f t="shared" si="2"/>
        <v>1.2725705674349654</v>
      </c>
      <c r="D141" s="2">
        <v>5.6831276975971701</v>
      </c>
      <c r="E141" s="2">
        <v>13.4622471185937</v>
      </c>
      <c r="F141" s="2">
        <v>2.4341204836694801E-4</v>
      </c>
      <c r="G141" s="2">
        <v>1.76384245342373E-2</v>
      </c>
      <c r="H141" s="2" t="s">
        <v>1638</v>
      </c>
      <c r="I141" s="2" t="s">
        <v>94</v>
      </c>
      <c r="J141" s="2" t="str">
        <f>HYPERLINK("https://vectorbase.org/vectorbase/app/record/gene/AGAP010191","AGAP010191-RA")</f>
        <v>AGAP010191-RA</v>
      </c>
      <c r="K141" s="2" t="str">
        <f>HYPERLINK(".\links\pep\AGAP010191-PA-pep.txt","AGAP010191-PA")</f>
        <v>AGAP010191-PA</v>
      </c>
      <c r="L141" s="12" t="s">
        <v>95</v>
      </c>
      <c r="M141" s="2">
        <v>336</v>
      </c>
      <c r="N141" s="2">
        <v>0</v>
      </c>
      <c r="O141" s="2">
        <v>0</v>
      </c>
      <c r="P141" s="2" t="s">
        <v>1639</v>
      </c>
      <c r="Q141" s="9" t="s">
        <v>1640</v>
      </c>
      <c r="R141" s="2" t="s">
        <v>1641</v>
      </c>
      <c r="S141" s="2" t="str">
        <f>HYPERLINK(".\links\KOG\AGAP010191-PA-KOG.txt","KOG")</f>
        <v>KOG</v>
      </c>
      <c r="T141" s="2">
        <v>9.9999999999999993E-77</v>
      </c>
      <c r="U141" s="2">
        <v>94.4</v>
      </c>
      <c r="V141" s="2" t="s">
        <v>1642</v>
      </c>
      <c r="W141" s="10" t="s">
        <v>1643</v>
      </c>
      <c r="X141" s="2" t="s">
        <v>101</v>
      </c>
      <c r="Y141" s="2" t="str">
        <f>HYPERLINK(".\links\CDD\AGAP010191-PA-CDD.txt","CDD")</f>
        <v>CDD</v>
      </c>
      <c r="Z141" s="2">
        <v>0</v>
      </c>
      <c r="AA141" s="2">
        <v>101.5</v>
      </c>
      <c r="AB141" s="13" t="str">
        <f>HYPERLINK(".\links\pep\AGAP010191-PA-sulf.txt","3")</f>
        <v>3</v>
      </c>
      <c r="AC141" s="13" t="str">
        <f>HYPERLINK(".\links\Sigp\AGAP010191-PA-SigP.txt","SIG")</f>
        <v>SIG</v>
      </c>
      <c r="AD141" s="2" t="s">
        <v>1644</v>
      </c>
      <c r="AE141" s="2">
        <v>39.076999999999998</v>
      </c>
      <c r="AF141" s="2">
        <v>4.38</v>
      </c>
      <c r="AG141" s="2">
        <v>36.423999999999999</v>
      </c>
      <c r="AH141" s="2">
        <v>4.3600000000000003</v>
      </c>
      <c r="AI141" s="2" t="s">
        <v>1645</v>
      </c>
      <c r="AJ141" s="13">
        <v>0</v>
      </c>
      <c r="AK141" s="2" t="s">
        <v>102</v>
      </c>
      <c r="AL141" s="2" t="s">
        <v>102</v>
      </c>
      <c r="AM141" s="2" t="s">
        <v>102</v>
      </c>
      <c r="AN141" s="13" t="str">
        <f>HYPERLINK(".\links\gpi\AGAP010191-PA-gpi.txt","N")</f>
        <v>N</v>
      </c>
      <c r="AO141" s="14" t="str">
        <f>HYPERLINK(".\links\netoglyc\AGAP010191-PA-netoglyc.txt","0")</f>
        <v>0</v>
      </c>
      <c r="AP141" s="13">
        <v>9.8000000000000007</v>
      </c>
      <c r="AQ141" s="2">
        <v>4.2</v>
      </c>
      <c r="AR141" s="2">
        <v>2.4</v>
      </c>
      <c r="AS141" s="2" t="s">
        <v>104</v>
      </c>
      <c r="AT141" s="9" t="str">
        <f>HYPERLINK(".\links\NR-LIGHT\AGAP010191-PA-NR-LIGHT.txt","AGAP010191-PA, partial")</f>
        <v>AGAP010191-PA, partial</v>
      </c>
      <c r="AU141" s="2" t="str">
        <f>HYPERLINK("http://www.ncbi.nlm.nih.gov/sutils/blink.cgi?pid=XP_319369.4","0.0")</f>
        <v>0.0</v>
      </c>
      <c r="AV141" s="2" t="str">
        <f>HYPERLINK("http://www.ncbi.nlm.nih.gov/protein/XP_319369.4","XP_319369.4")</f>
        <v>XP_319369.4</v>
      </c>
      <c r="AW141" s="2">
        <v>100</v>
      </c>
      <c r="AX141" s="2">
        <v>100</v>
      </c>
      <c r="AY141" s="2">
        <v>100</v>
      </c>
      <c r="AZ141" s="2" t="s">
        <v>105</v>
      </c>
      <c r="BA141" s="9" t="str">
        <f>HYPERLINK(".\links\REFSEQ-INVERTEBRATE\AGAP010191-PA-REFSEQ-INVERTEBRATE.txt","AGAP010191-PA, partial")</f>
        <v>AGAP010191-PA, partial</v>
      </c>
      <c r="BB141" s="2" t="str">
        <f>HYPERLINK("http://www.ncbi.nlm.nih.gov/sutils/blink.cgi?pid=XP_319369.4","0.0")</f>
        <v>0.0</v>
      </c>
      <c r="BC141" s="2" t="str">
        <f>HYPERLINK("http://www.ncbi.nlm.nih.gov/protein/XP_319369.4","XP_319369.4")</f>
        <v>XP_319369.4</v>
      </c>
      <c r="BD141" s="2">
        <v>100</v>
      </c>
      <c r="BE141" s="2">
        <v>100</v>
      </c>
      <c r="BF141" s="2">
        <v>100</v>
      </c>
      <c r="BG141" s="2" t="s">
        <v>105</v>
      </c>
      <c r="BH141" s="9" t="str">
        <f>HYPERLINK(".\links\REFSEQ-PROTOZOA\AGAP010191-PA-REFSEQ-PROTOZOA.txt","membrane-associated calcum-binding protein, related, putative")</f>
        <v>membrane-associated calcum-binding protein, related, putative</v>
      </c>
      <c r="BI141" s="2" t="str">
        <f>HYPERLINK("http://www.ncbi.nlm.nih.gov/sutils/blink.cgi?pid=XP_013252173.1","7E-017")</f>
        <v>7E-017</v>
      </c>
      <c r="BJ141" s="2" t="str">
        <f>HYPERLINK("http://www.ncbi.nlm.nih.gov/protein/XP_013252173.1","XP_013252173.1")</f>
        <v>XP_013252173.1</v>
      </c>
      <c r="BK141" s="2">
        <v>25</v>
      </c>
      <c r="BL141" s="2">
        <v>47</v>
      </c>
      <c r="BM141" s="2">
        <v>87</v>
      </c>
      <c r="BN141" s="2" t="s">
        <v>1646</v>
      </c>
      <c r="BO141" s="9" t="str">
        <f>HYPERLINK(".\links\SWISSP\AGAP010191-PA-SWISSP.txt","Reticulocalbin-2")</f>
        <v>Reticulocalbin-2</v>
      </c>
      <c r="BP141" s="2" t="str">
        <f>HYPERLINK("http://www.uniprot.org/uniprot/J3S9D9","3E-058")</f>
        <v>3E-058</v>
      </c>
      <c r="BQ141" s="2" t="str">
        <f>HYPERLINK("http://www.uniprot.org/uniprot/J3S9D9#expression","J3S9D9")</f>
        <v>J3S9D9</v>
      </c>
      <c r="BR141" s="2">
        <v>40</v>
      </c>
      <c r="BS141" s="2">
        <v>60</v>
      </c>
      <c r="BT141" s="2">
        <v>94</v>
      </c>
      <c r="BU141" s="2" t="s">
        <v>1647</v>
      </c>
      <c r="BV141" s="9" t="str">
        <f>HYPERLINK(".\links\FLYBASE\AGAP010191-PA-FLYBASE.txt","FBpp0291121")</f>
        <v>FBpp0291121</v>
      </c>
      <c r="BW141" s="2" t="str">
        <f>HYPERLINK("http://flybase.org/reports/FBgn0031673#alliance_summary_container","1E-141")</f>
        <v>1E-141</v>
      </c>
      <c r="BX141" s="2">
        <v>342</v>
      </c>
      <c r="BY141" s="2">
        <v>58</v>
      </c>
      <c r="BZ141" s="2">
        <v>77</v>
      </c>
      <c r="CA141" s="2">
        <v>99</v>
      </c>
      <c r="CB141" s="9" t="str">
        <f>HYPERLINK(".\links\CDD\AGAP010191-PA-CDD.txt","EFh_CREC_RCN2_like, EF-hand, calcium binding motif, found in reticulocalbin-2 (RCN2) mainly from protostomes")</f>
        <v>EFh_CREC_RCN2_like, EF-hand, calcium binding motif, found in reticulocalbin-2 (RCN2) mainly from protostomes</v>
      </c>
      <c r="CC141" s="15">
        <v>1.0000000000000001E-101</v>
      </c>
      <c r="CD141" s="2">
        <v>101.5</v>
      </c>
      <c r="CE141" s="2" t="s">
        <v>1648</v>
      </c>
      <c r="CF141" s="2" t="s">
        <v>1649</v>
      </c>
      <c r="CG141" s="9" t="str">
        <f>HYPERLINK(".\links\KOG\AGAP010191-PA-KOG.txt","calumenin, DNA supercoiling factor, and related Ca2+-binding proteins of the CREC family (EF-Hand protein superfamily)")</f>
        <v>calumenin, DNA supercoiling factor, and related Ca2+-binding proteins of the CREC family (EF-Hand protein superfamily)</v>
      </c>
      <c r="CH141" s="15">
        <v>9.9999999999999993E-77</v>
      </c>
      <c r="CI141" s="2">
        <v>94.5</v>
      </c>
      <c r="CJ141" s="2" t="s">
        <v>1650</v>
      </c>
      <c r="CK141" s="2" t="s">
        <v>463</v>
      </c>
      <c r="CL141" s="9" t="str">
        <f>HYPERLINK(".\links\PFAM\AGAP010191-PA-PFAM.txt","EF-hand_7, EF-hand domain pair")</f>
        <v>EF-hand_7, EF-hand domain pair</v>
      </c>
      <c r="CM141" s="15">
        <v>2.9999999999999997E-4</v>
      </c>
      <c r="CN141" s="2">
        <v>88.2</v>
      </c>
      <c r="CO141" s="2" t="s">
        <v>1651</v>
      </c>
      <c r="CP141" s="9" t="str">
        <f>HYPERLINK(".\links\SMART\AGAP010191-PA-SMART.txt","EH, Eps15 homology domain")</f>
        <v>EH, Eps15 homology domain</v>
      </c>
      <c r="CQ141" s="15">
        <v>2E-3</v>
      </c>
      <c r="CR141" s="2">
        <v>68.8</v>
      </c>
      <c r="CS141" s="2" t="s">
        <v>1652</v>
      </c>
      <c r="CT141" s="2" t="s">
        <v>1642</v>
      </c>
      <c r="CU141" s="2" t="s">
        <v>1642</v>
      </c>
      <c r="CV141" s="2" t="s">
        <v>1642</v>
      </c>
      <c r="CW141" s="2" t="str">
        <f>HYPERLINK(".\links\pep\AGAP010191-PA-pep.txt","AGAP010191-PA")</f>
        <v>AGAP010191-PA</v>
      </c>
      <c r="CX141" s="2" t="s">
        <v>95</v>
      </c>
      <c r="CY141" s="2">
        <v>336</v>
      </c>
      <c r="CZ141" s="2" t="s">
        <v>113</v>
      </c>
      <c r="DA141" s="2" t="s">
        <v>1653</v>
      </c>
      <c r="DB141" s="2">
        <v>0</v>
      </c>
      <c r="DC141" s="2">
        <v>0</v>
      </c>
      <c r="DD141" s="2" t="str">
        <f>HYPERLINK("https://www.kegg.jp/kegg-bin/search_pathway_text?map=aga&amp;keyword=AGAP010191&amp;mode=1&amp;viewImage=true","AGAP010191")</f>
        <v>AGAP010191</v>
      </c>
      <c r="DE141" s="2" t="s">
        <v>1637</v>
      </c>
      <c r="DF141" s="2" t="s">
        <v>1638</v>
      </c>
      <c r="DG141" s="2" t="s">
        <v>94</v>
      </c>
      <c r="DH141" s="2" t="str">
        <f>HYPERLINK("https://vectorbase.org/vectorbase/app/record/gene/AGAP010191","AGAP010191-RA")</f>
        <v>AGAP010191-RA</v>
      </c>
      <c r="DI141" s="2" t="s">
        <v>90</v>
      </c>
      <c r="DJ141" s="2">
        <v>1254</v>
      </c>
      <c r="DK141" s="2" t="str">
        <f>HYPERLINK(".\links\netoglyc\AGAP010191-PA-netoglyc.txt","0")</f>
        <v>0</v>
      </c>
      <c r="DL141" s="2">
        <v>9.8000000000000007</v>
      </c>
      <c r="DM141" s="2">
        <v>4.2</v>
      </c>
      <c r="DN141" s="2">
        <v>2.4</v>
      </c>
      <c r="DO141" s="2" t="s">
        <v>104</v>
      </c>
      <c r="DP141" s="2" t="s">
        <v>102</v>
      </c>
      <c r="DQ141" s="2" t="str">
        <f>HYPERLINK(".\links\Sigp\AGAP010191-PA-SigP.txt","SIG")</f>
        <v>SIG</v>
      </c>
      <c r="DR141" s="2" t="s">
        <v>1644</v>
      </c>
      <c r="DS141" s="2">
        <v>39.076999999999998</v>
      </c>
      <c r="DT141" s="2">
        <v>4.38</v>
      </c>
      <c r="DU141" s="2">
        <v>36.423999999999999</v>
      </c>
      <c r="DV141" s="2">
        <v>4.3600000000000003</v>
      </c>
      <c r="DW141" s="2" t="s">
        <v>1645</v>
      </c>
      <c r="DX141" s="2">
        <v>336</v>
      </c>
      <c r="DY141" s="12">
        <v>0</v>
      </c>
      <c r="DZ141" s="2" t="s">
        <v>102</v>
      </c>
      <c r="EA141" s="2" t="s">
        <v>102</v>
      </c>
      <c r="EB141" s="2" t="s">
        <v>102</v>
      </c>
      <c r="EC141" s="2" t="str">
        <f>HYPERLINK(".\links\gpi\AGAP010191-PA-gpi.txt","Y-NoSP")</f>
        <v>Y-NoSP</v>
      </c>
      <c r="ED141" s="2">
        <v>0.37</v>
      </c>
      <c r="EF141" s="2">
        <v>3</v>
      </c>
      <c r="EG141" s="2" t="str">
        <f>HYPERLINK(".\links\pep\AGAP010191-PA-sulf.txt","3")</f>
        <v>3</v>
      </c>
      <c r="EH141" s="2" t="s">
        <v>102</v>
      </c>
      <c r="EI141" s="2">
        <v>9.8214285714285694</v>
      </c>
      <c r="EJ141" s="2">
        <v>2.38095238095238</v>
      </c>
      <c r="EK141" s="2">
        <v>4.1666666666666696</v>
      </c>
      <c r="EL141" s="2">
        <v>6.5476190476190501</v>
      </c>
      <c r="EM141" s="2" t="s">
        <v>102</v>
      </c>
      <c r="EN141" s="2" t="s">
        <v>102</v>
      </c>
      <c r="EO141" s="2" t="s">
        <v>102</v>
      </c>
      <c r="EP141" s="2" t="s">
        <v>102</v>
      </c>
      <c r="EQ141" s="2" t="s">
        <v>102</v>
      </c>
      <c r="ER141" s="2" t="s">
        <v>102</v>
      </c>
      <c r="ES141" s="2" t="s">
        <v>102</v>
      </c>
      <c r="ET141" s="2" t="str">
        <f>HYPERLINK(".\links\REFSEQ-INVERTEBRATE\AGAP010191-PA-REFSEQ-INVERTEBRATE.txt","AGAP010191-PA, partial")</f>
        <v>AGAP010191-PA, partial</v>
      </c>
      <c r="EU141" s="2" t="str">
        <f>HYPERLINK("http://www.ncbi.nlm.nih.gov/sutils/blink.cgi?pid=XP_319369.4","0.0")</f>
        <v>0.0</v>
      </c>
      <c r="EV141" s="2" t="str">
        <f>HYPERLINK("http://www.ncbi.nlm.nih.gov/protein/XP_319369.4","XP_319369.4")</f>
        <v>XP_319369.4</v>
      </c>
      <c r="EW141" s="2">
        <v>100</v>
      </c>
      <c r="EX141" s="2">
        <v>100</v>
      </c>
      <c r="EY141" s="2">
        <v>100</v>
      </c>
      <c r="EZ141" s="2" t="s">
        <v>105</v>
      </c>
    </row>
    <row r="142" spans="1:156" x14ac:dyDescent="0.25">
      <c r="A142" s="2" t="s">
        <v>1654</v>
      </c>
      <c r="B142" s="2">
        <v>0.34745744046264398</v>
      </c>
      <c r="C142" s="2">
        <f t="shared" si="2"/>
        <v>1.2723163606805357</v>
      </c>
      <c r="D142" s="2">
        <v>7.9865165098315298</v>
      </c>
      <c r="E142" s="2">
        <v>10.5028111584607</v>
      </c>
      <c r="F142" s="2">
        <v>1.1919306795468399E-3</v>
      </c>
      <c r="G142" s="2">
        <v>3.4708192669214502E-2</v>
      </c>
      <c r="H142" s="2" t="s">
        <v>1655</v>
      </c>
      <c r="I142" s="2" t="s">
        <v>94</v>
      </c>
      <c r="J142" s="2" t="str">
        <f>HYPERLINK("https://vectorbase.org/vectorbase/app/record/gene/AGAP010258","AGAP010258-RA")</f>
        <v>AGAP010258-RA</v>
      </c>
      <c r="K142" s="2" t="str">
        <f>HYPERLINK(".\links\pep\AGAP010258-PA-pep.txt","AGAP010258-PA")</f>
        <v>AGAP010258-PA</v>
      </c>
      <c r="L142" s="12" t="s">
        <v>95</v>
      </c>
      <c r="M142" s="2">
        <v>509</v>
      </c>
      <c r="N142" s="2">
        <v>0</v>
      </c>
      <c r="O142" s="2">
        <v>3</v>
      </c>
      <c r="P142" s="2" t="s">
        <v>1656</v>
      </c>
      <c r="Q142" s="9" t="s">
        <v>1657</v>
      </c>
      <c r="R142" s="2" t="s">
        <v>358</v>
      </c>
      <c r="S142" s="2" t="str">
        <f>HYPERLINK(".\links\KOG\AGAP010258-PA-KOG.txt","KOG")</f>
        <v>KOG</v>
      </c>
      <c r="T142" s="2">
        <v>0</v>
      </c>
      <c r="U142" s="2">
        <v>96.8</v>
      </c>
      <c r="V142" s="2" t="s">
        <v>1658</v>
      </c>
      <c r="W142" s="10" t="s">
        <v>1659</v>
      </c>
      <c r="X142" s="2" t="s">
        <v>358</v>
      </c>
      <c r="Y142" s="2" t="str">
        <f>HYPERLINK(".\links\KOG\AGAP010258-PA-KOG.txt","KOG")</f>
        <v>KOG</v>
      </c>
      <c r="Z142" s="15">
        <v>0</v>
      </c>
      <c r="AA142" s="2">
        <v>95.4</v>
      </c>
      <c r="AB142" s="13" t="s">
        <v>102</v>
      </c>
      <c r="AC142" s="13" t="str">
        <f>HYPERLINK(".\links\Sigp\AGAP010258-PA-SigP.txt","CYT")</f>
        <v>CYT</v>
      </c>
      <c r="AD142" s="2" t="s">
        <v>102</v>
      </c>
      <c r="AE142" s="2">
        <v>58.018999999999998</v>
      </c>
      <c r="AF142" s="2">
        <v>5.85</v>
      </c>
      <c r="AG142" s="2" t="s">
        <v>102</v>
      </c>
      <c r="AH142" s="2" t="s">
        <v>102</v>
      </c>
      <c r="AI142" s="2" t="s">
        <v>1660</v>
      </c>
      <c r="AJ142" s="13">
        <v>0</v>
      </c>
      <c r="AK142" s="2" t="s">
        <v>102</v>
      </c>
      <c r="AL142" s="2" t="s">
        <v>102</v>
      </c>
      <c r="AM142" s="2" t="s">
        <v>102</v>
      </c>
      <c r="AN142" s="13" t="str">
        <f>HYPERLINK(".\links\gpi\AGAP010258-PA-gpi.txt","N")</f>
        <v>N</v>
      </c>
      <c r="AO142" s="14" t="str">
        <f>HYPERLINK(".\links\netoglyc\AGAP010258-PA-netoglyc.txt","0")</f>
        <v>0</v>
      </c>
      <c r="AP142" s="13">
        <v>8.1</v>
      </c>
      <c r="AQ142" s="2">
        <v>4.3</v>
      </c>
      <c r="AR142" s="2">
        <v>3.1</v>
      </c>
      <c r="AS142" s="2" t="s">
        <v>104</v>
      </c>
      <c r="AT142" s="9" t="str">
        <f>HYPERLINK(".\links\NR-LIGHT\AGAP010258-PA-NR-LIGHT.txt","AGAP010258-PA")</f>
        <v>AGAP010258-PA</v>
      </c>
      <c r="AU142" s="2" t="str">
        <f>HYPERLINK("http://www.ncbi.nlm.nih.gov/sutils/blink.cgi?pid=XP_319447.2","0.0")</f>
        <v>0.0</v>
      </c>
      <c r="AV142" s="2" t="str">
        <f>HYPERLINK("http://www.ncbi.nlm.nih.gov/protein/XP_319447.2","XP_319447.2")</f>
        <v>XP_319447.2</v>
      </c>
      <c r="AW142" s="2">
        <v>100</v>
      </c>
      <c r="AX142" s="2">
        <v>100</v>
      </c>
      <c r="AY142" s="2">
        <v>100</v>
      </c>
      <c r="AZ142" s="2" t="s">
        <v>105</v>
      </c>
      <c r="BA142" s="9" t="str">
        <f>HYPERLINK(".\links\REFSEQ-INVERTEBRATE\AGAP010258-PA-REFSEQ-INVERTEBRATE.txt","AGAP010258-PA")</f>
        <v>AGAP010258-PA</v>
      </c>
      <c r="BB142" s="2" t="str">
        <f>HYPERLINK("http://www.ncbi.nlm.nih.gov/sutils/blink.cgi?pid=XP_319447.2","0.0")</f>
        <v>0.0</v>
      </c>
      <c r="BC142" s="2" t="str">
        <f>HYPERLINK("http://www.ncbi.nlm.nih.gov/protein/XP_319447.2","XP_319447.2")</f>
        <v>XP_319447.2</v>
      </c>
      <c r="BD142" s="2">
        <v>100</v>
      </c>
      <c r="BE142" s="2">
        <v>100</v>
      </c>
      <c r="BF142" s="2">
        <v>100</v>
      </c>
      <c r="BG142" s="2" t="s">
        <v>105</v>
      </c>
      <c r="BH142" s="9" t="str">
        <f>HYPERLINK(".\links\REFSEQ-PROTOZOA\AGAP010258-PA-REFSEQ-PROTOZOA.txt","TPR repeat:Kinesin light chain")</f>
        <v>TPR repeat:Kinesin light chain</v>
      </c>
      <c r="BI142" s="2" t="str">
        <f>HYPERLINK("http://www.ncbi.nlm.nih.gov/sutils/blink.cgi?pid=XP_004990835.1","1E-130")</f>
        <v>1E-130</v>
      </c>
      <c r="BJ142" s="2" t="str">
        <f>HYPERLINK("http://www.ncbi.nlm.nih.gov/protein/XP_004990835.1","XP_004990835.1")</f>
        <v>XP_004990835.1</v>
      </c>
      <c r="BK142" s="2">
        <v>53</v>
      </c>
      <c r="BL142" s="2">
        <v>70</v>
      </c>
      <c r="BM142" s="2">
        <v>92</v>
      </c>
      <c r="BN142" s="2" t="s">
        <v>435</v>
      </c>
      <c r="BO142" s="9" t="str">
        <f>HYPERLINK(".\links\SWISSP\AGAP010258-PA-SWISSP.txt","Kinesin light chain")</f>
        <v>Kinesin light chain</v>
      </c>
      <c r="BP142" s="2" t="str">
        <f>HYPERLINK("http://www.uniprot.org/uniprot/P46824","0.0")</f>
        <v>0.0</v>
      </c>
      <c r="BQ142" s="2" t="str">
        <f>HYPERLINK("http://www.uniprot.org/uniprot/P46824#expression","P46824")</f>
        <v>P46824</v>
      </c>
      <c r="BR142" s="2">
        <v>80</v>
      </c>
      <c r="BS142" s="2">
        <v>90</v>
      </c>
      <c r="BT142" s="2">
        <v>99</v>
      </c>
      <c r="BU142" s="2" t="s">
        <v>107</v>
      </c>
      <c r="BV142" s="9" t="str">
        <f>HYPERLINK(".\links\FLYBASE\AGAP010258-PA-FLYBASE.txt","FBpp0303946")</f>
        <v>FBpp0303946</v>
      </c>
      <c r="BW142" s="2" t="str">
        <f>HYPERLINK("http://flybase.org/reports/FBgn0010235#alliance_summary_container","0.0")</f>
        <v>0.0</v>
      </c>
      <c r="BX142" s="2">
        <v>507</v>
      </c>
      <c r="BY142" s="2">
        <v>80</v>
      </c>
      <c r="BZ142" s="2">
        <v>90</v>
      </c>
      <c r="CA142" s="2">
        <v>99</v>
      </c>
      <c r="CB142" s="9" t="str">
        <f>HYPERLINK(".\links\CDD\AGAP010258-PA-CDD.txt","TPR, Tetratricopeptide repeat")</f>
        <v>TPR, Tetratricopeptide repeat</v>
      </c>
      <c r="CC142" s="15">
        <v>2.0000000000000001E-13</v>
      </c>
      <c r="CD142" s="2">
        <v>115.5</v>
      </c>
      <c r="CE142" s="2" t="s">
        <v>1661</v>
      </c>
      <c r="CF142" s="2" t="s">
        <v>1662</v>
      </c>
      <c r="CG142" s="9" t="str">
        <f>HYPERLINK(".\links\KOG\AGAP010258-PA-KOG.txt","Kinesin light chain")</f>
        <v>Kinesin light chain</v>
      </c>
      <c r="CH142" s="15">
        <v>9.9999999999999993E-130</v>
      </c>
      <c r="CI142" s="2">
        <v>96.9</v>
      </c>
      <c r="CJ142" s="2" t="s">
        <v>1663</v>
      </c>
      <c r="CK142" s="2" t="s">
        <v>131</v>
      </c>
      <c r="CL142" s="9" t="str">
        <f>HYPERLINK(".\links\PFAM\AGAP010258-PA-PFAM.txt","TPR_12, Tetratricopeptide repeat")</f>
        <v>TPR_12, Tetratricopeptide repeat</v>
      </c>
      <c r="CM142" s="15">
        <v>9.9999999999999998E-13</v>
      </c>
      <c r="CN142" s="2">
        <v>100</v>
      </c>
      <c r="CO142" s="2" t="s">
        <v>1664</v>
      </c>
      <c r="CP142" s="9" t="str">
        <f>HYPERLINK(".\links\SMART\AGAP010258-PA-SMART.txt","TPR, Tetratricopeptide repeats")</f>
        <v>TPR, Tetratricopeptide repeats</v>
      </c>
      <c r="CQ142" s="15">
        <v>4.0000000000000002E-4</v>
      </c>
      <c r="CR142" s="2">
        <v>97.1</v>
      </c>
      <c r="CS142" s="2" t="s">
        <v>1172</v>
      </c>
      <c r="CT142" s="2" t="s">
        <v>1658</v>
      </c>
      <c r="CU142" s="2" t="s">
        <v>1658</v>
      </c>
      <c r="CV142" s="2" t="s">
        <v>1658</v>
      </c>
      <c r="CW142" s="2" t="str">
        <f>HYPERLINK(".\links\pep\AGAP010258-PA-pep.txt","AGAP010258-PA")</f>
        <v>AGAP010258-PA</v>
      </c>
      <c r="CX142" s="2" t="s">
        <v>95</v>
      </c>
      <c r="CY142" s="2">
        <v>509</v>
      </c>
      <c r="CZ142" s="2" t="s">
        <v>113</v>
      </c>
      <c r="DA142" s="2" t="s">
        <v>1665</v>
      </c>
      <c r="DB142" s="2">
        <v>0</v>
      </c>
      <c r="DC142" s="2">
        <v>3</v>
      </c>
      <c r="DD142" s="2" t="str">
        <f>HYPERLINK("https://www.kegg.jp/kegg-bin/search_pathway_text?map=aga&amp;keyword=AGAP010258&amp;mode=1&amp;viewImage=true","AGAP010258")</f>
        <v>AGAP010258</v>
      </c>
      <c r="DE142" s="2" t="s">
        <v>1654</v>
      </c>
      <c r="DF142" s="2" t="s">
        <v>1655</v>
      </c>
      <c r="DG142" s="2" t="s">
        <v>94</v>
      </c>
      <c r="DH142" s="2" t="str">
        <f>HYPERLINK("https://vectorbase.org/vectorbase/app/record/gene/AGAP010258","AGAP010258-RA")</f>
        <v>AGAP010258-RA</v>
      </c>
      <c r="DI142" s="2" t="s">
        <v>135</v>
      </c>
      <c r="DJ142" s="2">
        <v>2307</v>
      </c>
      <c r="DK142" s="2" t="str">
        <f>HYPERLINK(".\links\netoglyc\AGAP010258-PA-netoglyc.txt","0")</f>
        <v>0</v>
      </c>
      <c r="DL142" s="2">
        <v>8.1</v>
      </c>
      <c r="DM142" s="2">
        <v>4.3</v>
      </c>
      <c r="DN142" s="2">
        <v>3.1</v>
      </c>
      <c r="DO142" s="2" t="s">
        <v>104</v>
      </c>
      <c r="DP142" s="2" t="s">
        <v>102</v>
      </c>
      <c r="DQ142" s="2" t="str">
        <f>HYPERLINK(".\links\Sigp\AGAP010258-PA-SigP.txt","CYT")</f>
        <v>CYT</v>
      </c>
      <c r="DR142" s="2" t="s">
        <v>102</v>
      </c>
      <c r="DS142" s="2">
        <v>58.018999999999998</v>
      </c>
      <c r="DT142" s="2">
        <v>5.85</v>
      </c>
      <c r="DU142" s="2" t="s">
        <v>102</v>
      </c>
      <c r="DV142" s="2" t="s">
        <v>102</v>
      </c>
      <c r="DW142" s="2" t="s">
        <v>1660</v>
      </c>
      <c r="DX142" s="2">
        <v>509</v>
      </c>
      <c r="DY142" s="12">
        <v>0</v>
      </c>
      <c r="DZ142" s="2" t="s">
        <v>102</v>
      </c>
      <c r="EA142" s="2" t="s">
        <v>102</v>
      </c>
      <c r="EB142" s="2" t="s">
        <v>102</v>
      </c>
      <c r="EC142" s="2" t="str">
        <f>HYPERLINK(".\links\gpi\AGAP010258-PA-gpi.txt","N")</f>
        <v>N</v>
      </c>
      <c r="ED142" s="2">
        <v>0.35</v>
      </c>
      <c r="EF142" s="2">
        <v>6</v>
      </c>
      <c r="EG142" s="2" t="s">
        <v>102</v>
      </c>
      <c r="EH142" s="2" t="s">
        <v>102</v>
      </c>
      <c r="EI142" s="2">
        <v>8.0550098231827096</v>
      </c>
      <c r="EJ142" s="2">
        <v>3.1434184675835</v>
      </c>
      <c r="EK142" s="2">
        <v>4.3222003929273098</v>
      </c>
      <c r="EL142" s="2">
        <v>7.4656188605108103</v>
      </c>
      <c r="EM142" s="2" t="s">
        <v>102</v>
      </c>
      <c r="EN142" s="2" t="s">
        <v>102</v>
      </c>
      <c r="EO142" s="2" t="s">
        <v>102</v>
      </c>
      <c r="EP142" s="2" t="s">
        <v>102</v>
      </c>
      <c r="EQ142" s="2" t="s">
        <v>102</v>
      </c>
      <c r="ER142" s="2" t="s">
        <v>102</v>
      </c>
      <c r="ES142" s="2" t="s">
        <v>102</v>
      </c>
      <c r="ET142" s="2" t="str">
        <f>HYPERLINK(".\links\REFSEQ-INVERTEBRATE\AGAP010258-PA-REFSEQ-INVERTEBRATE.txt","AGAP010258-PA")</f>
        <v>AGAP010258-PA</v>
      </c>
      <c r="EU142" s="2" t="str">
        <f>HYPERLINK("http://www.ncbi.nlm.nih.gov/sutils/blink.cgi?pid=XP_319447.2","0.0")</f>
        <v>0.0</v>
      </c>
      <c r="EV142" s="2" t="str">
        <f>HYPERLINK("http://www.ncbi.nlm.nih.gov/protein/XP_319447.2","XP_319447.2")</f>
        <v>XP_319447.2</v>
      </c>
      <c r="EW142" s="2">
        <v>100</v>
      </c>
      <c r="EX142" s="2">
        <v>100</v>
      </c>
      <c r="EY142" s="2">
        <v>100</v>
      </c>
      <c r="EZ142" s="2" t="s">
        <v>105</v>
      </c>
    </row>
    <row r="143" spans="1:156" x14ac:dyDescent="0.25">
      <c r="A143" s="2" t="s">
        <v>1666</v>
      </c>
      <c r="B143" s="2">
        <v>0.34708878156596501</v>
      </c>
      <c r="C143" s="2">
        <f t="shared" si="2"/>
        <v>1.2719912810149407</v>
      </c>
      <c r="D143" s="2">
        <v>7.1413273705391997</v>
      </c>
      <c r="E143" s="2">
        <v>11.6777625613511</v>
      </c>
      <c r="F143" s="2">
        <v>6.3251552374295498E-4</v>
      </c>
      <c r="G143" s="2">
        <v>2.79382257888133E-2</v>
      </c>
      <c r="H143" s="2" t="s">
        <v>1667</v>
      </c>
      <c r="I143" s="2" t="s">
        <v>94</v>
      </c>
      <c r="J143" s="2" t="str">
        <f>HYPERLINK("https://vectorbase.org/vectorbase/app/record/gene/AGAP010353","AGAP010353-RA")</f>
        <v>AGAP010353-RA</v>
      </c>
      <c r="K143" s="2" t="str">
        <f>HYPERLINK(".\links\pep\AGAP010353-PA-pep.txt","AGAP010353-PA")</f>
        <v>AGAP010353-PA</v>
      </c>
      <c r="L143" s="12" t="s">
        <v>95</v>
      </c>
      <c r="M143" s="2">
        <v>783</v>
      </c>
      <c r="N143" s="2">
        <v>0</v>
      </c>
      <c r="O143" s="2">
        <v>4</v>
      </c>
      <c r="P143" s="2" t="s">
        <v>1668</v>
      </c>
      <c r="Q143" s="9" t="s">
        <v>1669</v>
      </c>
      <c r="R143" s="2" t="s">
        <v>388</v>
      </c>
      <c r="S143" s="2" t="str">
        <f>HYPERLINK(".\links\KOG\AGAP010353-PA-KOG.txt","KOG")</f>
        <v>KOG</v>
      </c>
      <c r="T143" s="2">
        <v>9.0000000000000001E-85</v>
      </c>
      <c r="U143" s="2">
        <v>91.8</v>
      </c>
      <c r="V143" s="2" t="s">
        <v>1670</v>
      </c>
      <c r="W143" s="10" t="s">
        <v>1671</v>
      </c>
      <c r="X143" s="2" t="s">
        <v>388</v>
      </c>
      <c r="Y143" s="2" t="str">
        <f>HYPERLINK(".\links\KOG\AGAP010353-PA-KOG.txt","KOG")</f>
        <v>KOG</v>
      </c>
      <c r="Z143" s="15">
        <v>1E-84</v>
      </c>
      <c r="AA143" s="2">
        <v>66.3</v>
      </c>
      <c r="AB143" s="13" t="str">
        <f>HYPERLINK(".\links\pep\AGAP010353-PA-sulf.txt","6")</f>
        <v>6</v>
      </c>
      <c r="AC143" s="13" t="str">
        <f>HYPERLINK(".\links\Sigp\AGAP010353-PA-SigP.txt","CYT")</f>
        <v>CYT</v>
      </c>
      <c r="AD143" s="2" t="s">
        <v>102</v>
      </c>
      <c r="AE143" s="2">
        <v>88.113</v>
      </c>
      <c r="AF143" s="2">
        <v>8.82</v>
      </c>
      <c r="AG143" s="2" t="s">
        <v>102</v>
      </c>
      <c r="AH143" s="2" t="s">
        <v>102</v>
      </c>
      <c r="AI143" s="2" t="s">
        <v>211</v>
      </c>
      <c r="AJ143" s="13">
        <v>0</v>
      </c>
      <c r="AK143" s="2" t="s">
        <v>102</v>
      </c>
      <c r="AL143" s="2" t="s">
        <v>102</v>
      </c>
      <c r="AM143" s="2" t="s">
        <v>102</v>
      </c>
      <c r="AN143" s="13" t="str">
        <f>HYPERLINK(".\links\gpi\AGAP010353-PA-gpi.txt","N")</f>
        <v>N</v>
      </c>
      <c r="AO143" s="14" t="str">
        <f>HYPERLINK(".\links\netoglyc\AGAP010353-PA-netoglyc.txt","3")</f>
        <v>3</v>
      </c>
      <c r="AP143" s="13">
        <v>17.600000000000001</v>
      </c>
      <c r="AQ143" s="2">
        <v>4.2</v>
      </c>
      <c r="AR143" s="2">
        <v>5.9</v>
      </c>
      <c r="AS143" s="2" t="s">
        <v>104</v>
      </c>
      <c r="AT143" s="9" t="str">
        <f>HYPERLINK(".\links\NR-LIGHT\AGAP010353-PA-NR-LIGHT.txt","AGAP010353-PA, partial")</f>
        <v>AGAP010353-PA, partial</v>
      </c>
      <c r="AU143" s="2" t="str">
        <f>HYPERLINK("http://www.ncbi.nlm.nih.gov/sutils/blink.cgi?pid=XP_311587.4","0.0")</f>
        <v>0.0</v>
      </c>
      <c r="AV143" s="2" t="str">
        <f>HYPERLINK("http://www.ncbi.nlm.nih.gov/protein/XP_311587.4","XP_311587.4")</f>
        <v>XP_311587.4</v>
      </c>
      <c r="AW143" s="2">
        <v>100</v>
      </c>
      <c r="AX143" s="2">
        <v>100</v>
      </c>
      <c r="AY143" s="2">
        <v>100</v>
      </c>
      <c r="AZ143" s="2" t="s">
        <v>105</v>
      </c>
      <c r="BA143" s="9" t="str">
        <f>HYPERLINK(".\links\REFSEQ-INVERTEBRATE\AGAP010353-PA-REFSEQ-INVERTEBRATE.txt","AGAP010353-PA, partial")</f>
        <v>AGAP010353-PA, partial</v>
      </c>
      <c r="BB143" s="2" t="str">
        <f>HYPERLINK("http://www.ncbi.nlm.nih.gov/sutils/blink.cgi?pid=XP_311587.4","0.0")</f>
        <v>0.0</v>
      </c>
      <c r="BC143" s="2" t="str">
        <f>HYPERLINK("http://www.ncbi.nlm.nih.gov/protein/XP_311587.4","XP_311587.4")</f>
        <v>XP_311587.4</v>
      </c>
      <c r="BD143" s="2">
        <v>100</v>
      </c>
      <c r="BE143" s="2">
        <v>100</v>
      </c>
      <c r="BF143" s="2">
        <v>100</v>
      </c>
      <c r="BG143" s="2" t="s">
        <v>105</v>
      </c>
      <c r="BH143" s="9" t="str">
        <f>HYPERLINK(".\links\REFSEQ-PROTOZOA\AGAP010353-PA-REFSEQ-PROTOZOA.txt","hypothetical protein CAOG_03178")</f>
        <v>hypothetical protein CAOG_03178</v>
      </c>
      <c r="BI143" s="2" t="str">
        <f>HYPERLINK("http://www.ncbi.nlm.nih.gov/sutils/blink.cgi?pid=XP_004364017.2","3E-062")</f>
        <v>3E-062</v>
      </c>
      <c r="BJ143" s="2" t="str">
        <f>HYPERLINK("http://www.ncbi.nlm.nih.gov/protein/XP_004364017.2","XP_004364017.2")</f>
        <v>XP_004364017.2</v>
      </c>
      <c r="BK143" s="2">
        <v>37</v>
      </c>
      <c r="BL143" s="2">
        <v>55</v>
      </c>
      <c r="BM143" s="2">
        <v>40</v>
      </c>
      <c r="BN143" s="2" t="s">
        <v>106</v>
      </c>
      <c r="BO143" s="9" t="str">
        <f>HYPERLINK(".\links\SWISSP\AGAP010353-PA-SWISSP.txt","DNA cross-link repair 1A protein")</f>
        <v>DNA cross-link repair 1A protein</v>
      </c>
      <c r="BP143" s="2" t="str">
        <f>HYPERLINK("http://www.uniprot.org/uniprot/Q5QJC4","1E-076")</f>
        <v>1E-076</v>
      </c>
      <c r="BQ143" s="2" t="str">
        <f>HYPERLINK("http://www.uniprot.org/uniprot/Q5QJC4#expression","Q5QJC4")</f>
        <v>Q5QJC4</v>
      </c>
      <c r="BR143" s="2">
        <v>42</v>
      </c>
      <c r="BS143" s="2">
        <v>62</v>
      </c>
      <c r="BT143" s="2">
        <v>34</v>
      </c>
      <c r="BU143" s="2" t="s">
        <v>483</v>
      </c>
      <c r="BV143" s="9" t="str">
        <f>HYPERLINK(".\links\FLYBASE\AGAP010353-PA-FLYBASE.txt","FBpp0078337")</f>
        <v>FBpp0078337</v>
      </c>
      <c r="BW143" s="2" t="str">
        <f>HYPERLINK("http://flybase.org/reports/FBgn0037338#alliance_summary_container","1E-129")</f>
        <v>1E-129</v>
      </c>
      <c r="BX143" s="2">
        <v>763</v>
      </c>
      <c r="BY143" s="2">
        <v>53</v>
      </c>
      <c r="BZ143" s="2">
        <v>70</v>
      </c>
      <c r="CA143" s="2">
        <v>46</v>
      </c>
      <c r="CB143" s="9" t="str">
        <f>HYPERLINK(".\links\CDD\AGAP010353-PA-CDD.txt","SNM1A-1C-like_MBL-fold, SNM1A , artemis/SNM1C, yeast Pso2p, and related proteins")</f>
        <v>SNM1A-1C-like_MBL-fold, SNM1A , artemis/SNM1C, yeast Pso2p, and related proteins</v>
      </c>
      <c r="CC143" s="15">
        <v>1.9999999999999999E-69</v>
      </c>
      <c r="CD143" s="2">
        <v>99.4</v>
      </c>
      <c r="CE143" s="2" t="s">
        <v>1672</v>
      </c>
      <c r="CF143" s="2" t="s">
        <v>1673</v>
      </c>
      <c r="CG143" s="9" t="str">
        <f>HYPERLINK(".\links\KOG\AGAP010353-PA-KOG.txt","Predicted hydrolase involved in interstrand cross-link repair")</f>
        <v>Predicted hydrolase involved in interstrand cross-link repair</v>
      </c>
      <c r="CH143" s="15">
        <v>9.0000000000000001E-85</v>
      </c>
      <c r="CI143" s="2">
        <v>91.9</v>
      </c>
      <c r="CJ143" s="2" t="s">
        <v>1674</v>
      </c>
      <c r="CK143" s="2" t="s">
        <v>427</v>
      </c>
      <c r="CL143" s="9" t="str">
        <f>HYPERLINK(".\links\PFAM\AGAP010353-PA-PFAM.txt","DRMBL, DNA repair metallo-beta-lactamase")</f>
        <v>DRMBL, DNA repair metallo-beta-lactamase</v>
      </c>
      <c r="CM143" s="15">
        <v>8.0000000000000004E-33</v>
      </c>
      <c r="CN143" s="2">
        <v>100</v>
      </c>
      <c r="CO143" s="2" t="s">
        <v>1675</v>
      </c>
      <c r="CP143" s="9" t="str">
        <f>HYPERLINK(".\links\SMART\AGAP010353-PA-SMART.txt","Lactamase_B, Metallo-beta-lactamase superfamily")</f>
        <v>Lactamase_B, Metallo-beta-lactamase superfamily</v>
      </c>
      <c r="CQ143" s="15">
        <v>5.0000000000000002E-11</v>
      </c>
      <c r="CR143" s="2">
        <v>79.7</v>
      </c>
      <c r="CS143" s="2" t="s">
        <v>1676</v>
      </c>
      <c r="CT143" s="2" t="s">
        <v>1670</v>
      </c>
      <c r="CU143" s="2" t="s">
        <v>1670</v>
      </c>
      <c r="CV143" s="2" t="s">
        <v>1670</v>
      </c>
      <c r="CW143" s="2" t="str">
        <f>HYPERLINK(".\links\pep\AGAP010353-PA-pep.txt","AGAP010353-PA")</f>
        <v>AGAP010353-PA</v>
      </c>
      <c r="CX143" s="2" t="s">
        <v>95</v>
      </c>
      <c r="CY143" s="2">
        <v>783</v>
      </c>
      <c r="CZ143" s="2" t="s">
        <v>113</v>
      </c>
      <c r="DA143" s="2" t="s">
        <v>1677</v>
      </c>
      <c r="DB143" s="2">
        <v>0</v>
      </c>
      <c r="DC143" s="2">
        <v>4</v>
      </c>
      <c r="DD143" s="2" t="str">
        <f>HYPERLINK("https://www.kegg.jp/kegg-bin/search_pathway_text?map=aga&amp;keyword=AGAP010353&amp;mode=1&amp;viewImage=true","AGAP010353")</f>
        <v>AGAP010353</v>
      </c>
      <c r="DE143" s="2" t="s">
        <v>1666</v>
      </c>
      <c r="DF143" s="2" t="s">
        <v>1667</v>
      </c>
      <c r="DG143" s="2" t="s">
        <v>94</v>
      </c>
      <c r="DH143" s="2" t="str">
        <f>HYPERLINK("https://vectorbase.org/vectorbase/app/record/gene/AGAP010353","AGAP010353-RA")</f>
        <v>AGAP010353-RA</v>
      </c>
      <c r="DI143" s="2" t="s">
        <v>90</v>
      </c>
      <c r="DJ143" s="2">
        <v>2720</v>
      </c>
      <c r="DK143" s="2" t="str">
        <f>HYPERLINK(".\links\netoglyc\AGAP010353-PA-netoglyc.txt","3")</f>
        <v>3</v>
      </c>
      <c r="DL143" s="2">
        <v>17.600000000000001</v>
      </c>
      <c r="DM143" s="2">
        <v>4.2</v>
      </c>
      <c r="DN143" s="2">
        <v>5.9</v>
      </c>
      <c r="DO143" s="2" t="s">
        <v>104</v>
      </c>
      <c r="DP143" s="2" t="s">
        <v>1678</v>
      </c>
      <c r="DQ143" s="2" t="str">
        <f>HYPERLINK(".\links\Sigp\AGAP010353-PA-SigP.txt","CYT")</f>
        <v>CYT</v>
      </c>
      <c r="DR143" s="2" t="s">
        <v>102</v>
      </c>
      <c r="DS143" s="2">
        <v>88.113</v>
      </c>
      <c r="DT143" s="2">
        <v>8.82</v>
      </c>
      <c r="DU143" s="2" t="s">
        <v>102</v>
      </c>
      <c r="DV143" s="2" t="s">
        <v>102</v>
      </c>
      <c r="DW143" s="2" t="s">
        <v>211</v>
      </c>
      <c r="DX143" s="2">
        <v>783</v>
      </c>
      <c r="DY143" s="12">
        <v>0</v>
      </c>
      <c r="DZ143" s="2" t="s">
        <v>102</v>
      </c>
      <c r="EA143" s="2" t="s">
        <v>102</v>
      </c>
      <c r="EB143" s="2" t="s">
        <v>102</v>
      </c>
      <c r="EC143" s="2" t="str">
        <f>HYPERLINK(".\links\gpi\AGAP010353-PA-gpi.txt","Y-NoSP")</f>
        <v>Y-NoSP</v>
      </c>
      <c r="ED143" s="2">
        <v>0.21</v>
      </c>
      <c r="EF143" s="2">
        <v>12</v>
      </c>
      <c r="EG143" s="2" t="str">
        <f>HYPERLINK(".\links\pep\AGAP010353-PA-sulf.txt","6")</f>
        <v>6</v>
      </c>
      <c r="EH143" s="2" t="s">
        <v>102</v>
      </c>
      <c r="EI143" s="2">
        <v>17.624521072796899</v>
      </c>
      <c r="EJ143" s="2">
        <v>5.8748403575989796</v>
      </c>
      <c r="EK143" s="2">
        <v>4.2145593869731801</v>
      </c>
      <c r="EL143" s="2">
        <v>10.0893997445722</v>
      </c>
      <c r="EM143" s="2" t="s">
        <v>102</v>
      </c>
      <c r="EN143" s="2" t="s">
        <v>102</v>
      </c>
      <c r="EO143" s="2">
        <v>3</v>
      </c>
      <c r="EP143" s="2" t="s">
        <v>102</v>
      </c>
      <c r="EQ143" s="2" t="s">
        <v>102</v>
      </c>
      <c r="ER143" s="2" t="s">
        <v>102</v>
      </c>
      <c r="ES143" s="2" t="s">
        <v>102</v>
      </c>
      <c r="ET143" s="2" t="str">
        <f>HYPERLINK(".\links\REFSEQ-INVERTEBRATE\AGAP010353-PA-REFSEQ-INVERTEBRATE.txt","AGAP010353-PA, partial")</f>
        <v>AGAP010353-PA, partial</v>
      </c>
      <c r="EU143" s="2" t="str">
        <f>HYPERLINK("http://www.ncbi.nlm.nih.gov/sutils/blink.cgi?pid=XP_311587.4","0.0")</f>
        <v>0.0</v>
      </c>
      <c r="EV143" s="2" t="str">
        <f>HYPERLINK("http://www.ncbi.nlm.nih.gov/protein/XP_311587.4","XP_311587.4")</f>
        <v>XP_311587.4</v>
      </c>
      <c r="EW143" s="2">
        <v>100</v>
      </c>
      <c r="EX143" s="2">
        <v>100</v>
      </c>
      <c r="EY143" s="2">
        <v>100</v>
      </c>
      <c r="EZ143" s="2" t="s">
        <v>105</v>
      </c>
    </row>
    <row r="144" spans="1:156" x14ac:dyDescent="0.25">
      <c r="A144" s="2" t="s">
        <v>1679</v>
      </c>
      <c r="B144" s="2">
        <v>0.34701188055443699</v>
      </c>
      <c r="C144" s="2">
        <f t="shared" si="2"/>
        <v>1.2719234809557303</v>
      </c>
      <c r="D144" s="2">
        <v>7.08215122683134</v>
      </c>
      <c r="E144" s="2">
        <v>10.070214491753701</v>
      </c>
      <c r="F144" s="2">
        <v>1.50685489021818E-3</v>
      </c>
      <c r="G144" s="2">
        <v>3.8174948439846201E-2</v>
      </c>
      <c r="H144" s="2" t="s">
        <v>1680</v>
      </c>
      <c r="I144" s="2" t="s">
        <v>94</v>
      </c>
      <c r="J144" s="2" t="str">
        <f>HYPERLINK("https://vectorbase.org/vectorbase/app/record/gene/AGAP004579","AGAP004579-RA")</f>
        <v>AGAP004579-RA</v>
      </c>
      <c r="K144" s="2" t="str">
        <f>HYPERLINK(".\links\pep\AGAP004579-PA-pep.txt","AGAP004579-PA")</f>
        <v>AGAP004579-PA</v>
      </c>
      <c r="L144" s="12" t="s">
        <v>95</v>
      </c>
      <c r="M144" s="2">
        <v>309</v>
      </c>
      <c r="N144" s="2">
        <v>0</v>
      </c>
      <c r="O144" s="2">
        <v>1</v>
      </c>
      <c r="P144" s="2" t="s">
        <v>1681</v>
      </c>
      <c r="Q144" s="9" t="s">
        <v>1682</v>
      </c>
      <c r="R144" s="2" t="s">
        <v>355</v>
      </c>
      <c r="S144" s="2" t="str">
        <f>HYPERLINK(".\links\CDD\AGAP004579-PA-CDD.txt","CDD")</f>
        <v>CDD</v>
      </c>
      <c r="T144" s="2">
        <v>0</v>
      </c>
      <c r="U144" s="2">
        <v>100</v>
      </c>
      <c r="V144" s="2" t="s">
        <v>1683</v>
      </c>
      <c r="W144" s="10" t="s">
        <v>1684</v>
      </c>
      <c r="X144" s="2" t="s">
        <v>355</v>
      </c>
      <c r="Y144" s="2" t="str">
        <f>HYPERLINK(".\links\REFSEQ-PROTOZOA\AGAP004579-PA-REFSEQ-PROTOZOA.txt","REFSEQ-PROTOZOA")</f>
        <v>REFSEQ-PROTOZOA</v>
      </c>
      <c r="Z144" s="15">
        <v>0</v>
      </c>
      <c r="AA144" s="2">
        <v>90.9</v>
      </c>
      <c r="AB144" s="13" t="s">
        <v>102</v>
      </c>
      <c r="AC144" s="13" t="str">
        <f>HYPERLINK(".\links\Sigp\AGAP004579-PA-SigP.txt","CYT")</f>
        <v>CYT</v>
      </c>
      <c r="AD144" s="2" t="s">
        <v>102</v>
      </c>
      <c r="AE144" s="2">
        <v>36.110999999999997</v>
      </c>
      <c r="AF144" s="2">
        <v>6.23</v>
      </c>
      <c r="AG144" s="2" t="s">
        <v>102</v>
      </c>
      <c r="AH144" s="2" t="s">
        <v>102</v>
      </c>
      <c r="AI144" s="2" t="s">
        <v>1685</v>
      </c>
      <c r="AJ144" s="13">
        <v>0</v>
      </c>
      <c r="AK144" s="2" t="s">
        <v>102</v>
      </c>
      <c r="AL144" s="2" t="s">
        <v>102</v>
      </c>
      <c r="AM144" s="2" t="s">
        <v>102</v>
      </c>
      <c r="AN144" s="13" t="str">
        <f>HYPERLINK(".\links\gpi\AGAP004579-PA-gpi.txt","N")</f>
        <v>N</v>
      </c>
      <c r="AO144" s="14" t="str">
        <f>HYPERLINK(".\links\netoglyc\AGAP004579-PA-netoglyc.txt","0")</f>
        <v>0</v>
      </c>
      <c r="AP144" s="13">
        <v>9.6999999999999993</v>
      </c>
      <c r="AQ144" s="2">
        <v>4.2</v>
      </c>
      <c r="AR144" s="2">
        <v>5.5</v>
      </c>
      <c r="AS144" s="2" t="s">
        <v>104</v>
      </c>
      <c r="AT144" s="9" t="str">
        <f>HYPERLINK(".\links\NR-LIGHT\AGAP004579-PA-NR-LIGHT.txt","AGAP004579-PA")</f>
        <v>AGAP004579-PA</v>
      </c>
      <c r="AU144" s="2" t="str">
        <f>HYPERLINK("http://www.ncbi.nlm.nih.gov/sutils/blink.cgi?pid=XP_562342.4","0.0")</f>
        <v>0.0</v>
      </c>
      <c r="AV144" s="2" t="str">
        <f>HYPERLINK("http://www.ncbi.nlm.nih.gov/protein/XP_562342.4","XP_562342.4")</f>
        <v>XP_562342.4</v>
      </c>
      <c r="AW144" s="2">
        <v>100</v>
      </c>
      <c r="AX144" s="2">
        <v>100</v>
      </c>
      <c r="AY144" s="2">
        <v>100</v>
      </c>
      <c r="AZ144" s="2" t="s">
        <v>105</v>
      </c>
      <c r="BA144" s="9" t="str">
        <f>HYPERLINK(".\links\REFSEQ-INVERTEBRATE\AGAP004579-PA-REFSEQ-INVERTEBRATE.txt","AGAP004579-PA")</f>
        <v>AGAP004579-PA</v>
      </c>
      <c r="BB144" s="2" t="str">
        <f>HYPERLINK("http://www.ncbi.nlm.nih.gov/sutils/blink.cgi?pid=XP_562342.4","0.0")</f>
        <v>0.0</v>
      </c>
      <c r="BC144" s="2" t="str">
        <f>HYPERLINK("http://www.ncbi.nlm.nih.gov/protein/XP_562342.4","XP_562342.4")</f>
        <v>XP_562342.4</v>
      </c>
      <c r="BD144" s="2">
        <v>100</v>
      </c>
      <c r="BE144" s="2">
        <v>100</v>
      </c>
      <c r="BF144" s="2">
        <v>100</v>
      </c>
      <c r="BG144" s="2" t="s">
        <v>105</v>
      </c>
      <c r="BH144" s="9" t="str">
        <f>HYPERLINK(".\links\REFSEQ-PROTOZOA\AGAP004579-PA-REFSEQ-PROTOZOA.txt","cell division control protein 2")</f>
        <v>cell division control protein 2</v>
      </c>
      <c r="BI144" s="2" t="str">
        <f>HYPERLINK("http://www.ncbi.nlm.nih.gov/sutils/blink.cgi?pid=XP_013759695.1","1E-100")</f>
        <v>1E-100</v>
      </c>
      <c r="BJ144" s="2" t="str">
        <f>HYPERLINK("http://www.ncbi.nlm.nih.gov/protein/XP_013759695.1","XP_013759695.1")</f>
        <v>XP_013759695.1</v>
      </c>
      <c r="BK144" s="2">
        <v>61</v>
      </c>
      <c r="BL144" s="2">
        <v>78</v>
      </c>
      <c r="BM144" s="2">
        <v>98</v>
      </c>
      <c r="BN144" s="2" t="s">
        <v>1686</v>
      </c>
      <c r="BO144" s="9" t="str">
        <f>HYPERLINK(".\links\SWISSP\AGAP004579-PA-SWISSP.txt","Cyclin-dependent kinase 2")</f>
        <v>Cyclin-dependent kinase 2</v>
      </c>
      <c r="BP144" s="2" t="str">
        <f>HYPERLINK("http://www.uniprot.org/uniprot/P23573","1E-110")</f>
        <v>1E-110</v>
      </c>
      <c r="BQ144" s="2" t="str">
        <f>HYPERLINK("http://www.uniprot.org/uniprot/P23573#expression","P23573")</f>
        <v>P23573</v>
      </c>
      <c r="BR144" s="2">
        <v>65</v>
      </c>
      <c r="BS144" s="2">
        <v>79</v>
      </c>
      <c r="BT144" s="2">
        <v>91</v>
      </c>
      <c r="BU144" s="2" t="s">
        <v>107</v>
      </c>
      <c r="BV144" s="9" t="str">
        <f>HYPERLINK(".\links\FLYBASE\AGAP004579-PA-FLYBASE.txt","FBpp0289675")</f>
        <v>FBpp0289675</v>
      </c>
      <c r="BW144" s="2" t="str">
        <f>HYPERLINK("http://flybase.org/reports/FBgn0004107#alliance_summary_container","1E-136")</f>
        <v>1E-136</v>
      </c>
      <c r="BX144" s="2">
        <v>314</v>
      </c>
      <c r="BY144" s="2">
        <v>65</v>
      </c>
      <c r="BZ144" s="2">
        <v>79</v>
      </c>
      <c r="CA144" s="2">
        <v>91</v>
      </c>
      <c r="CB144" s="9" t="str">
        <f>HYPERLINK(".\links\CDD\AGAP004579-PA-CDD.txt","STKc_CDK1_CdkB_like, Catalytic domain of Cyclin-Dependent protein Kinase 1-like Serine/Threonine Kinases and of Plant B-type Cyclin-Dependent protein Kinase")</f>
        <v>STKc_CDK1_CdkB_like, Catalytic domain of Cyclin-Dependent protein Kinase 1-like Serine/Threonine Kinases and of Plant B-type Cyclin-Dependent protein Kinase</v>
      </c>
      <c r="CC144" s="15">
        <v>1E-134</v>
      </c>
      <c r="CD144" s="2">
        <v>100</v>
      </c>
      <c r="CE144" s="2" t="s">
        <v>1687</v>
      </c>
      <c r="CF144" s="2" t="s">
        <v>1688</v>
      </c>
      <c r="CG144" s="9" t="str">
        <f>HYPERLINK(".\links\KOG\AGAP004579-PA-KOG.txt","Protein kinase PCTAIRE and related kinases")</f>
        <v>Protein kinase PCTAIRE and related kinases</v>
      </c>
      <c r="CH144" s="15">
        <v>9.9999999999999998E-114</v>
      </c>
      <c r="CI144" s="2">
        <v>96.9</v>
      </c>
      <c r="CJ144" s="2" t="s">
        <v>1689</v>
      </c>
      <c r="CK144" s="2" t="s">
        <v>191</v>
      </c>
      <c r="CL144" s="9" t="str">
        <f>HYPERLINK(".\links\PFAM\AGAP004579-PA-PFAM.txt","Pkinase, Protein kinase domain")</f>
        <v>Pkinase, Protein kinase domain</v>
      </c>
      <c r="CM144" s="15">
        <v>3E-68</v>
      </c>
      <c r="CN144" s="2">
        <v>111.1</v>
      </c>
      <c r="CO144" s="2" t="s">
        <v>1574</v>
      </c>
      <c r="CP144" s="9" t="str">
        <f>HYPERLINK(".\links\SMART\AGAP004579-PA-SMART.txt","S_TKc, Serine/Threonine protein kinases, catalytic domain")</f>
        <v>S_TKc, Serine/Threonine protein kinases, catalytic domain</v>
      </c>
      <c r="CQ144" s="15">
        <v>3.0000000000000002E-76</v>
      </c>
      <c r="CR144" s="2">
        <v>111</v>
      </c>
      <c r="CS144" s="2" t="s">
        <v>1575</v>
      </c>
      <c r="CT144" s="2" t="s">
        <v>1683</v>
      </c>
      <c r="CU144" s="2" t="s">
        <v>1683</v>
      </c>
      <c r="CV144" s="2" t="s">
        <v>1683</v>
      </c>
      <c r="CW144" s="2" t="str">
        <f>HYPERLINK(".\links\pep\AGAP004579-PA-pep.txt","AGAP004579-PA")</f>
        <v>AGAP004579-PA</v>
      </c>
      <c r="CX144" s="2" t="s">
        <v>95</v>
      </c>
      <c r="CY144" s="2">
        <v>309</v>
      </c>
      <c r="CZ144" s="2" t="s">
        <v>113</v>
      </c>
      <c r="DA144" s="2" t="s">
        <v>1690</v>
      </c>
      <c r="DB144" s="2">
        <v>0</v>
      </c>
      <c r="DC144" s="2">
        <v>1</v>
      </c>
      <c r="DD144" s="2" t="str">
        <f>HYPERLINK("https://www.kegg.jp/kegg-bin/search_pathway_text?map=aga&amp;keyword=AGAP004579&amp;mode=1&amp;viewImage=true","AGAP004579")</f>
        <v>AGAP004579</v>
      </c>
      <c r="DE144" s="2" t="s">
        <v>1679</v>
      </c>
      <c r="DF144" s="2" t="s">
        <v>1680</v>
      </c>
      <c r="DG144" s="2" t="s">
        <v>94</v>
      </c>
      <c r="DH144" s="2" t="str">
        <f>HYPERLINK("https://vectorbase.org/vectorbase/app/record/gene/AGAP004579","AGAP004579-RA")</f>
        <v>AGAP004579-RA</v>
      </c>
      <c r="DI144" s="2" t="s">
        <v>135</v>
      </c>
      <c r="DJ144" s="2">
        <v>1385</v>
      </c>
      <c r="DK144" s="2" t="str">
        <f>HYPERLINK(".\links\netoglyc\AGAP004579-PA-netoglyc.txt","0")</f>
        <v>0</v>
      </c>
      <c r="DL144" s="2">
        <v>9.6999999999999993</v>
      </c>
      <c r="DM144" s="2">
        <v>4.2</v>
      </c>
      <c r="DN144" s="2">
        <v>5.5</v>
      </c>
      <c r="DO144" s="2" t="s">
        <v>104</v>
      </c>
      <c r="DP144" s="2" t="s">
        <v>102</v>
      </c>
      <c r="DQ144" s="2" t="str">
        <f>HYPERLINK(".\links\Sigp\AGAP004579-PA-SigP.txt","CYT")</f>
        <v>CYT</v>
      </c>
      <c r="DR144" s="2" t="s">
        <v>102</v>
      </c>
      <c r="DS144" s="2">
        <v>36.110999999999997</v>
      </c>
      <c r="DT144" s="2">
        <v>6.23</v>
      </c>
      <c r="DU144" s="2" t="s">
        <v>102</v>
      </c>
      <c r="DV144" s="2" t="s">
        <v>102</v>
      </c>
      <c r="DW144" s="2" t="s">
        <v>1685</v>
      </c>
      <c r="DX144" s="2">
        <v>309</v>
      </c>
      <c r="DY144" s="12">
        <v>0</v>
      </c>
      <c r="DZ144" s="2" t="s">
        <v>102</v>
      </c>
      <c r="EA144" s="2" t="s">
        <v>102</v>
      </c>
      <c r="EB144" s="2" t="s">
        <v>102</v>
      </c>
      <c r="EC144" s="2" t="str">
        <f>HYPERLINK(".\links\gpi\AGAP004579-PA-gpi.txt","Y-NoSP")</f>
        <v>Y-NoSP</v>
      </c>
      <c r="ED144" s="2">
        <v>0.31</v>
      </c>
      <c r="EF144" s="2">
        <v>4</v>
      </c>
      <c r="EG144" s="2" t="s">
        <v>102</v>
      </c>
      <c r="EH144" s="2" t="s">
        <v>102</v>
      </c>
      <c r="EI144" s="2">
        <v>9.7087378640776691</v>
      </c>
      <c r="EJ144" s="2">
        <v>5.5016181229773498</v>
      </c>
      <c r="EK144" s="2">
        <v>4.2071197411003203</v>
      </c>
      <c r="EL144" s="2">
        <v>9.7087378640776691</v>
      </c>
      <c r="EM144" s="2" t="s">
        <v>102</v>
      </c>
      <c r="EN144" s="2" t="s">
        <v>102</v>
      </c>
      <c r="EO144" s="2">
        <v>2</v>
      </c>
      <c r="EP144" s="2" t="s">
        <v>102</v>
      </c>
      <c r="EQ144" s="2" t="s">
        <v>102</v>
      </c>
      <c r="ER144" s="2" t="s">
        <v>102</v>
      </c>
      <c r="ES144" s="2" t="s">
        <v>102</v>
      </c>
      <c r="ET144" s="2" t="str">
        <f>HYPERLINK(".\links\REFSEQ-INVERTEBRATE\AGAP004579-PA-REFSEQ-INVERTEBRATE.txt","AGAP004579-PA")</f>
        <v>AGAP004579-PA</v>
      </c>
      <c r="EU144" s="2" t="str">
        <f>HYPERLINK("http://www.ncbi.nlm.nih.gov/sutils/blink.cgi?pid=XP_562342.4","0.0")</f>
        <v>0.0</v>
      </c>
      <c r="EV144" s="2" t="str">
        <f>HYPERLINK("http://www.ncbi.nlm.nih.gov/protein/XP_562342.4","XP_562342.4")</f>
        <v>XP_562342.4</v>
      </c>
      <c r="EW144" s="2">
        <v>100</v>
      </c>
      <c r="EX144" s="2">
        <v>100</v>
      </c>
      <c r="EY144" s="2">
        <v>100</v>
      </c>
      <c r="EZ144" s="2" t="s">
        <v>105</v>
      </c>
    </row>
    <row r="145" spans="1:156" x14ac:dyDescent="0.25">
      <c r="A145" s="2" t="s">
        <v>1691</v>
      </c>
      <c r="B145" s="2">
        <v>0.34666712753986401</v>
      </c>
      <c r="C145" s="2">
        <f t="shared" si="2"/>
        <v>1.271619572608371</v>
      </c>
      <c r="D145" s="2">
        <v>9.6238676098636304</v>
      </c>
      <c r="E145" s="2">
        <v>11.5484887543931</v>
      </c>
      <c r="F145" s="2">
        <v>6.7804347910808895E-4</v>
      </c>
      <c r="G145" s="2">
        <v>2.8678620114207E-2</v>
      </c>
      <c r="H145" s="2" t="s">
        <v>93</v>
      </c>
      <c r="I145" s="2" t="s">
        <v>94</v>
      </c>
      <c r="J145" s="2" t="str">
        <f>HYPERLINK("https://vectorbase.org/vectorbase/app/record/gene/AGAP009682","AGAP009682-RA")</f>
        <v>AGAP009682-RA</v>
      </c>
      <c r="K145" s="2" t="str">
        <f>HYPERLINK(".\links\pep\AGAP009682-PA-pep.txt","AGAP009682-PA")</f>
        <v>AGAP009682-PA</v>
      </c>
      <c r="L145" s="12" t="s">
        <v>95</v>
      </c>
      <c r="M145" s="2">
        <v>202</v>
      </c>
      <c r="N145" s="2">
        <v>0</v>
      </c>
      <c r="O145" s="2">
        <v>1</v>
      </c>
      <c r="P145" s="2" t="s">
        <v>102</v>
      </c>
      <c r="Q145" s="9" t="s">
        <v>1692</v>
      </c>
      <c r="R145" s="2" t="s">
        <v>196</v>
      </c>
      <c r="S145" s="2" t="str">
        <f>HYPERLINK(".\links\REFSEQ-INVERTEBRATE\AGAP009682-PA-REFSEQ-INVERTEBRATE.txt","REFSEQ-INVERTEBRATE")</f>
        <v>REFSEQ-INVERTEBRATE</v>
      </c>
      <c r="T145" s="2">
        <v>0</v>
      </c>
      <c r="U145" s="2">
        <v>101</v>
      </c>
      <c r="V145" s="2" t="s">
        <v>1692</v>
      </c>
      <c r="W145" s="10" t="s">
        <v>197</v>
      </c>
      <c r="X145" s="2" t="s">
        <v>196</v>
      </c>
      <c r="Y145" s="2" t="str">
        <f>HYPERLINK(".\links\ARTHORPODA\AGAP009682-PA-ARTHORPODA.txt","ARTHORPODA")</f>
        <v>ARTHORPODA</v>
      </c>
      <c r="Z145" s="2">
        <v>0</v>
      </c>
      <c r="AA145" s="2">
        <v>100</v>
      </c>
      <c r="AB145" s="13" t="s">
        <v>102</v>
      </c>
      <c r="AC145" s="13" t="str">
        <f>HYPERLINK(".\links\Sigp\AGAP009682-PA-SigP.txt","CYT")</f>
        <v>CYT</v>
      </c>
      <c r="AD145" s="2" t="s">
        <v>102</v>
      </c>
      <c r="AE145" s="2">
        <v>22.280999999999999</v>
      </c>
      <c r="AF145" s="2">
        <v>5.93</v>
      </c>
      <c r="AG145" s="2" t="s">
        <v>102</v>
      </c>
      <c r="AH145" s="2" t="s">
        <v>102</v>
      </c>
      <c r="AI145" s="2" t="s">
        <v>211</v>
      </c>
      <c r="AJ145" s="13">
        <v>0</v>
      </c>
      <c r="AK145" s="2" t="s">
        <v>102</v>
      </c>
      <c r="AL145" s="2" t="s">
        <v>102</v>
      </c>
      <c r="AM145" s="2" t="s">
        <v>102</v>
      </c>
      <c r="AN145" s="13" t="str">
        <f>HYPERLINK(".\links\gpi\AGAP009682-PA-gpi.txt","N")</f>
        <v>N</v>
      </c>
      <c r="AO145" s="14" t="str">
        <f>HYPERLINK(".\links\netoglyc\AGAP009682-PA-netoglyc.txt","1")</f>
        <v>1</v>
      </c>
      <c r="AP145" s="13">
        <v>13.4</v>
      </c>
      <c r="AQ145" s="2">
        <v>5.9</v>
      </c>
      <c r="AR145" s="2">
        <v>6.4</v>
      </c>
      <c r="AS145" s="2" t="s">
        <v>104</v>
      </c>
      <c r="AT145" s="9" t="str">
        <f>HYPERLINK(".\links\NR-LIGHT\AGAP009682-PA-NR-LIGHT.txt","AGAP009682-PA")</f>
        <v>AGAP009682-PA</v>
      </c>
      <c r="AU145" s="2" t="str">
        <f>HYPERLINK("http://www.ncbi.nlm.nih.gov/sutils/blink.cgi?pid=XP_318739.3","1E-111")</f>
        <v>1E-111</v>
      </c>
      <c r="AV145" s="2" t="str">
        <f>HYPERLINK("http://www.ncbi.nlm.nih.gov/protein/XP_318739.3","XP_318739.3")</f>
        <v>XP_318739.3</v>
      </c>
      <c r="AW145" s="2">
        <v>98</v>
      </c>
      <c r="AX145" s="2">
        <v>98</v>
      </c>
      <c r="AY145" s="2">
        <v>101</v>
      </c>
      <c r="AZ145" s="2" t="s">
        <v>105</v>
      </c>
      <c r="BA145" s="9" t="str">
        <f>HYPERLINK(".\links\REFSEQ-INVERTEBRATE\AGAP009682-PA-REFSEQ-INVERTEBRATE.txt","AGAP009682-PA")</f>
        <v>AGAP009682-PA</v>
      </c>
      <c r="BB145" s="2" t="str">
        <f>HYPERLINK("http://www.ncbi.nlm.nih.gov/sutils/blink.cgi?pid=XP_318739.3","1E-111")</f>
        <v>1E-111</v>
      </c>
      <c r="BC145" s="2" t="str">
        <f>HYPERLINK("http://www.ncbi.nlm.nih.gov/protein/XP_318739.3","XP_318739.3")</f>
        <v>XP_318739.3</v>
      </c>
      <c r="BD145" s="2">
        <v>98</v>
      </c>
      <c r="BE145" s="2">
        <v>98</v>
      </c>
      <c r="BF145" s="2">
        <v>101</v>
      </c>
      <c r="BG145" s="2" t="s">
        <v>105</v>
      </c>
      <c r="BH145" s="9" t="str">
        <f>HYPERLINK(".\links\REFSEQ-PROTOZOA\AGAP009682-PA-REFSEQ-PROTOZOA.txt","hypothetical protein EMH_0023940")</f>
        <v>hypothetical protein EMH_0023940</v>
      </c>
      <c r="BI145" s="2" t="str">
        <f>HYPERLINK("http://www.ncbi.nlm.nih.gov/sutils/blink.cgi?pid=XP_013357681.1","0.077")</f>
        <v>0.077</v>
      </c>
      <c r="BJ145" s="2" t="str">
        <f>HYPERLINK("http://www.ncbi.nlm.nih.gov/protein/XP_013357681.1","XP_013357681.1")</f>
        <v>XP_013357681.1</v>
      </c>
      <c r="BK145" s="2">
        <v>35</v>
      </c>
      <c r="BL145" s="2">
        <v>51</v>
      </c>
      <c r="BM145" s="2">
        <v>27</v>
      </c>
      <c r="BN145" s="2" t="s">
        <v>568</v>
      </c>
      <c r="BO145" s="9" t="str">
        <f>HYPERLINK(".\links\SWISSP\AGAP009682-PA-SWISSP.txt","Transcription factor SKN7")</f>
        <v>Transcription factor SKN7</v>
      </c>
      <c r="BP145" s="2" t="str">
        <f>HYPERLINK("http://www.uniprot.org/uniprot/Q5A4X5","0.21")</f>
        <v>0.21</v>
      </c>
      <c r="BQ145" s="2" t="str">
        <f>HYPERLINK("http://www.uniprot.org/uniprot/Q5A4X5#expression","Q5A4X5")</f>
        <v>Q5A4X5</v>
      </c>
      <c r="BR145" s="2">
        <v>22</v>
      </c>
      <c r="BS145" s="2">
        <v>40</v>
      </c>
      <c r="BT145" s="2">
        <v>35</v>
      </c>
      <c r="BU145" s="2" t="s">
        <v>1415</v>
      </c>
      <c r="BV145" s="9" t="str">
        <f>HYPERLINK(".\links\FLYBASE\AGAP009682-PA-FLYBASE.txt","FBpp0291065")</f>
        <v>FBpp0291065</v>
      </c>
      <c r="BW145" s="2" t="str">
        <f>HYPERLINK("http://flybase.org/reports/FBgn0085442#alliance_summary_container","2.8")</f>
        <v>2.8</v>
      </c>
      <c r="BX145" s="2">
        <v>559</v>
      </c>
      <c r="BY145" s="2">
        <v>42</v>
      </c>
      <c r="BZ145" s="2">
        <v>53</v>
      </c>
      <c r="CA145" s="2">
        <v>8</v>
      </c>
      <c r="CB145" s="9" t="str">
        <f>HYPERLINK(".\links\CDD\AGAP009682-PA-CDD.txt","cbiO, cobalt transporter ATP-binding subunit")</f>
        <v>cbiO, cobalt transporter ATP-binding subunit</v>
      </c>
      <c r="CC145" s="15">
        <v>1.8</v>
      </c>
      <c r="CD145" s="2">
        <v>20.100000000000001</v>
      </c>
      <c r="CE145" s="2" t="s">
        <v>1693</v>
      </c>
      <c r="CF145" s="2" t="s">
        <v>1694</v>
      </c>
      <c r="CG145" s="9" t="str">
        <f>HYPERLINK(".\links\KOG\AGAP009682-PA-KOG.txt","Mitochondrial inner membrane protein (mitofilin)")</f>
        <v>Mitochondrial inner membrane protein (mitofilin)</v>
      </c>
      <c r="CH145" s="15">
        <v>0.52</v>
      </c>
      <c r="CI145" s="2">
        <v>13.7</v>
      </c>
      <c r="CJ145" s="2" t="s">
        <v>1695</v>
      </c>
      <c r="CK145" s="2" t="s">
        <v>1472</v>
      </c>
      <c r="CL145" s="9" t="str">
        <f>HYPERLINK(".\links\PFAM\AGAP009682-PA-PFAM.txt","Methyltransf_16, Lysine methyltransferase")</f>
        <v>Methyltransf_16, Lysine methyltransferase</v>
      </c>
      <c r="CM145" s="15">
        <v>0.87</v>
      </c>
      <c r="CN145" s="2">
        <v>32</v>
      </c>
      <c r="CO145" s="2" t="s">
        <v>1696</v>
      </c>
      <c r="CP145" s="9" t="str">
        <f>HYPERLINK(".\links\SMART\AGAP009682-PA-SMART.txt","Amelogenin, Amelogenins, cell adhesion proteins, play a role in the biomineralisation of teeth")</f>
        <v>Amelogenin, Amelogenins, cell adhesion proteins, play a role in the biomineralisation of teeth</v>
      </c>
      <c r="CQ145" s="15">
        <v>2.8</v>
      </c>
      <c r="CR145" s="2">
        <v>12.7</v>
      </c>
      <c r="CS145" s="2" t="s">
        <v>311</v>
      </c>
      <c r="CT145" s="2" t="s">
        <v>1692</v>
      </c>
      <c r="CU145" s="2" t="s">
        <v>1692</v>
      </c>
      <c r="CV145" s="2" t="s">
        <v>1692</v>
      </c>
      <c r="CW145" s="2" t="str">
        <f>HYPERLINK(".\links\pep\AGAP009682-PA-pep.txt","AGAP009682-PA")</f>
        <v>AGAP009682-PA</v>
      </c>
      <c r="CX145" s="2" t="s">
        <v>95</v>
      </c>
      <c r="CY145" s="2">
        <v>202</v>
      </c>
      <c r="CZ145" s="2" t="s">
        <v>113</v>
      </c>
      <c r="DA145" s="2" t="s">
        <v>1697</v>
      </c>
      <c r="DB145" s="2">
        <v>0</v>
      </c>
      <c r="DC145" s="2">
        <v>1</v>
      </c>
      <c r="DD145" s="2" t="str">
        <f>HYPERLINK("https://www.kegg.jp/kegg-bin/search_pathway_text?map=aga&amp;keyword=AGAP009682&amp;mode=1&amp;viewImage=true","AGAP009682")</f>
        <v>AGAP009682</v>
      </c>
      <c r="DE145" s="2" t="s">
        <v>1691</v>
      </c>
      <c r="DF145" s="2" t="s">
        <v>93</v>
      </c>
      <c r="DG145" s="2" t="s">
        <v>94</v>
      </c>
      <c r="DH145" s="2" t="str">
        <f>HYPERLINK("https://vectorbase.org/vectorbase/app/record/gene/AGAP009682","AGAP009682-RA")</f>
        <v>AGAP009682-RA</v>
      </c>
      <c r="DI145" s="2" t="s">
        <v>135</v>
      </c>
      <c r="DJ145" s="2">
        <v>1029</v>
      </c>
      <c r="DK145" s="2" t="str">
        <f>HYPERLINK(".\links\netoglyc\AGAP009682-PA-netoglyc.txt","1")</f>
        <v>1</v>
      </c>
      <c r="DL145" s="2">
        <v>13.4</v>
      </c>
      <c r="DM145" s="2">
        <v>5.9</v>
      </c>
      <c r="DN145" s="2">
        <v>6.4</v>
      </c>
      <c r="DO145" s="2" t="s">
        <v>104</v>
      </c>
      <c r="DP145" s="2" t="s">
        <v>102</v>
      </c>
      <c r="DQ145" s="2" t="str">
        <f>HYPERLINK(".\links\Sigp\AGAP009682-PA-SigP.txt","CYT")</f>
        <v>CYT</v>
      </c>
      <c r="DR145" s="2" t="s">
        <v>102</v>
      </c>
      <c r="DS145" s="2">
        <v>22.280999999999999</v>
      </c>
      <c r="DT145" s="2">
        <v>5.93</v>
      </c>
      <c r="DU145" s="2" t="s">
        <v>102</v>
      </c>
      <c r="DV145" s="2" t="s">
        <v>102</v>
      </c>
      <c r="DW145" s="2" t="s">
        <v>211</v>
      </c>
      <c r="DX145" s="2">
        <v>202</v>
      </c>
      <c r="DY145" s="12">
        <v>0</v>
      </c>
      <c r="DZ145" s="2" t="s">
        <v>102</v>
      </c>
      <c r="EA145" s="2" t="s">
        <v>102</v>
      </c>
      <c r="EB145" s="2" t="s">
        <v>102</v>
      </c>
      <c r="EC145" s="2" t="str">
        <f>HYPERLINK(".\links\gpi\AGAP009682-PA-gpi.txt","Y-NoSP")</f>
        <v>Y-NoSP</v>
      </c>
      <c r="ED145" s="2">
        <v>0.32</v>
      </c>
      <c r="EF145" s="2">
        <v>2</v>
      </c>
      <c r="EG145" s="2" t="s">
        <v>102</v>
      </c>
      <c r="EH145" s="2" t="s">
        <v>102</v>
      </c>
      <c r="EI145" s="2">
        <v>13.3663366336634</v>
      </c>
      <c r="EJ145" s="2">
        <v>6.4356435643564396</v>
      </c>
      <c r="EK145" s="2">
        <v>5.9405940594059397</v>
      </c>
      <c r="EL145" s="2">
        <v>12.3762376237624</v>
      </c>
      <c r="EM145" s="2" t="s">
        <v>102</v>
      </c>
      <c r="EN145" s="2">
        <v>3</v>
      </c>
      <c r="EO145" s="2">
        <v>3</v>
      </c>
      <c r="EP145" s="2" t="s">
        <v>102</v>
      </c>
      <c r="EQ145" s="2" t="s">
        <v>102</v>
      </c>
      <c r="ER145" s="2" t="s">
        <v>102</v>
      </c>
      <c r="ES145" s="2" t="s">
        <v>102</v>
      </c>
      <c r="ET145" s="2" t="str">
        <f>HYPERLINK(".\links\REFSEQ-INVERTEBRATE\AGAP009682-PA-REFSEQ-INVERTEBRATE.txt","AGAP009682-PA")</f>
        <v>AGAP009682-PA</v>
      </c>
      <c r="EU145" s="2" t="str">
        <f>HYPERLINK("http://www.ncbi.nlm.nih.gov/sutils/blink.cgi?pid=XP_318739.3","1E-134")</f>
        <v>1E-134</v>
      </c>
      <c r="EV145" s="2" t="str">
        <f>HYPERLINK("http://www.ncbi.nlm.nih.gov/protein/XP_318739.3","XP_318739.3")</f>
        <v>XP_318739.3</v>
      </c>
      <c r="EW145" s="2">
        <v>98</v>
      </c>
      <c r="EX145" s="2">
        <v>98</v>
      </c>
      <c r="EY145" s="2">
        <v>101</v>
      </c>
      <c r="EZ145" s="2" t="s">
        <v>105</v>
      </c>
    </row>
    <row r="146" spans="1:156" x14ac:dyDescent="0.25">
      <c r="A146" s="2" t="s">
        <v>1698</v>
      </c>
      <c r="B146" s="2">
        <v>0.34640226137213798</v>
      </c>
      <c r="C146" s="2">
        <f t="shared" si="2"/>
        <v>1.2713861358266823</v>
      </c>
      <c r="D146" s="2">
        <v>7.7350803444588898</v>
      </c>
      <c r="E146" s="2">
        <v>11.444602486543801</v>
      </c>
      <c r="F146" s="2">
        <v>7.1701970545069195E-4</v>
      </c>
      <c r="G146" s="2">
        <v>2.9060416152416502E-2</v>
      </c>
      <c r="H146" s="2" t="s">
        <v>1699</v>
      </c>
      <c r="I146" s="2" t="s">
        <v>94</v>
      </c>
      <c r="J146" s="2" t="str">
        <f>HYPERLINK("https://vectorbase.org/vectorbase/app/record/gene/AGAP005260","AGAP005260-RA")</f>
        <v>AGAP005260-RA</v>
      </c>
      <c r="K146" s="2" t="str">
        <f>HYPERLINK(".\links\pep\AGAP005260-PA-pep.txt","AGAP005260-PA")</f>
        <v>AGAP005260-PA</v>
      </c>
      <c r="L146" s="12" t="s">
        <v>95</v>
      </c>
      <c r="M146" s="2">
        <v>239</v>
      </c>
      <c r="N146" s="2">
        <v>0</v>
      </c>
      <c r="O146" s="2">
        <v>0</v>
      </c>
      <c r="P146" s="2" t="s">
        <v>1700</v>
      </c>
      <c r="Q146" s="9" t="s">
        <v>1701</v>
      </c>
      <c r="R146" s="2" t="s">
        <v>1221</v>
      </c>
      <c r="S146" s="2" t="str">
        <f>HYPERLINK(".\links\KOG\AGAP005260-PA-KOG.txt","KOG")</f>
        <v>KOG</v>
      </c>
      <c r="T146" s="2">
        <v>3.0000000000000002E-66</v>
      </c>
      <c r="U146" s="2">
        <v>100.4</v>
      </c>
      <c r="V146" s="2" t="s">
        <v>1702</v>
      </c>
      <c r="W146" s="10" t="s">
        <v>1703</v>
      </c>
      <c r="X146" s="2" t="s">
        <v>388</v>
      </c>
      <c r="Y146" s="2" t="str">
        <f>HYPERLINK(".\links\UNIPROTKB\AGAP005260-PA-UNIPROTKB.txt","UNIPROTKB")</f>
        <v>UNIPROTKB</v>
      </c>
      <c r="Z146" s="15">
        <v>1.9999999999999999E-67</v>
      </c>
      <c r="AA146" s="2">
        <v>87</v>
      </c>
      <c r="AB146" s="13" t="str">
        <f>HYPERLINK(".\links\pep\AGAP005260-PA-sulf.txt","1")</f>
        <v>1</v>
      </c>
      <c r="AC146" s="13" t="str">
        <f>HYPERLINK(".\links\Sigp\AGAP005260-PA-SigP.txt","CYT")</f>
        <v>CYT</v>
      </c>
      <c r="AD146" s="2" t="s">
        <v>102</v>
      </c>
      <c r="AE146" s="2">
        <v>27.423999999999999</v>
      </c>
      <c r="AF146" s="2">
        <v>8.76</v>
      </c>
      <c r="AG146" s="2" t="s">
        <v>102</v>
      </c>
      <c r="AH146" s="2" t="s">
        <v>102</v>
      </c>
      <c r="AI146" s="2" t="s">
        <v>211</v>
      </c>
      <c r="AJ146" s="13">
        <v>0</v>
      </c>
      <c r="AK146" s="2" t="s">
        <v>102</v>
      </c>
      <c r="AL146" s="2" t="s">
        <v>102</v>
      </c>
      <c r="AM146" s="2" t="s">
        <v>102</v>
      </c>
      <c r="AN146" s="13" t="str">
        <f>HYPERLINK(".\links\gpi\AGAP005260-PA-gpi.txt","N")</f>
        <v>N</v>
      </c>
      <c r="AO146" s="14" t="str">
        <f>HYPERLINK(".\links\netoglyc\AGAP005260-PA-netoglyc.txt","0")</f>
        <v>0</v>
      </c>
      <c r="AP146" s="13">
        <v>10.9</v>
      </c>
      <c r="AQ146" s="2">
        <v>7.1</v>
      </c>
      <c r="AR146" s="2">
        <v>2.1</v>
      </c>
      <c r="AS146" s="2" t="s">
        <v>104</v>
      </c>
      <c r="AT146" s="9" t="str">
        <f>HYPERLINK(".\links\NR-LIGHT\AGAP005260-PA-NR-LIGHT.txt","AGAP005260-PA")</f>
        <v>AGAP005260-PA</v>
      </c>
      <c r="AU146" s="2" t="str">
        <f>HYPERLINK("http://www.ncbi.nlm.nih.gov/sutils/blink.cgi?pid=XP_314179.3","1E-119")</f>
        <v>1E-119</v>
      </c>
      <c r="AV146" s="2" t="str">
        <f>HYPERLINK("http://www.ncbi.nlm.nih.gov/protein/XP_314179.3","XP_314179.3")</f>
        <v>XP_314179.3</v>
      </c>
      <c r="AW146" s="2">
        <v>100</v>
      </c>
      <c r="AX146" s="2">
        <v>100</v>
      </c>
      <c r="AY146" s="2">
        <v>100</v>
      </c>
      <c r="AZ146" s="2" t="s">
        <v>105</v>
      </c>
      <c r="BA146" s="9" t="str">
        <f>HYPERLINK(".\links\REFSEQ-INVERTEBRATE\AGAP005260-PA-REFSEQ-INVERTEBRATE.txt","AGAP005260-PA")</f>
        <v>AGAP005260-PA</v>
      </c>
      <c r="BB146" s="2" t="str">
        <f>HYPERLINK("http://www.ncbi.nlm.nih.gov/sutils/blink.cgi?pid=XP_314179.3","1E-119")</f>
        <v>1E-119</v>
      </c>
      <c r="BC146" s="2" t="str">
        <f>HYPERLINK("http://www.ncbi.nlm.nih.gov/protein/XP_314179.3","XP_314179.3")</f>
        <v>XP_314179.3</v>
      </c>
      <c r="BD146" s="2">
        <v>100</v>
      </c>
      <c r="BE146" s="2">
        <v>100</v>
      </c>
      <c r="BF146" s="2">
        <v>100</v>
      </c>
      <c r="BG146" s="2" t="s">
        <v>105</v>
      </c>
      <c r="BH146" s="9" t="str">
        <f>HYPERLINK(".\links\REFSEQ-PROTOZOA\AGAP005260-PA-REFSEQ-PROTOZOA.txt","thymidylate kinase")</f>
        <v>thymidylate kinase</v>
      </c>
      <c r="BI146" s="2" t="str">
        <f>HYPERLINK("http://www.ncbi.nlm.nih.gov/sutils/blink.cgi?pid=XP_014156493.1","3E-052")</f>
        <v>3E-052</v>
      </c>
      <c r="BJ146" s="2" t="str">
        <f>HYPERLINK("http://www.ncbi.nlm.nih.gov/protein/XP_014156493.1","XP_014156493.1")</f>
        <v>XP_014156493.1</v>
      </c>
      <c r="BK146" s="2">
        <v>49</v>
      </c>
      <c r="BL146" s="2">
        <v>66</v>
      </c>
      <c r="BM146" s="2">
        <v>97</v>
      </c>
      <c r="BN146" s="2" t="s">
        <v>393</v>
      </c>
      <c r="BO146" s="9" t="str">
        <f>HYPERLINK(".\links\SWISSP\AGAP005260-PA-SWISSP.txt","Thymidylate kinase")</f>
        <v>Thymidylate kinase</v>
      </c>
      <c r="BP146" s="2" t="str">
        <f>HYPERLINK("http://www.uniprot.org/uniprot/Q0WW55","7E-053")</f>
        <v>7E-053</v>
      </c>
      <c r="BQ146" s="2" t="str">
        <f>HYPERLINK("http://www.uniprot.org/uniprot/Q0WW55#expression","Q0WW55")</f>
        <v>Q0WW55</v>
      </c>
      <c r="BR146" s="2">
        <v>49</v>
      </c>
      <c r="BS146" s="2">
        <v>61</v>
      </c>
      <c r="BT146" s="2">
        <v>87</v>
      </c>
      <c r="BU146" s="2" t="s">
        <v>280</v>
      </c>
      <c r="BV146" s="9" t="str">
        <f>HYPERLINK(".\links\FLYBASE\AGAP005260-PA-FLYBASE.txt","FBpp0303030")</f>
        <v>FBpp0303030</v>
      </c>
      <c r="BW146" s="2" t="str">
        <f>HYPERLINK("http://flybase.org/reports/FBgn0034299#alliance_summary_container","1E-63")</f>
        <v>1E-63</v>
      </c>
      <c r="BX146" s="2">
        <v>211</v>
      </c>
      <c r="BY146" s="2">
        <v>45</v>
      </c>
      <c r="BZ146" s="2">
        <v>62</v>
      </c>
      <c r="CA146" s="2">
        <v>99</v>
      </c>
      <c r="CB146" s="9" t="str">
        <f>HYPERLINK(".\links\CDD\AGAP005260-PA-CDD.txt","PLN02924, thymidylate kinase")</f>
        <v>PLN02924, thymidylate kinase</v>
      </c>
      <c r="CC146" s="15">
        <v>7.9999999999999997E-74</v>
      </c>
      <c r="CD146" s="2">
        <v>96.4</v>
      </c>
      <c r="CE146" s="2" t="s">
        <v>1704</v>
      </c>
      <c r="CF146" s="2" t="s">
        <v>1705</v>
      </c>
      <c r="CG146" s="9" t="str">
        <f>HYPERLINK(".\links\KOG\AGAP005260-PA-KOG.txt","Thymidylate kinase/adenylate kinase")</f>
        <v>Thymidylate kinase/adenylate kinase</v>
      </c>
      <c r="CH146" s="15">
        <v>3.0000000000000002E-66</v>
      </c>
      <c r="CI146" s="2">
        <v>100.5</v>
      </c>
      <c r="CJ146" s="2" t="s">
        <v>1706</v>
      </c>
      <c r="CK146" s="2" t="s">
        <v>1227</v>
      </c>
      <c r="CL146" s="9" t="str">
        <f>HYPERLINK(".\links\PFAM\AGAP005260-PA-PFAM.txt","Thymidylate_kin, Thymidylate kinase")</f>
        <v>Thymidylate_kin, Thymidylate kinase</v>
      </c>
      <c r="CM146" s="15">
        <v>3E-28</v>
      </c>
      <c r="CN146" s="2">
        <v>98.4</v>
      </c>
      <c r="CO146" s="2" t="s">
        <v>1707</v>
      </c>
      <c r="CP146" s="9" t="str">
        <f>HYPERLINK(".\links\SMART\AGAP005260-PA-SMART.txt","Prim-Pol, Bifunctional DNA primase/polymerase, N-terminal")</f>
        <v>Prim-Pol, Bifunctional DNA primase/polymerase, N-terminal</v>
      </c>
      <c r="CQ146" s="15">
        <v>2.2000000000000002</v>
      </c>
      <c r="CR146" s="2">
        <v>17.5</v>
      </c>
      <c r="CS146" s="2" t="s">
        <v>1708</v>
      </c>
      <c r="CT146" s="2" t="s">
        <v>1702</v>
      </c>
      <c r="CU146" s="2" t="s">
        <v>1702</v>
      </c>
      <c r="CV146" s="2" t="s">
        <v>1702</v>
      </c>
      <c r="CW146" s="2" t="str">
        <f>HYPERLINK(".\links\pep\AGAP005260-PA-pep.txt","AGAP005260-PA")</f>
        <v>AGAP005260-PA</v>
      </c>
      <c r="CX146" s="2" t="s">
        <v>95</v>
      </c>
      <c r="CY146" s="2">
        <v>239</v>
      </c>
      <c r="CZ146" s="2" t="s">
        <v>113</v>
      </c>
      <c r="DA146" s="2" t="s">
        <v>1709</v>
      </c>
      <c r="DB146" s="2">
        <v>0</v>
      </c>
      <c r="DC146" s="2">
        <v>0</v>
      </c>
      <c r="DD146" s="2" t="str">
        <f>HYPERLINK("https://www.kegg.jp/kegg-bin/search_pathway_text?map=aga&amp;keyword=AGAP005260&amp;mode=1&amp;viewImage=true","AGAP005260")</f>
        <v>AGAP005260</v>
      </c>
      <c r="DE146" s="2" t="s">
        <v>1698</v>
      </c>
      <c r="DF146" s="2" t="s">
        <v>1699</v>
      </c>
      <c r="DG146" s="2" t="s">
        <v>94</v>
      </c>
      <c r="DH146" s="2" t="str">
        <f>HYPERLINK("https://vectorbase.org/vectorbase/app/record/gene/AGAP005260","AGAP005260-RA")</f>
        <v>AGAP005260-RA</v>
      </c>
      <c r="DI146" s="2" t="s">
        <v>135</v>
      </c>
      <c r="DJ146" s="2">
        <v>799</v>
      </c>
      <c r="DK146" s="2" t="str">
        <f>HYPERLINK(".\links\netoglyc\AGAP005260-PA-netoglyc.txt","0")</f>
        <v>0</v>
      </c>
      <c r="DL146" s="2">
        <v>10.9</v>
      </c>
      <c r="DM146" s="2">
        <v>7.1</v>
      </c>
      <c r="DN146" s="2">
        <v>2.1</v>
      </c>
      <c r="DO146" s="2" t="s">
        <v>104</v>
      </c>
      <c r="DP146" s="2" t="s">
        <v>102</v>
      </c>
      <c r="DQ146" s="2" t="str">
        <f>HYPERLINK(".\links\Sigp\AGAP005260-PA-SigP.txt","CYT")</f>
        <v>CYT</v>
      </c>
      <c r="DR146" s="2" t="s">
        <v>102</v>
      </c>
      <c r="DS146" s="2">
        <v>27.423999999999999</v>
      </c>
      <c r="DT146" s="2">
        <v>8.76</v>
      </c>
      <c r="DU146" s="2" t="s">
        <v>102</v>
      </c>
      <c r="DV146" s="2" t="s">
        <v>102</v>
      </c>
      <c r="DW146" s="2" t="s">
        <v>211</v>
      </c>
      <c r="DX146" s="2">
        <v>239</v>
      </c>
      <c r="DY146" s="12">
        <v>0</v>
      </c>
      <c r="DZ146" s="2" t="s">
        <v>102</v>
      </c>
      <c r="EA146" s="2" t="s">
        <v>102</v>
      </c>
      <c r="EB146" s="2" t="s">
        <v>102</v>
      </c>
      <c r="EC146" s="2" t="str">
        <f>HYPERLINK(".\links\gpi\AGAP005260-PA-gpi.txt","N")</f>
        <v>N</v>
      </c>
      <c r="ED146" s="2">
        <v>0.27</v>
      </c>
      <c r="EF146" s="2">
        <v>4</v>
      </c>
      <c r="EG146" s="2" t="str">
        <f>HYPERLINK(".\links\pep\AGAP005260-PA-sulf.txt","1")</f>
        <v>1</v>
      </c>
      <c r="EH146" s="2" t="s">
        <v>102</v>
      </c>
      <c r="EI146" s="2">
        <v>10.878661087866099</v>
      </c>
      <c r="EJ146" s="2">
        <v>2.0920502092050199</v>
      </c>
      <c r="EK146" s="2">
        <v>7.1129707112970699</v>
      </c>
      <c r="EL146" s="2">
        <v>9.2050209205020899</v>
      </c>
      <c r="EM146" s="2" t="s">
        <v>102</v>
      </c>
      <c r="EN146" s="2">
        <v>1</v>
      </c>
      <c r="EO146" s="2">
        <v>1</v>
      </c>
      <c r="EP146" s="2" t="s">
        <v>102</v>
      </c>
      <c r="EQ146" s="2" t="s">
        <v>102</v>
      </c>
      <c r="ER146" s="2" t="s">
        <v>102</v>
      </c>
      <c r="ES146" s="2" t="s">
        <v>102</v>
      </c>
      <c r="ET146" s="2" t="str">
        <f>HYPERLINK(".\links\REFSEQ-INVERTEBRATE\AGAP005260-PA-REFSEQ-INVERTEBRATE.txt","AGAP005260-PA")</f>
        <v>AGAP005260-PA</v>
      </c>
      <c r="EU146" s="2" t="str">
        <f>HYPERLINK("http://www.ncbi.nlm.nih.gov/sutils/blink.cgi?pid=XP_314179.3","1E-157")</f>
        <v>1E-157</v>
      </c>
      <c r="EV146" s="2" t="str">
        <f>HYPERLINK("http://www.ncbi.nlm.nih.gov/protein/XP_314179.3","XP_314179.3")</f>
        <v>XP_314179.3</v>
      </c>
      <c r="EW146" s="2">
        <v>100</v>
      </c>
      <c r="EX146" s="2">
        <v>100</v>
      </c>
      <c r="EY146" s="2">
        <v>100</v>
      </c>
      <c r="EZ146" s="2" t="s">
        <v>105</v>
      </c>
    </row>
    <row r="147" spans="1:156" x14ac:dyDescent="0.25">
      <c r="A147" s="2" t="s">
        <v>1710</v>
      </c>
      <c r="B147" s="2">
        <v>0.34609123462866798</v>
      </c>
      <c r="C147" s="2">
        <f t="shared" si="2"/>
        <v>1.271112070652836</v>
      </c>
      <c r="D147" s="2">
        <v>5.96426469593644</v>
      </c>
      <c r="E147" s="2">
        <v>17.937897355741999</v>
      </c>
      <c r="F147" s="2">
        <v>2.28231034641995E-5</v>
      </c>
      <c r="G147" s="2">
        <v>6.4263338468481803E-3</v>
      </c>
      <c r="H147" s="2" t="s">
        <v>1711</v>
      </c>
      <c r="I147" s="2" t="s">
        <v>94</v>
      </c>
      <c r="J147" s="2" t="str">
        <f>HYPERLINK("https://vectorbase.org/vectorbase/app/record/gene/AGAP001361","AGAP001361-RA")</f>
        <v>AGAP001361-RA</v>
      </c>
      <c r="K147" s="2" t="str">
        <f>HYPERLINK(".\links\pep\AGAP001361-PA-pep.txt","AGAP001361-PA")</f>
        <v>AGAP001361-PA</v>
      </c>
      <c r="L147" s="12" t="s">
        <v>95</v>
      </c>
      <c r="M147" s="2">
        <v>709</v>
      </c>
      <c r="N147" s="2">
        <v>0</v>
      </c>
      <c r="O147" s="2">
        <v>3</v>
      </c>
      <c r="P147" s="2" t="s">
        <v>1712</v>
      </c>
      <c r="Q147" s="9" t="s">
        <v>1713</v>
      </c>
      <c r="R147" s="2" t="s">
        <v>196</v>
      </c>
      <c r="S147" s="2" t="str">
        <f>HYPERLINK(".\links\KOG\AGAP001361-PA-KOG.txt","KOG")</f>
        <v>KOG</v>
      </c>
      <c r="T147" s="2">
        <v>0</v>
      </c>
      <c r="U147" s="2">
        <v>102</v>
      </c>
      <c r="V147" s="2" t="s">
        <v>1714</v>
      </c>
      <c r="W147" s="10" t="s">
        <v>1715</v>
      </c>
      <c r="X147" s="2" t="s">
        <v>822</v>
      </c>
      <c r="Y147" s="2" t="str">
        <f>HYPERLINK(".\links\UNIPROTKB\AGAP001361-PA-UNIPROTKB.txt","UNIPROTKB")</f>
        <v>UNIPROTKB</v>
      </c>
      <c r="Z147" s="2">
        <v>0</v>
      </c>
      <c r="AA147" s="2">
        <v>106</v>
      </c>
      <c r="AB147" s="13" t="s">
        <v>102</v>
      </c>
      <c r="AC147" s="13" t="str">
        <f>HYPERLINK(".\links\Sigp\AGAP001361-PA-SigP.txt","CYT")</f>
        <v>CYT</v>
      </c>
      <c r="AD147" s="2" t="s">
        <v>102</v>
      </c>
      <c r="AE147" s="2">
        <v>78.641999999999996</v>
      </c>
      <c r="AF147" s="2">
        <v>6.87</v>
      </c>
      <c r="AG147" s="2" t="s">
        <v>102</v>
      </c>
      <c r="AH147" s="2" t="s">
        <v>102</v>
      </c>
      <c r="AI147" s="2" t="s">
        <v>124</v>
      </c>
      <c r="AJ147" s="13">
        <v>0</v>
      </c>
      <c r="AK147" s="2" t="s">
        <v>102</v>
      </c>
      <c r="AL147" s="2" t="s">
        <v>102</v>
      </c>
      <c r="AM147" s="2" t="s">
        <v>102</v>
      </c>
      <c r="AN147" s="13" t="str">
        <f>HYPERLINK(".\links\gpi\AGAP001361-PA-gpi.txt","N")</f>
        <v>N</v>
      </c>
      <c r="AO147" s="14" t="str">
        <f>HYPERLINK(".\links\netoglyc\AGAP001361-PA-netoglyc.txt","5")</f>
        <v>5</v>
      </c>
      <c r="AP147" s="13">
        <v>15.9</v>
      </c>
      <c r="AQ147" s="2">
        <v>6.6</v>
      </c>
      <c r="AR147" s="2">
        <v>3.7</v>
      </c>
      <c r="AS147" s="2" t="s">
        <v>104</v>
      </c>
      <c r="AT147" s="9" t="str">
        <f>HYPERLINK(".\links\NR-LIGHT\AGAP001361-PA-NR-LIGHT.txt","AGAP001361-PA")</f>
        <v>AGAP001361-PA</v>
      </c>
      <c r="AU147" s="2" t="str">
        <f>HYPERLINK("http://www.ncbi.nlm.nih.gov/sutils/blink.cgi?pid=XP_321784.3","0.0")</f>
        <v>0.0</v>
      </c>
      <c r="AV147" s="2" t="str">
        <f>HYPERLINK("http://www.ncbi.nlm.nih.gov/protein/XP_321784.3","XP_321784.3")</f>
        <v>XP_321784.3</v>
      </c>
      <c r="AW147" s="2">
        <v>100</v>
      </c>
      <c r="AX147" s="2">
        <v>100</v>
      </c>
      <c r="AY147" s="2">
        <v>100</v>
      </c>
      <c r="AZ147" s="2" t="s">
        <v>105</v>
      </c>
      <c r="BA147" s="9" t="str">
        <f>HYPERLINK(".\links\REFSEQ-INVERTEBRATE\AGAP001361-PA-REFSEQ-INVERTEBRATE.txt","AGAP001361-PA")</f>
        <v>AGAP001361-PA</v>
      </c>
      <c r="BB147" s="2" t="str">
        <f>HYPERLINK("http://www.ncbi.nlm.nih.gov/sutils/blink.cgi?pid=XP_321784.3","0.0")</f>
        <v>0.0</v>
      </c>
      <c r="BC147" s="2" t="str">
        <f>HYPERLINK("http://www.ncbi.nlm.nih.gov/protein/XP_321784.3","XP_321784.3")</f>
        <v>XP_321784.3</v>
      </c>
      <c r="BD147" s="2">
        <v>100</v>
      </c>
      <c r="BE147" s="2">
        <v>100</v>
      </c>
      <c r="BF147" s="2">
        <v>100</v>
      </c>
      <c r="BG147" s="2" t="s">
        <v>105</v>
      </c>
      <c r="BH147" s="9" t="str">
        <f>HYPERLINK(".\links\REFSEQ-PROTOZOA\AGAP001361-PA-REFSEQ-PROTOZOA.txt","WD40 repeat-containing protein")</f>
        <v>WD40 repeat-containing protein</v>
      </c>
      <c r="BI147" s="2" t="str">
        <f>HYPERLINK("http://www.ncbi.nlm.nih.gov/sutils/blink.cgi?pid=XP_020430296.1","5E-089")</f>
        <v>5E-089</v>
      </c>
      <c r="BJ147" s="2" t="str">
        <f>HYPERLINK("http://www.ncbi.nlm.nih.gov/protein/XP_020430296.1","XP_020430296.1")</f>
        <v>XP_020430296.1</v>
      </c>
      <c r="BK147" s="2">
        <v>30</v>
      </c>
      <c r="BL147" s="2">
        <v>46</v>
      </c>
      <c r="BM147" s="2">
        <v>80</v>
      </c>
      <c r="BN147" s="2" t="s">
        <v>762</v>
      </c>
      <c r="BO147" s="9" t="str">
        <f>HYPERLINK(".\links\SWISSP\AGAP001361-PA-SWISSP.txt","WD repeat-containing protein 48 homolog")</f>
        <v>WD repeat-containing protein 48 homolog</v>
      </c>
      <c r="BP147" s="2" t="str">
        <f>HYPERLINK("http://www.uniprot.org/uniprot/Q16MY0","0.0")</f>
        <v>0.0</v>
      </c>
      <c r="BQ147" s="2" t="str">
        <f>HYPERLINK("http://www.uniprot.org/uniprot/Q16MY0#expression","Q16MY0")</f>
        <v>Q16MY0</v>
      </c>
      <c r="BR147" s="2">
        <v>82</v>
      </c>
      <c r="BS147" s="2">
        <v>88</v>
      </c>
      <c r="BT147" s="2">
        <v>108</v>
      </c>
      <c r="BU147" s="2" t="s">
        <v>391</v>
      </c>
      <c r="BV147" s="9" t="str">
        <f>HYPERLINK(".\links\FLYBASE\AGAP001361-PA-FLYBASE.txt","FBpp0304695")</f>
        <v>FBpp0304695</v>
      </c>
      <c r="BW147" s="2" t="str">
        <f>HYPERLINK("http://flybase.org/reports/FBgn0033607#alliance_summary_container","0.0")</f>
        <v>0.0</v>
      </c>
      <c r="BX147" s="2">
        <v>680</v>
      </c>
      <c r="BY147" s="2">
        <v>69</v>
      </c>
      <c r="BZ147" s="2">
        <v>80</v>
      </c>
      <c r="CA147" s="2">
        <v>104</v>
      </c>
      <c r="CB147" s="9" t="str">
        <f>HYPERLINK(".\links\CDD\AGAP001361-PA-CDD.txt","WD40,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147" s="15">
        <v>3E-52</v>
      </c>
      <c r="CD147" s="2">
        <v>102.8</v>
      </c>
      <c r="CE147" s="2" t="s">
        <v>1716</v>
      </c>
      <c r="CF147" s="2" t="s">
        <v>1717</v>
      </c>
      <c r="CG147" s="9" t="str">
        <f>HYPERLINK(".\links\KOG\AGAP001361-PA-KOG.txt","Conserved WD40 repeat-containing protein")</f>
        <v>Conserved WD40 repeat-containing protein</v>
      </c>
      <c r="CH147" s="15">
        <v>0</v>
      </c>
      <c r="CI147" s="2">
        <v>102</v>
      </c>
      <c r="CJ147" s="2" t="s">
        <v>1718</v>
      </c>
      <c r="CK147" s="2" t="s">
        <v>284</v>
      </c>
      <c r="CL147" s="9" t="str">
        <f>HYPERLINK(".\links\PFAM\AGAP001361-PA-PFAM.txt","DUF3337, Domain of unknown function (DUF3337)")</f>
        <v>DUF3337, Domain of unknown function (DUF3337)</v>
      </c>
      <c r="CM147" s="15">
        <v>2E-45</v>
      </c>
      <c r="CN147" s="2">
        <v>110.6</v>
      </c>
      <c r="CO147" s="2" t="s">
        <v>1719</v>
      </c>
      <c r="CP147" s="9" t="str">
        <f>HYPERLINK(".\links\SMART\AGAP001361-PA-SMART.txt","WD40, WD40 repeats")</f>
        <v>WD40, WD40 repeats</v>
      </c>
      <c r="CQ147" s="15">
        <v>1.9999999999999999E-7</v>
      </c>
      <c r="CR147" s="2">
        <v>100</v>
      </c>
      <c r="CS147" s="2" t="s">
        <v>1720</v>
      </c>
      <c r="CT147" s="2" t="s">
        <v>1714</v>
      </c>
      <c r="CU147" s="2" t="s">
        <v>1714</v>
      </c>
      <c r="CV147" s="2" t="s">
        <v>1714</v>
      </c>
      <c r="CW147" s="2" t="str">
        <f>HYPERLINK(".\links\pep\AGAP001361-PA-pep.txt","AGAP001361-PA")</f>
        <v>AGAP001361-PA</v>
      </c>
      <c r="CX147" s="2" t="s">
        <v>95</v>
      </c>
      <c r="CY147" s="2">
        <v>709</v>
      </c>
      <c r="CZ147" s="2" t="s">
        <v>113</v>
      </c>
      <c r="DA147" s="2" t="s">
        <v>1721</v>
      </c>
      <c r="DB147" s="2">
        <v>0</v>
      </c>
      <c r="DC147" s="2">
        <v>3</v>
      </c>
      <c r="DD147" s="2" t="str">
        <f>HYPERLINK("https://www.kegg.jp/kegg-bin/search_pathway_text?map=aga&amp;keyword=AGAP001361&amp;mode=1&amp;viewImage=true","AGAP001361")</f>
        <v>AGAP001361</v>
      </c>
      <c r="DE147" s="2" t="s">
        <v>1710</v>
      </c>
      <c r="DF147" s="2" t="s">
        <v>1711</v>
      </c>
      <c r="DG147" s="2" t="s">
        <v>94</v>
      </c>
      <c r="DH147" s="2" t="str">
        <f>HYPERLINK("https://vectorbase.org/vectorbase/app/record/gene/AGAP001361","AGAP001361-RA")</f>
        <v>AGAP001361-RA</v>
      </c>
      <c r="DI147" s="2" t="s">
        <v>118</v>
      </c>
      <c r="DJ147" s="2">
        <v>2676</v>
      </c>
      <c r="DK147" s="2" t="str">
        <f>HYPERLINK(".\links\netoglyc\AGAP001361-PA-netoglyc.txt","5")</f>
        <v>5</v>
      </c>
      <c r="DL147" s="2">
        <v>15.9</v>
      </c>
      <c r="DM147" s="2">
        <v>6.6</v>
      </c>
      <c r="DN147" s="2">
        <v>3.7</v>
      </c>
      <c r="DO147" s="2" t="s">
        <v>104</v>
      </c>
      <c r="DP147" s="2" t="s">
        <v>102</v>
      </c>
      <c r="DQ147" s="2" t="str">
        <f>HYPERLINK(".\links\Sigp\AGAP001361-PA-SigP.txt","CYT")</f>
        <v>CYT</v>
      </c>
      <c r="DR147" s="2" t="s">
        <v>102</v>
      </c>
      <c r="DS147" s="2">
        <v>78.641999999999996</v>
      </c>
      <c r="DT147" s="2">
        <v>6.87</v>
      </c>
      <c r="DU147" s="2" t="s">
        <v>102</v>
      </c>
      <c r="DV147" s="2" t="s">
        <v>102</v>
      </c>
      <c r="DW147" s="2" t="s">
        <v>124</v>
      </c>
      <c r="DX147" s="2">
        <v>709</v>
      </c>
      <c r="DY147" s="12">
        <v>0</v>
      </c>
      <c r="DZ147" s="2" t="s">
        <v>102</v>
      </c>
      <c r="EA147" s="2" t="s">
        <v>102</v>
      </c>
      <c r="EB147" s="2" t="s">
        <v>102</v>
      </c>
      <c r="EC147" s="2" t="str">
        <f>HYPERLINK(".\links\gpi\AGAP001361-PA-gpi.txt","N")</f>
        <v>N</v>
      </c>
      <c r="ED147" s="2">
        <v>0.19</v>
      </c>
      <c r="EF147" s="2">
        <v>19</v>
      </c>
      <c r="EG147" s="2" t="s">
        <v>102</v>
      </c>
      <c r="EH147" s="2" t="s">
        <v>102</v>
      </c>
      <c r="EI147" s="2">
        <v>15.937940761636099</v>
      </c>
      <c r="EJ147" s="2">
        <v>3.66713681241185</v>
      </c>
      <c r="EK147" s="2">
        <v>6.6290550070521901</v>
      </c>
      <c r="EL147" s="2">
        <v>10.296191819463999</v>
      </c>
      <c r="EM147" s="2" t="s">
        <v>102</v>
      </c>
      <c r="EN147" s="2">
        <v>4</v>
      </c>
      <c r="EO147" s="2">
        <v>5</v>
      </c>
      <c r="EP147" s="2" t="s">
        <v>102</v>
      </c>
      <c r="EQ147" s="2" t="s">
        <v>102</v>
      </c>
      <c r="ER147" s="2" t="s">
        <v>102</v>
      </c>
      <c r="ES147" s="2" t="s">
        <v>102</v>
      </c>
      <c r="ET147" s="2" t="str">
        <f>HYPERLINK(".\links\REFSEQ-INVERTEBRATE\AGAP001361-PA-REFSEQ-INVERTEBRATE.txt","AGAP001361-PA")</f>
        <v>AGAP001361-PA</v>
      </c>
      <c r="EU147" s="2" t="str">
        <f>HYPERLINK("http://www.ncbi.nlm.nih.gov/sutils/blink.cgi?pid=XP_321784.3","0.0")</f>
        <v>0.0</v>
      </c>
      <c r="EV147" s="2" t="str">
        <f>HYPERLINK("http://www.ncbi.nlm.nih.gov/protein/XP_321784.3","XP_321784.3")</f>
        <v>XP_321784.3</v>
      </c>
      <c r="EW147" s="2">
        <v>100</v>
      </c>
      <c r="EX147" s="2">
        <v>100</v>
      </c>
      <c r="EY147" s="2">
        <v>100</v>
      </c>
      <c r="EZ147" s="2" t="s">
        <v>105</v>
      </c>
    </row>
    <row r="148" spans="1:156" x14ac:dyDescent="0.25">
      <c r="A148" s="2" t="s">
        <v>1722</v>
      </c>
      <c r="B148" s="2">
        <v>0.34597572619703298</v>
      </c>
      <c r="C148" s="2">
        <f t="shared" si="2"/>
        <v>1.271010303973102</v>
      </c>
      <c r="D148" s="2">
        <v>5.9040114040111096</v>
      </c>
      <c r="E148" s="2">
        <v>13.196971242483899</v>
      </c>
      <c r="F148" s="2">
        <v>2.8040190892604597E-4</v>
      </c>
      <c r="G148" s="2">
        <v>1.8798372873919601E-2</v>
      </c>
      <c r="H148" s="2" t="s">
        <v>1723</v>
      </c>
      <c r="I148" s="2" t="s">
        <v>94</v>
      </c>
      <c r="J148" s="2" t="str">
        <f>HYPERLINK("https://vectorbase.org/vectorbase/app/record/gene/AGAP005486","AGAP005486-RA")</f>
        <v>AGAP005486-RA</v>
      </c>
      <c r="K148" s="2" t="str">
        <f>HYPERLINK(".\links\pep\AGAP005486-PA-pep.txt","AGAP005486-PA")</f>
        <v>AGAP005486-PA</v>
      </c>
      <c r="L148" s="12" t="s">
        <v>95</v>
      </c>
      <c r="M148" s="2">
        <v>228</v>
      </c>
      <c r="N148" s="2">
        <v>0</v>
      </c>
      <c r="O148" s="2">
        <v>0</v>
      </c>
      <c r="P148" s="2" t="s">
        <v>1724</v>
      </c>
      <c r="Q148" s="9" t="s">
        <v>1725</v>
      </c>
      <c r="R148" s="2" t="s">
        <v>447</v>
      </c>
      <c r="S148" s="2" t="str">
        <f>HYPERLINK(".\links\NR-LIGHT\AGAP005486-PA-NR-LIGHT.txt","NR-LIGHT")</f>
        <v>NR-LIGHT</v>
      </c>
      <c r="T148" s="2">
        <v>4.0000000000000001E-91</v>
      </c>
      <c r="U148" s="2">
        <v>100.4</v>
      </c>
      <c r="V148" s="2" t="s">
        <v>1726</v>
      </c>
      <c r="W148" s="10" t="s">
        <v>1727</v>
      </c>
      <c r="X148" s="2" t="s">
        <v>672</v>
      </c>
      <c r="Y148" s="2" t="str">
        <f>HYPERLINK(".\links\ARTHORPODA\AGAP005486-PA-ARTHORPODA.txt","ARTHORPODA")</f>
        <v>ARTHORPODA</v>
      </c>
      <c r="Z148" s="2">
        <v>0</v>
      </c>
      <c r="AA148" s="2">
        <v>100</v>
      </c>
      <c r="AB148" s="13" t="s">
        <v>102</v>
      </c>
      <c r="AC148" s="13" t="str">
        <f>HYPERLINK(".\links\Sigp\AGAP005486-PA-SigP.txt","CYT")</f>
        <v>CYT</v>
      </c>
      <c r="AD148" s="2" t="s">
        <v>102</v>
      </c>
      <c r="AE148" s="2">
        <v>25.544</v>
      </c>
      <c r="AF148" s="2">
        <v>9.74</v>
      </c>
      <c r="AG148" s="2" t="s">
        <v>102</v>
      </c>
      <c r="AH148" s="2" t="s">
        <v>102</v>
      </c>
      <c r="AI148" s="2" t="s">
        <v>124</v>
      </c>
      <c r="AJ148" s="13">
        <v>0</v>
      </c>
      <c r="AK148" s="2" t="s">
        <v>102</v>
      </c>
      <c r="AL148" s="2" t="s">
        <v>102</v>
      </c>
      <c r="AM148" s="2" t="s">
        <v>102</v>
      </c>
      <c r="AN148" s="13" t="str">
        <f>HYPERLINK(".\links\gpi\AGAP005486-PA-gpi.txt","N")</f>
        <v>N</v>
      </c>
      <c r="AO148" s="14" t="str">
        <f>HYPERLINK(".\links\netoglyc\AGAP005486-PA-netoglyc.txt","0")</f>
        <v>0</v>
      </c>
      <c r="AP148" s="13">
        <v>12.7</v>
      </c>
      <c r="AQ148" s="2">
        <v>5.7</v>
      </c>
      <c r="AR148" s="2">
        <v>5.3</v>
      </c>
      <c r="AS148" s="2" t="s">
        <v>104</v>
      </c>
      <c r="AT148" s="9" t="str">
        <f>HYPERLINK(".\links\NR-LIGHT\AGAP005486-PA-NR-LIGHT.txt","AGAP005486-PA")</f>
        <v>AGAP005486-PA</v>
      </c>
      <c r="AU148" s="2" t="str">
        <f>HYPERLINK("http://www.ncbi.nlm.nih.gov/sutils/blink.cgi?pid=XP_315489.2","1E-127")</f>
        <v>1E-127</v>
      </c>
      <c r="AV148" s="2" t="str">
        <f>HYPERLINK("http://www.ncbi.nlm.nih.gov/protein/XP_315489.2","XP_315489.2")</f>
        <v>XP_315489.2</v>
      </c>
      <c r="AW148" s="2">
        <v>100</v>
      </c>
      <c r="AX148" s="2">
        <v>100</v>
      </c>
      <c r="AY148" s="2">
        <v>100</v>
      </c>
      <c r="AZ148" s="2" t="s">
        <v>105</v>
      </c>
      <c r="BA148" s="9" t="str">
        <f>HYPERLINK(".\links\REFSEQ-INVERTEBRATE\AGAP005486-PA-REFSEQ-INVERTEBRATE.txt","AGAP005486-PA")</f>
        <v>AGAP005486-PA</v>
      </c>
      <c r="BB148" s="2" t="str">
        <f>HYPERLINK("http://www.ncbi.nlm.nih.gov/sutils/blink.cgi?pid=XP_315489.2","1E-127")</f>
        <v>1E-127</v>
      </c>
      <c r="BC148" s="2" t="str">
        <f>HYPERLINK("http://www.ncbi.nlm.nih.gov/protein/XP_315489.2","XP_315489.2")</f>
        <v>XP_315489.2</v>
      </c>
      <c r="BD148" s="2">
        <v>100</v>
      </c>
      <c r="BE148" s="2">
        <v>100</v>
      </c>
      <c r="BF148" s="2">
        <v>100</v>
      </c>
      <c r="BG148" s="2" t="s">
        <v>105</v>
      </c>
      <c r="BH148" s="9" t="str">
        <f>HYPERLINK(".\links\REFSEQ-PROTOZOA\AGAP005486-PA-REFSEQ-PROTOZOA.txt","hypothetical protein H696_01776")</f>
        <v>hypothetical protein H696_01776</v>
      </c>
      <c r="BI148" s="2" t="str">
        <f>HYPERLINK("http://www.ncbi.nlm.nih.gov/sutils/blink.cgi?pid=XP_009493958.1","0.22")</f>
        <v>0.22</v>
      </c>
      <c r="BJ148" s="2" t="str">
        <f>HYPERLINK("http://www.ncbi.nlm.nih.gov/protein/XP_009493958.1","XP_009493958.1")</f>
        <v>XP_009493958.1</v>
      </c>
      <c r="BK148" s="2">
        <v>28</v>
      </c>
      <c r="BL148" s="2">
        <v>48</v>
      </c>
      <c r="BM148" s="2">
        <v>41</v>
      </c>
      <c r="BN148" s="2" t="s">
        <v>651</v>
      </c>
      <c r="BO148" s="9" t="str">
        <f>HYPERLINK(".\links\SWISSP\AGAP005486-PA-SWISSP.txt","39S ribosomal protein L50, mitochondrial")</f>
        <v>39S ribosomal protein L50, mitochondrial</v>
      </c>
      <c r="BP148" s="2" t="str">
        <f>HYPERLINK("http://www.uniprot.org/uniprot/Q8VDT9","2E-007")</f>
        <v>2E-007</v>
      </c>
      <c r="BQ148" s="2" t="str">
        <f>HYPERLINK("http://www.uniprot.org/uniprot/Q8VDT9#expression","Q8VDT9")</f>
        <v>Q8VDT9</v>
      </c>
      <c r="BR148" s="2">
        <v>34</v>
      </c>
      <c r="BS148" s="2">
        <v>45</v>
      </c>
      <c r="BT148" s="2">
        <v>65</v>
      </c>
      <c r="BU148" s="2" t="s">
        <v>662</v>
      </c>
      <c r="BV148" s="9" t="str">
        <f>HYPERLINK(".\links\FLYBASE\AGAP005486-PA-FLYBASE.txt","FBpp0076601")</f>
        <v>FBpp0076601</v>
      </c>
      <c r="BW148" s="2" t="str">
        <f>HYPERLINK("http://flybase.org/reports/FBgn0028648#alliance_summary_container","2E-61")</f>
        <v>2E-61</v>
      </c>
      <c r="BX148" s="2">
        <v>189</v>
      </c>
      <c r="BY148" s="2">
        <v>55</v>
      </c>
      <c r="BZ148" s="2">
        <v>75</v>
      </c>
      <c r="CA148" s="2">
        <v>81</v>
      </c>
      <c r="CB148" s="9" t="str">
        <f>HYPERLINK(".\links\CDD\AGAP005486-PA-CDD.txt","Ribosomal_L50, Ribosomal subunit 39S")</f>
        <v>Ribosomal_L50, Ribosomal subunit 39S</v>
      </c>
      <c r="CC148" s="15">
        <v>3.9999999999999998E-6</v>
      </c>
      <c r="CD148" s="2">
        <v>100.9</v>
      </c>
      <c r="CE148" s="2" t="s">
        <v>1728</v>
      </c>
      <c r="CF148" s="2" t="s">
        <v>1729</v>
      </c>
      <c r="CG148" s="9" t="str">
        <f>HYPERLINK(".\links\KOG\AGAP005486-PA-KOG.txt","WD40 repeat-containing protein")</f>
        <v>WD40 repeat-containing protein</v>
      </c>
      <c r="CH148" s="15">
        <v>2.2000000000000002</v>
      </c>
      <c r="CI148" s="2">
        <v>13.6</v>
      </c>
      <c r="CJ148" s="2" t="s">
        <v>1730</v>
      </c>
      <c r="CK148" s="2" t="s">
        <v>284</v>
      </c>
      <c r="CL148" s="9" t="str">
        <f>HYPERLINK(".\links\PFAM\AGAP005486-PA-PFAM.txt","Ribosomal_L50, Ribosomal subunit 39S")</f>
        <v>Ribosomal_L50, Ribosomal subunit 39S</v>
      </c>
      <c r="CM148" s="15">
        <v>8.9999999999999996E-7</v>
      </c>
      <c r="CN148" s="2">
        <v>100.9</v>
      </c>
      <c r="CO148" s="2" t="s">
        <v>1728</v>
      </c>
      <c r="CP148" s="9" t="str">
        <f>HYPERLINK(".\links\SMART\AGAP005486-PA-SMART.txt","LPD_N, Lipoprotein N-terminal Domain")</f>
        <v>LPD_N, Lipoprotein N-terminal Domain</v>
      </c>
      <c r="CQ148" s="15">
        <v>1.2</v>
      </c>
      <c r="CR148" s="2">
        <v>15.5</v>
      </c>
      <c r="CS148" s="2" t="s">
        <v>1731</v>
      </c>
      <c r="CT148" s="2" t="s">
        <v>1726</v>
      </c>
      <c r="CU148" s="2" t="s">
        <v>1726</v>
      </c>
      <c r="CV148" s="2" t="s">
        <v>1726</v>
      </c>
      <c r="CW148" s="2" t="str">
        <f>HYPERLINK(".\links\pep\AGAP005486-PA-pep.txt","AGAP005486-PA")</f>
        <v>AGAP005486-PA</v>
      </c>
      <c r="CX148" s="2" t="s">
        <v>95</v>
      </c>
      <c r="CY148" s="2">
        <v>228</v>
      </c>
      <c r="CZ148" s="2" t="s">
        <v>113</v>
      </c>
      <c r="DA148" s="2" t="s">
        <v>1732</v>
      </c>
      <c r="DB148" s="2">
        <v>0</v>
      </c>
      <c r="DC148" s="2">
        <v>0</v>
      </c>
      <c r="DD148" s="2" t="str">
        <f>HYPERLINK("https://www.kegg.jp/kegg-bin/search_pathway_text?map=aga&amp;keyword=AGAP005486&amp;mode=1&amp;viewImage=true","AGAP005486")</f>
        <v>AGAP005486</v>
      </c>
      <c r="DE148" s="2" t="s">
        <v>1722</v>
      </c>
      <c r="DF148" s="2" t="s">
        <v>1723</v>
      </c>
      <c r="DG148" s="2" t="s">
        <v>94</v>
      </c>
      <c r="DH148" s="2" t="str">
        <f>HYPERLINK("https://vectorbase.org/vectorbase/app/record/gene/AGAP005486","AGAP005486-RA")</f>
        <v>AGAP005486-RA</v>
      </c>
      <c r="DI148" s="2" t="s">
        <v>90</v>
      </c>
      <c r="DJ148" s="2">
        <v>848</v>
      </c>
      <c r="DK148" s="2" t="str">
        <f>HYPERLINK(".\links\netoglyc\AGAP005486-PA-netoglyc.txt","0")</f>
        <v>0</v>
      </c>
      <c r="DL148" s="2">
        <v>12.7</v>
      </c>
      <c r="DM148" s="2">
        <v>5.7</v>
      </c>
      <c r="DN148" s="2">
        <v>5.3</v>
      </c>
      <c r="DO148" s="2" t="s">
        <v>104</v>
      </c>
      <c r="DP148" s="2" t="s">
        <v>1733</v>
      </c>
      <c r="DQ148" s="2" t="str">
        <f>HYPERLINK(".\links\Sigp\AGAP005486-PA-SigP.txt","CYT")</f>
        <v>CYT</v>
      </c>
      <c r="DR148" s="2" t="s">
        <v>102</v>
      </c>
      <c r="DS148" s="2">
        <v>25.544</v>
      </c>
      <c r="DT148" s="2">
        <v>9.74</v>
      </c>
      <c r="DU148" s="2" t="s">
        <v>102</v>
      </c>
      <c r="DV148" s="2" t="s">
        <v>102</v>
      </c>
      <c r="DW148" s="2" t="s">
        <v>124</v>
      </c>
      <c r="DX148" s="2">
        <v>228</v>
      </c>
      <c r="DY148" s="12">
        <v>0</v>
      </c>
      <c r="DZ148" s="2" t="s">
        <v>102</v>
      </c>
      <c r="EA148" s="2" t="s">
        <v>102</v>
      </c>
      <c r="EB148" s="2" t="s">
        <v>102</v>
      </c>
      <c r="EC148" s="2" t="str">
        <f>HYPERLINK(".\links\gpi\AGAP005486-PA-gpi.txt","Y-NoSP")</f>
        <v>Y-NoSP</v>
      </c>
      <c r="ED148" s="2">
        <v>0.19</v>
      </c>
      <c r="EF148" s="2">
        <v>2</v>
      </c>
      <c r="EG148" s="2" t="s">
        <v>102</v>
      </c>
      <c r="EH148" s="2" t="s">
        <v>102</v>
      </c>
      <c r="EI148" s="2">
        <v>12.719298245614</v>
      </c>
      <c r="EJ148" s="2">
        <v>5.2631578947368398</v>
      </c>
      <c r="EK148" s="2">
        <v>5.70175438596491</v>
      </c>
      <c r="EL148" s="2">
        <v>10.9649122807018</v>
      </c>
      <c r="EM148" s="2" t="s">
        <v>102</v>
      </c>
      <c r="EN148" s="2" t="s">
        <v>102</v>
      </c>
      <c r="EO148" s="2" t="s">
        <v>102</v>
      </c>
      <c r="EP148" s="2" t="s">
        <v>102</v>
      </c>
      <c r="EQ148" s="2" t="s">
        <v>1734</v>
      </c>
      <c r="ER148" s="2" t="s">
        <v>102</v>
      </c>
      <c r="ES148" s="2" t="s">
        <v>102</v>
      </c>
      <c r="ET148" s="2" t="str">
        <f>HYPERLINK(".\links\REFSEQ-INVERTEBRATE\AGAP005486-PA-REFSEQ-INVERTEBRATE.txt","AGAP005486-PA")</f>
        <v>AGAP005486-PA</v>
      </c>
      <c r="EU148" s="2" t="str">
        <f>HYPERLINK("http://www.ncbi.nlm.nih.gov/sutils/blink.cgi?pid=XP_315489.2","1E-171")</f>
        <v>1E-171</v>
      </c>
      <c r="EV148" s="2" t="str">
        <f>HYPERLINK("http://www.ncbi.nlm.nih.gov/protein/XP_315489.2","XP_315489.2")</f>
        <v>XP_315489.2</v>
      </c>
      <c r="EW148" s="2">
        <v>100</v>
      </c>
      <c r="EX148" s="2">
        <v>100</v>
      </c>
      <c r="EY148" s="2">
        <v>100</v>
      </c>
      <c r="EZ148" s="2" t="s">
        <v>105</v>
      </c>
    </row>
    <row r="149" spans="1:156" x14ac:dyDescent="0.25">
      <c r="A149" s="2" t="s">
        <v>1735</v>
      </c>
      <c r="B149" s="2">
        <v>0.34587333298566397</v>
      </c>
      <c r="C149" s="2">
        <f t="shared" si="2"/>
        <v>1.2709200990408207</v>
      </c>
      <c r="D149" s="2">
        <v>6.5001461373513703</v>
      </c>
      <c r="E149" s="2">
        <v>9.1478500601770101</v>
      </c>
      <c r="F149" s="2">
        <v>2.4901047314661801E-3</v>
      </c>
      <c r="G149" s="2">
        <v>4.66650700727822E-2</v>
      </c>
      <c r="H149" s="2" t="s">
        <v>93</v>
      </c>
      <c r="I149" s="2" t="s">
        <v>94</v>
      </c>
      <c r="J149" s="2" t="str">
        <f>HYPERLINK("https://vectorbase.org/vectorbase/app/record/gene/AGAP001040","AGAP001040-RA")</f>
        <v>AGAP001040-RA</v>
      </c>
      <c r="K149" s="2" t="str">
        <f>HYPERLINK(".\links\pep\AGAP001040-PA-pep.txt","AGAP001040-PA")</f>
        <v>AGAP001040-PA</v>
      </c>
      <c r="L149" s="12" t="s">
        <v>95</v>
      </c>
      <c r="M149" s="2">
        <v>179</v>
      </c>
      <c r="N149" s="2">
        <v>0</v>
      </c>
      <c r="O149" s="2">
        <v>0</v>
      </c>
      <c r="P149" s="2" t="s">
        <v>102</v>
      </c>
      <c r="Q149" s="9" t="s">
        <v>1736</v>
      </c>
      <c r="R149" s="2" t="s">
        <v>1737</v>
      </c>
      <c r="S149" s="2" t="str">
        <f>HYPERLINK(".\links\REFSEQ-INVERTEBRATE\AGAP001040-PA-REFSEQ-INVERTEBRATE.txt","REFSEQ-INVERTEBRATE")</f>
        <v>REFSEQ-INVERTEBRATE</v>
      </c>
      <c r="T149" s="2">
        <v>1.9999999999999999E-94</v>
      </c>
      <c r="V149" s="2" t="s">
        <v>1738</v>
      </c>
      <c r="W149" s="10" t="s">
        <v>1739</v>
      </c>
      <c r="X149" s="2" t="s">
        <v>1737</v>
      </c>
      <c r="Y149" s="2" t="str">
        <f>HYPERLINK(".\links\REFSEQ-INVERTEBRATE\AGAP001040-PA-REFSEQ-INVERTEBRATE.txt","REFSEQ-INVERTEBRATE")</f>
        <v>REFSEQ-INVERTEBRATE</v>
      </c>
      <c r="Z149" s="15">
        <v>0</v>
      </c>
      <c r="AB149" s="13" t="s">
        <v>102</v>
      </c>
      <c r="AC149" s="13" t="str">
        <f>HYPERLINK(".\links\Sigp\AGAP001040-PA-SigP.txt","ANC")</f>
        <v>ANC</v>
      </c>
      <c r="AD149" s="2" t="s">
        <v>102</v>
      </c>
      <c r="AE149" s="2">
        <v>20.48</v>
      </c>
      <c r="AF149" s="2">
        <v>9.16</v>
      </c>
      <c r="AG149" s="2" t="s">
        <v>102</v>
      </c>
      <c r="AH149" s="2" t="s">
        <v>102</v>
      </c>
      <c r="AI149" s="2" t="s">
        <v>1740</v>
      </c>
      <c r="AJ149" s="13" t="str">
        <f>HYPERLINK(".\links\tmhmm\AGAP001040-PA-tmhmm.txt","3")</f>
        <v>3</v>
      </c>
      <c r="AK149" s="2">
        <v>36.9</v>
      </c>
      <c r="AL149" s="2">
        <v>48</v>
      </c>
      <c r="AM149" s="2">
        <v>15.1</v>
      </c>
      <c r="AN149" s="13" t="str">
        <f>HYPERLINK(".\links\gpi\AGAP001040-PA-gpi.txt","N")</f>
        <v>N</v>
      </c>
      <c r="AO149" s="14" t="str">
        <f>HYPERLINK(".\links\netoglyc\AGAP001040-PA-netoglyc.txt","3")</f>
        <v>3</v>
      </c>
      <c r="AP149" s="13">
        <v>13.4</v>
      </c>
      <c r="AQ149" s="2">
        <v>3.9</v>
      </c>
      <c r="AR149" s="2">
        <v>2.8</v>
      </c>
      <c r="AS149" s="2" t="s">
        <v>104</v>
      </c>
      <c r="AT149" s="9" t="str">
        <f>HYPERLINK(".\links\NR-LIGHT\AGAP001040-PA-NR-LIGHT.txt","AGAP001040-PA")</f>
        <v>AGAP001040-PA</v>
      </c>
      <c r="AU149" s="2" t="str">
        <f>HYPERLINK("http://www.ncbi.nlm.nih.gov/sutils/blink.cgi?pid=XP_309239.3","2E-094")</f>
        <v>2E-094</v>
      </c>
      <c r="AV149" s="2" t="str">
        <f>HYPERLINK("http://www.ncbi.nlm.nih.gov/protein/XP_309239.3","XP_309239.3")</f>
        <v>XP_309239.3</v>
      </c>
      <c r="AW149" s="2">
        <v>100</v>
      </c>
      <c r="AX149" s="2">
        <v>100</v>
      </c>
      <c r="AY149" s="2">
        <v>100</v>
      </c>
      <c r="AZ149" s="2" t="s">
        <v>105</v>
      </c>
      <c r="BA149" s="9" t="str">
        <f>HYPERLINK(".\links\REFSEQ-INVERTEBRATE\AGAP001040-PA-REFSEQ-INVERTEBRATE.txt","AGAP001040-PA")</f>
        <v>AGAP001040-PA</v>
      </c>
      <c r="BB149" s="2" t="str">
        <f>HYPERLINK("http://www.ncbi.nlm.nih.gov/sutils/blink.cgi?pid=XP_309239.3","2E-094")</f>
        <v>2E-094</v>
      </c>
      <c r="BC149" s="2" t="str">
        <f>HYPERLINK("http://www.ncbi.nlm.nih.gov/protein/XP_309239.3","XP_309239.3")</f>
        <v>XP_309239.3</v>
      </c>
      <c r="BD149" s="2">
        <v>100</v>
      </c>
      <c r="BE149" s="2">
        <v>100</v>
      </c>
      <c r="BF149" s="2">
        <v>100</v>
      </c>
      <c r="BG149" s="2" t="s">
        <v>105</v>
      </c>
      <c r="BH149" s="9" t="str">
        <f>HYPERLINK(".\links\REFSEQ-PROTOZOA\AGAP001040-PA-REFSEQ-PROTOZOA.txt","hypothetical protein")</f>
        <v>hypothetical protein</v>
      </c>
      <c r="BI149" s="2" t="str">
        <f>HYPERLINK("http://www.ncbi.nlm.nih.gov/sutils/blink.cgi?pid=XP_807230.1","0.026")</f>
        <v>0.026</v>
      </c>
      <c r="BJ149" s="2" t="str">
        <f>HYPERLINK("http://www.ncbi.nlm.nih.gov/protein/XP_807230.1","XP_807230.1")</f>
        <v>XP_807230.1</v>
      </c>
      <c r="BK149" s="2">
        <v>30</v>
      </c>
      <c r="BL149" s="2">
        <v>51</v>
      </c>
      <c r="BM149" s="2">
        <v>19</v>
      </c>
      <c r="BN149" s="2" t="s">
        <v>1741</v>
      </c>
      <c r="BO149" s="9" t="str">
        <f>HYPERLINK(".\links\SWISSP\AGAP001040-PA-SWISSP.txt","Promethin")</f>
        <v>Promethin</v>
      </c>
      <c r="BP149" s="2" t="str">
        <f>HYPERLINK("http://www.uniprot.org/uniprot/Q96B96","6E-004")</f>
        <v>6E-004</v>
      </c>
      <c r="BQ149" s="2" t="str">
        <f>HYPERLINK("http://www.uniprot.org/uniprot/Q96B96#expression","Q96B96")</f>
        <v>Q96B96</v>
      </c>
      <c r="BR149" s="2">
        <v>23</v>
      </c>
      <c r="BS149" s="2">
        <v>48</v>
      </c>
      <c r="BT149" s="2">
        <v>53</v>
      </c>
      <c r="BU149" s="2" t="s">
        <v>127</v>
      </c>
      <c r="BV149" s="9" t="str">
        <f>HYPERLINK(".\links\FLYBASE\AGAP001040-PA-FLYBASE.txt","FBpp0070341")</f>
        <v>FBpp0070341</v>
      </c>
      <c r="BW149" s="2" t="str">
        <f>HYPERLINK("http://flybase.org/reports/FBgn0052803#alliance_summary_container","3E-12")</f>
        <v>3E-12</v>
      </c>
      <c r="BX149" s="2">
        <v>213</v>
      </c>
      <c r="BY149" s="2">
        <v>29</v>
      </c>
      <c r="BZ149" s="2">
        <v>50</v>
      </c>
      <c r="CA149" s="2">
        <v>76</v>
      </c>
      <c r="CB149" s="9" t="str">
        <f>HYPERLINK(".\links\CDD\AGAP001040-PA-CDD.txt","Promethin, Promethin")</f>
        <v>Promethin, Promethin</v>
      </c>
      <c r="CC149" s="15">
        <v>7.0000000000000003E-17</v>
      </c>
      <c r="CD149" s="2">
        <v>100</v>
      </c>
      <c r="CE149" s="2" t="s">
        <v>1742</v>
      </c>
      <c r="CF149" s="2" t="s">
        <v>1743</v>
      </c>
      <c r="CG149" s="9" t="str">
        <f>HYPERLINK(".\links\KOG\AGAP001040-PA-KOG.txt","ABC superfamily (Breast cancer resistance protein)")</f>
        <v>ABC superfamily (Breast cancer resistance protein)</v>
      </c>
      <c r="CH149" s="15">
        <v>5.6000000000000001E-2</v>
      </c>
      <c r="CI149" s="2">
        <v>18.3</v>
      </c>
      <c r="CJ149" s="2" t="s">
        <v>1744</v>
      </c>
      <c r="CK149" s="2" t="s">
        <v>526</v>
      </c>
      <c r="CL149" s="9" t="str">
        <f>HYPERLINK(".\links\PFAM\AGAP001040-PA-PFAM.txt","Promethin, Promethin")</f>
        <v>Promethin, Promethin</v>
      </c>
      <c r="CM149" s="15">
        <v>2.0000000000000001E-17</v>
      </c>
      <c r="CN149" s="2">
        <v>100</v>
      </c>
      <c r="CO149" s="2" t="s">
        <v>1742</v>
      </c>
      <c r="CP149" s="9" t="str">
        <f>HYPERLINK(".\links\SMART\AGAP001040-PA-SMART.txt","AgrB, Accessory gene regulator B")</f>
        <v>AgrB, Accessory gene regulator B</v>
      </c>
      <c r="CQ149" s="15">
        <v>0.37</v>
      </c>
      <c r="CR149" s="2">
        <v>19.600000000000001</v>
      </c>
      <c r="CS149" s="2" t="s">
        <v>1745</v>
      </c>
      <c r="CT149" s="2" t="s">
        <v>1738</v>
      </c>
      <c r="CU149" s="2" t="s">
        <v>1738</v>
      </c>
      <c r="CV149" s="2" t="s">
        <v>1738</v>
      </c>
      <c r="CW149" s="2" t="str">
        <f>HYPERLINK(".\links\pep\AGAP001040-PA-pep.txt","AGAP001040-PA")</f>
        <v>AGAP001040-PA</v>
      </c>
      <c r="CX149" s="2" t="s">
        <v>95</v>
      </c>
      <c r="CY149" s="2">
        <v>179</v>
      </c>
      <c r="CZ149" s="2" t="s">
        <v>113</v>
      </c>
      <c r="DA149" s="2" t="s">
        <v>1746</v>
      </c>
      <c r="DB149" s="2">
        <v>0</v>
      </c>
      <c r="DC149" s="2">
        <v>0</v>
      </c>
      <c r="DD149" s="2" t="str">
        <f>HYPERLINK("https://www.kegg.jp/kegg-bin/search_pathway_text?map=aga&amp;keyword=AGAP001040&amp;mode=1&amp;viewImage=true","AGAP001040")</f>
        <v>AGAP001040</v>
      </c>
      <c r="DE149" s="2" t="s">
        <v>1735</v>
      </c>
      <c r="DF149" s="2" t="s">
        <v>93</v>
      </c>
      <c r="DG149" s="2" t="s">
        <v>94</v>
      </c>
      <c r="DH149" s="2" t="str">
        <f>HYPERLINK("https://vectorbase.org/vectorbase/app/record/gene/AGAP001040","AGAP001040-RA")</f>
        <v>AGAP001040-RA</v>
      </c>
      <c r="DI149" s="2" t="s">
        <v>135</v>
      </c>
      <c r="DJ149" s="2">
        <v>993</v>
      </c>
      <c r="DK149" s="2" t="str">
        <f>HYPERLINK(".\links\netoglyc\AGAP001040-PA-netoglyc.txt","3")</f>
        <v>3</v>
      </c>
      <c r="DL149" s="2">
        <v>13.4</v>
      </c>
      <c r="DM149" s="2">
        <v>3.9</v>
      </c>
      <c r="DN149" s="2">
        <v>2.8</v>
      </c>
      <c r="DO149" s="2" t="s">
        <v>104</v>
      </c>
      <c r="DP149" s="2" t="s">
        <v>1747</v>
      </c>
      <c r="DQ149" s="2" t="str">
        <f>HYPERLINK(".\links\Sigp\AGAP001040-PA-SigP.txt","ANC")</f>
        <v>ANC</v>
      </c>
      <c r="DR149" s="2" t="s">
        <v>102</v>
      </c>
      <c r="DS149" s="2">
        <v>20.48</v>
      </c>
      <c r="DT149" s="2">
        <v>9.16</v>
      </c>
      <c r="DU149" s="2" t="s">
        <v>102</v>
      </c>
      <c r="DV149" s="2" t="s">
        <v>102</v>
      </c>
      <c r="DW149" s="2" t="s">
        <v>1740</v>
      </c>
      <c r="DX149" s="2">
        <v>179</v>
      </c>
      <c r="DY149" s="12" t="str">
        <f>HYPERLINK(".\links\tmhmm\AGAP001040-PA-tmhmm.txt","3")</f>
        <v>3</v>
      </c>
      <c r="DZ149" s="2">
        <v>36.9</v>
      </c>
      <c r="EA149" s="2">
        <v>48</v>
      </c>
      <c r="EB149" s="2">
        <v>15.1</v>
      </c>
      <c r="EC149" s="2" t="str">
        <f>HYPERLINK(".\links\gpi\AGAP001040-PA-gpi.txt","N")</f>
        <v>N</v>
      </c>
      <c r="ED149" s="2">
        <v>0.37</v>
      </c>
      <c r="EF149" s="2">
        <v>1</v>
      </c>
      <c r="EG149" s="2" t="s">
        <v>102</v>
      </c>
      <c r="EH149" s="2" t="s">
        <v>102</v>
      </c>
      <c r="EI149" s="2">
        <v>13.407821229050301</v>
      </c>
      <c r="EJ149" s="2">
        <v>2.7932960893854699</v>
      </c>
      <c r="EK149" s="2">
        <v>3.91061452513966</v>
      </c>
      <c r="EL149" s="2">
        <v>6.7039106145251397</v>
      </c>
      <c r="EM149" s="2" t="s">
        <v>102</v>
      </c>
      <c r="EN149" s="2" t="s">
        <v>102</v>
      </c>
      <c r="EO149" s="2" t="s">
        <v>102</v>
      </c>
      <c r="EP149" s="2" t="s">
        <v>102</v>
      </c>
      <c r="EQ149" s="2" t="s">
        <v>102</v>
      </c>
      <c r="ER149" s="2" t="s">
        <v>102</v>
      </c>
      <c r="ES149" s="2" t="s">
        <v>102</v>
      </c>
      <c r="ET149" s="2" t="str">
        <f>HYPERLINK(".\links\REFSEQ-INVERTEBRATE\AGAP001040-PA-REFSEQ-INVERTEBRATE.txt","AGAP001040-PA")</f>
        <v>AGAP001040-PA</v>
      </c>
      <c r="EU149" s="2" t="str">
        <f>HYPERLINK("http://www.ncbi.nlm.nih.gov/sutils/blink.cgi?pid=XP_309239.3","1E-129")</f>
        <v>1E-129</v>
      </c>
      <c r="EV149" s="2" t="str">
        <f>HYPERLINK("http://www.ncbi.nlm.nih.gov/protein/XP_309239.3","XP_309239.3")</f>
        <v>XP_309239.3</v>
      </c>
      <c r="EW149" s="2">
        <v>100</v>
      </c>
      <c r="EX149" s="2">
        <v>100</v>
      </c>
      <c r="EY149" s="2">
        <v>100</v>
      </c>
      <c r="EZ149" s="2" t="s">
        <v>105</v>
      </c>
    </row>
    <row r="150" spans="1:156" x14ac:dyDescent="0.25">
      <c r="A150" s="2" t="s">
        <v>1748</v>
      </c>
      <c r="B150" s="2">
        <v>0.34511897290877402</v>
      </c>
      <c r="C150" s="2">
        <f t="shared" si="2"/>
        <v>1.2702557307937627</v>
      </c>
      <c r="D150" s="2">
        <v>5.0345975753798298</v>
      </c>
      <c r="E150" s="2">
        <v>9.6834930083330306</v>
      </c>
      <c r="F150" s="2">
        <v>1.8593082121761001E-3</v>
      </c>
      <c r="G150" s="2">
        <v>4.2220005601371902E-2</v>
      </c>
      <c r="H150" s="2" t="s">
        <v>93</v>
      </c>
      <c r="I150" s="2" t="s">
        <v>94</v>
      </c>
      <c r="J150" s="2" t="str">
        <f>HYPERLINK("https://vectorbase.org/vectorbase/app/record/gene/AGAP004931","AGAP004931-RA")</f>
        <v>AGAP004931-RA</v>
      </c>
      <c r="K150" s="2" t="str">
        <f>HYPERLINK(".\links\pep\AGAP004931-PA-pep.txt","AGAP004931-PA")</f>
        <v>AGAP004931-PA</v>
      </c>
      <c r="L150" s="12" t="s">
        <v>95</v>
      </c>
      <c r="M150" s="2">
        <v>302</v>
      </c>
      <c r="N150" s="2">
        <v>0</v>
      </c>
      <c r="O150" s="2">
        <v>0</v>
      </c>
      <c r="P150" s="2" t="s">
        <v>102</v>
      </c>
      <c r="Q150" s="9" t="s">
        <v>1749</v>
      </c>
      <c r="R150" s="2" t="s">
        <v>771</v>
      </c>
      <c r="S150" s="2" t="str">
        <f>HYPERLINK(".\links\REFSEQ-INVERTEBRATE\AGAP004931-PA-REFSEQ-INVERTEBRATE.txt","REFSEQ-INVERTEBRATE")</f>
        <v>REFSEQ-INVERTEBRATE</v>
      </c>
      <c r="T150" s="2">
        <v>0</v>
      </c>
      <c r="U150" s="2">
        <v>92.3</v>
      </c>
      <c r="V150" s="2" t="s">
        <v>1750</v>
      </c>
      <c r="W150" s="10" t="s">
        <v>1751</v>
      </c>
      <c r="X150" s="2" t="s">
        <v>771</v>
      </c>
      <c r="Y150" s="2" t="str">
        <f>HYPERLINK(".\links\ARTHORPODA\AGAP004931-PA-ARTHORPODA.txt","ARTHORPODA")</f>
        <v>ARTHORPODA</v>
      </c>
      <c r="Z150" s="15">
        <v>0</v>
      </c>
      <c r="AA150" s="2">
        <v>100</v>
      </c>
      <c r="AB150" s="13" t="s">
        <v>102</v>
      </c>
      <c r="AC150" s="13" t="str">
        <f>HYPERLINK(".\links\Sigp\AGAP004931-PA-SigP.txt","CYT")</f>
        <v>CYT</v>
      </c>
      <c r="AD150" s="2" t="s">
        <v>102</v>
      </c>
      <c r="AE150" s="2">
        <v>33.606999999999999</v>
      </c>
      <c r="AF150" s="2">
        <v>6.33</v>
      </c>
      <c r="AG150" s="2" t="s">
        <v>102</v>
      </c>
      <c r="AH150" s="2" t="s">
        <v>102</v>
      </c>
      <c r="AI150" s="2" t="s">
        <v>211</v>
      </c>
      <c r="AJ150" s="13">
        <v>0</v>
      </c>
      <c r="AK150" s="2" t="s">
        <v>102</v>
      </c>
      <c r="AL150" s="2" t="s">
        <v>102</v>
      </c>
      <c r="AM150" s="2" t="s">
        <v>102</v>
      </c>
      <c r="AN150" s="13" t="str">
        <f>HYPERLINK(".\links\gpi\AGAP004931-PA-gpi.txt","N")</f>
        <v>N</v>
      </c>
      <c r="AO150" s="14" t="str">
        <f>HYPERLINK(".\links\netoglyc\AGAP004931-PA-netoglyc.txt","3")</f>
        <v>3</v>
      </c>
      <c r="AP150" s="13">
        <v>14.6</v>
      </c>
      <c r="AQ150" s="2">
        <v>3.6</v>
      </c>
      <c r="AR150" s="2">
        <v>5.6</v>
      </c>
      <c r="AS150" s="2" t="s">
        <v>104</v>
      </c>
      <c r="AT150" s="9" t="str">
        <f>HYPERLINK(".\links\NR-LIGHT\AGAP004931-PA-NR-LIGHT.txt","AGAP004931-PA")</f>
        <v>AGAP004931-PA</v>
      </c>
      <c r="AU150" s="2" t="str">
        <f>HYPERLINK("http://www.ncbi.nlm.nih.gov/sutils/blink.cgi?pid=XP_315018.4","1E-168")</f>
        <v>1E-168</v>
      </c>
      <c r="AV150" s="2" t="str">
        <f>HYPERLINK("http://www.ncbi.nlm.nih.gov/protein/XP_315018.4","XP_315018.4")</f>
        <v>XP_315018.4</v>
      </c>
      <c r="AW150" s="2">
        <v>100</v>
      </c>
      <c r="AX150" s="2">
        <v>100</v>
      </c>
      <c r="AY150" s="2">
        <v>100</v>
      </c>
      <c r="AZ150" s="2" t="s">
        <v>105</v>
      </c>
      <c r="BA150" s="9" t="str">
        <f>HYPERLINK(".\links\REFSEQ-INVERTEBRATE\AGAP004931-PA-REFSEQ-INVERTEBRATE.txt","AGAP004931-PA")</f>
        <v>AGAP004931-PA</v>
      </c>
      <c r="BB150" s="2" t="str">
        <f>HYPERLINK("http://www.ncbi.nlm.nih.gov/sutils/blink.cgi?pid=XP_315018.4","1E-168")</f>
        <v>1E-168</v>
      </c>
      <c r="BC150" s="2" t="str">
        <f>HYPERLINK("http://www.ncbi.nlm.nih.gov/protein/XP_315018.4","XP_315018.4")</f>
        <v>XP_315018.4</v>
      </c>
      <c r="BD150" s="2">
        <v>100</v>
      </c>
      <c r="BE150" s="2">
        <v>100</v>
      </c>
      <c r="BF150" s="2">
        <v>100</v>
      </c>
      <c r="BG150" s="2" t="s">
        <v>105</v>
      </c>
      <c r="BH150" s="9" t="str">
        <f>HYPERLINK(".\links\REFSEQ-PROTOZOA\AGAP004931-PA-REFSEQ-PROTOZOA.txt","hypothetical protein CAOG_05319")</f>
        <v>hypothetical protein CAOG_05319</v>
      </c>
      <c r="BI150" s="2" t="str">
        <f>HYPERLINK("http://www.ncbi.nlm.nih.gov/sutils/blink.cgi?pid=XP_004347004.2","2E-022")</f>
        <v>2E-022</v>
      </c>
      <c r="BJ150" s="2" t="str">
        <f>HYPERLINK("http://www.ncbi.nlm.nih.gov/protein/XP_004347004.2","XP_004347004.2")</f>
        <v>XP_004347004.2</v>
      </c>
      <c r="BK150" s="2">
        <v>39</v>
      </c>
      <c r="BL150" s="2">
        <v>66</v>
      </c>
      <c r="BM150" s="2">
        <v>32</v>
      </c>
      <c r="BN150" s="2" t="s">
        <v>106</v>
      </c>
      <c r="BO150" s="9" t="str">
        <f>HYPERLINK(".\links\SWISSP\AGAP004931-PA-SWISSP.txt","RAB6-interacting golgin")</f>
        <v>RAB6-interacting golgin</v>
      </c>
      <c r="BP150" s="2" t="str">
        <f>HYPERLINK("http://www.uniprot.org/uniprot/B1H222","2E-025")</f>
        <v>2E-025</v>
      </c>
      <c r="BQ150" s="2" t="str">
        <f>HYPERLINK("http://www.uniprot.org/uniprot/B1H222#expression","B1H222")</f>
        <v>B1H222</v>
      </c>
      <c r="BR150" s="2">
        <v>28</v>
      </c>
      <c r="BS150" s="2">
        <v>52</v>
      </c>
      <c r="BT150" s="2">
        <v>79</v>
      </c>
      <c r="BU150" s="2" t="s">
        <v>305</v>
      </c>
      <c r="BV150" s="9" t="str">
        <f>HYPERLINK(".\links\FLYBASE\AGAP004931-PA-FLYBASE.txt","FBpp0074991")</f>
        <v>FBpp0074991</v>
      </c>
      <c r="BW150" s="2" t="str">
        <f>HYPERLINK("http://flybase.org/reports/FBgn0053052#alliance_summary_container","2E-65")</f>
        <v>2E-65</v>
      </c>
      <c r="BX150" s="2">
        <v>338</v>
      </c>
      <c r="BY150" s="2">
        <v>66</v>
      </c>
      <c r="BZ150" s="2">
        <v>88</v>
      </c>
      <c r="CA150" s="2">
        <v>42</v>
      </c>
      <c r="CB150" s="9" t="str">
        <f>HYPERLINK(".\links\CDD\AGAP004931-PA-CDD.txt","COG4071, Uncharacterized protein conserved in archaea")</f>
        <v>COG4071, Uncharacterized protein conserved in archaea</v>
      </c>
      <c r="CC150" s="15">
        <v>3.4000000000000002E-2</v>
      </c>
      <c r="CD150" s="2">
        <v>33.5</v>
      </c>
      <c r="CE150" s="2" t="s">
        <v>1752</v>
      </c>
      <c r="CF150" s="2" t="s">
        <v>1753</v>
      </c>
      <c r="CG150" s="9" t="str">
        <f>HYPERLINK(".\links\KOG\AGAP004931-PA-KOG.txt","subunit C)")</f>
        <v>subunit C)</v>
      </c>
      <c r="CH150" s="15">
        <v>1E-3</v>
      </c>
      <c r="CI150" s="2">
        <v>10.1</v>
      </c>
      <c r="CJ150" s="2" t="s">
        <v>1754</v>
      </c>
      <c r="CK150" s="2" t="s">
        <v>1755</v>
      </c>
      <c r="CL150" s="9" t="str">
        <f>HYPERLINK(".\links\PFAM\AGAP004931-PA-PFAM.txt","TMPIT, TMPIT-like protein")</f>
        <v>TMPIT, TMPIT-like protein</v>
      </c>
      <c r="CM150" s="15">
        <v>8.0000000000000002E-3</v>
      </c>
      <c r="CN150" s="2">
        <v>29.3</v>
      </c>
      <c r="CO150" s="2" t="s">
        <v>1756</v>
      </c>
      <c r="CP150" s="9" t="str">
        <f>HYPERLINK(".\links\SMART\AGAP004931-PA-SMART.txt","Spc7, Spc7 kinetochore protein")</f>
        <v>Spc7, Spc7 kinetochore protein</v>
      </c>
      <c r="CQ150" s="15">
        <v>0.24</v>
      </c>
      <c r="CR150" s="2">
        <v>17.600000000000001</v>
      </c>
      <c r="CS150" s="2" t="s">
        <v>1061</v>
      </c>
      <c r="CT150" s="2" t="s">
        <v>1750</v>
      </c>
      <c r="CU150" s="2" t="s">
        <v>1750</v>
      </c>
      <c r="CV150" s="2" t="s">
        <v>1750</v>
      </c>
      <c r="CW150" s="2" t="str">
        <f>HYPERLINK(".\links\pep\AGAP004931-PA-pep.txt","AGAP004931-PA")</f>
        <v>AGAP004931-PA</v>
      </c>
      <c r="CX150" s="2" t="s">
        <v>95</v>
      </c>
      <c r="CY150" s="2">
        <v>302</v>
      </c>
      <c r="CZ150" s="2" t="s">
        <v>113</v>
      </c>
      <c r="DA150" s="2" t="s">
        <v>1757</v>
      </c>
      <c r="DB150" s="2">
        <v>0</v>
      </c>
      <c r="DC150" s="2">
        <v>0</v>
      </c>
      <c r="DD150" s="2" t="str">
        <f>HYPERLINK("https://www.kegg.jp/kegg-bin/search_pathway_text?map=aga&amp;keyword=AGAP004931&amp;mode=1&amp;viewImage=true","AGAP004931")</f>
        <v>AGAP004931</v>
      </c>
      <c r="DE150" s="2" t="s">
        <v>1748</v>
      </c>
      <c r="DF150" s="2" t="s">
        <v>93</v>
      </c>
      <c r="DG150" s="2" t="s">
        <v>94</v>
      </c>
      <c r="DH150" s="2" t="str">
        <f>HYPERLINK("https://vectorbase.org/vectorbase/app/record/gene/AGAP004931","AGAP004931-RA")</f>
        <v>AGAP004931-RA</v>
      </c>
      <c r="DI150" s="2" t="s">
        <v>135</v>
      </c>
      <c r="DJ150" s="2">
        <v>1617</v>
      </c>
      <c r="DK150" s="2" t="str">
        <f>HYPERLINK(".\links\netoglyc\AGAP004931-PA-netoglyc.txt","3")</f>
        <v>3</v>
      </c>
      <c r="DL150" s="2">
        <v>14.6</v>
      </c>
      <c r="DM150" s="2">
        <v>3.6</v>
      </c>
      <c r="DN150" s="2">
        <v>5.6</v>
      </c>
      <c r="DO150" s="2" t="s">
        <v>104</v>
      </c>
      <c r="DP150" s="2" t="s">
        <v>1758</v>
      </c>
      <c r="DQ150" s="2" t="str">
        <f>HYPERLINK(".\links\Sigp\AGAP004931-PA-SigP.txt","CYT")</f>
        <v>CYT</v>
      </c>
      <c r="DR150" s="2" t="s">
        <v>102</v>
      </c>
      <c r="DS150" s="2">
        <v>33.606999999999999</v>
      </c>
      <c r="DT150" s="2">
        <v>6.33</v>
      </c>
      <c r="DU150" s="2" t="s">
        <v>102</v>
      </c>
      <c r="DV150" s="2" t="s">
        <v>102</v>
      </c>
      <c r="DW150" s="2" t="s">
        <v>211</v>
      </c>
      <c r="DX150" s="2">
        <v>302</v>
      </c>
      <c r="DY150" s="12">
        <v>0</v>
      </c>
      <c r="DZ150" s="2" t="s">
        <v>102</v>
      </c>
      <c r="EA150" s="2" t="s">
        <v>102</v>
      </c>
      <c r="EB150" s="2" t="s">
        <v>102</v>
      </c>
      <c r="EC150" s="2" t="str">
        <f>HYPERLINK(".\links\gpi\AGAP004931-PA-gpi.txt","Y-NoSP")</f>
        <v>Y-NoSP</v>
      </c>
      <c r="ED150" s="2">
        <v>0.2</v>
      </c>
      <c r="EF150" s="2">
        <v>3</v>
      </c>
      <c r="EG150" s="2" t="s">
        <v>102</v>
      </c>
      <c r="EH150" s="2" t="s">
        <v>102</v>
      </c>
      <c r="EI150" s="2">
        <v>14.5695364238411</v>
      </c>
      <c r="EJ150" s="2">
        <v>5.6291390728476802</v>
      </c>
      <c r="EK150" s="2">
        <v>3.64238410596026</v>
      </c>
      <c r="EL150" s="2">
        <v>9.27152317880795</v>
      </c>
      <c r="EM150" s="2">
        <v>2</v>
      </c>
      <c r="EN150" s="2">
        <v>1</v>
      </c>
      <c r="EO150" s="2">
        <v>2</v>
      </c>
      <c r="EP150" s="2" t="s">
        <v>102</v>
      </c>
      <c r="EQ150" s="2" t="s">
        <v>102</v>
      </c>
      <c r="ER150" s="2" t="s">
        <v>102</v>
      </c>
      <c r="ES150" s="2" t="s">
        <v>102</v>
      </c>
      <c r="ET150" s="2" t="str">
        <f>HYPERLINK(".\links\REFSEQ-INVERTEBRATE\AGAP004931-PA-REFSEQ-INVERTEBRATE.txt","AGAP004931-PA")</f>
        <v>AGAP004931-PA</v>
      </c>
      <c r="EU150" s="2" t="str">
        <f>HYPERLINK("http://www.ncbi.nlm.nih.gov/sutils/blink.cgi?pid=XP_315018.4","0.0")</f>
        <v>0.0</v>
      </c>
      <c r="EV150" s="2" t="str">
        <f>HYPERLINK("http://www.ncbi.nlm.nih.gov/protein/XP_315018.4","XP_315018.4")</f>
        <v>XP_315018.4</v>
      </c>
      <c r="EW150" s="2">
        <v>100</v>
      </c>
      <c r="EX150" s="2">
        <v>100</v>
      </c>
      <c r="EY150" s="2">
        <v>100</v>
      </c>
      <c r="EZ150" s="2" t="s">
        <v>105</v>
      </c>
    </row>
    <row r="151" spans="1:156" x14ac:dyDescent="0.25">
      <c r="A151" s="2" t="s">
        <v>1759</v>
      </c>
      <c r="B151" s="2">
        <v>0.34463188309299397</v>
      </c>
      <c r="C151" s="2">
        <f t="shared" si="2"/>
        <v>1.2698269331788679</v>
      </c>
      <c r="D151" s="2">
        <v>9.8261405642859891</v>
      </c>
      <c r="E151" s="2">
        <v>8.8492501788600197</v>
      </c>
      <c r="F151" s="2">
        <v>2.9320932119402299E-3</v>
      </c>
      <c r="G151" s="2">
        <v>4.9803632520221103E-2</v>
      </c>
      <c r="H151" s="2" t="s">
        <v>1760</v>
      </c>
      <c r="I151" s="2" t="s">
        <v>88</v>
      </c>
      <c r="J151" s="8" t="s">
        <v>1761</v>
      </c>
      <c r="Q151" s="9"/>
      <c r="W151" s="10"/>
      <c r="AB151" s="9"/>
      <c r="AC151" s="9"/>
      <c r="AJ151" s="9"/>
      <c r="AN151" s="9"/>
      <c r="AO151" s="11"/>
      <c r="AP151" s="9"/>
      <c r="AT151" s="9"/>
      <c r="BA151" s="9"/>
      <c r="BH151" s="9"/>
      <c r="BO151" s="9"/>
      <c r="BV151" s="9"/>
      <c r="CB151" s="9"/>
      <c r="CG151" s="9"/>
      <c r="CL151" s="9"/>
      <c r="CP151" s="9"/>
      <c r="DE151" s="2" t="s">
        <v>1759</v>
      </c>
      <c r="DF151" s="2" t="s">
        <v>1760</v>
      </c>
      <c r="DG151" s="2" t="s">
        <v>88</v>
      </c>
      <c r="DH151" s="8" t="s">
        <v>1761</v>
      </c>
      <c r="DI151" s="2" t="s">
        <v>90</v>
      </c>
      <c r="DJ151" s="2">
        <v>4715</v>
      </c>
      <c r="DQ151" s="2" t="s">
        <v>141</v>
      </c>
      <c r="DS151" s="2">
        <v>154918</v>
      </c>
      <c r="DT151" s="2">
        <v>6.38</v>
      </c>
      <c r="DX151" s="2">
        <v>1347</v>
      </c>
      <c r="DY151" s="12"/>
    </row>
    <row r="152" spans="1:156" x14ac:dyDescent="0.25">
      <c r="A152" s="2" t="s">
        <v>1762</v>
      </c>
      <c r="B152" s="2">
        <v>0.34423424962677501</v>
      </c>
      <c r="C152" s="2">
        <f t="shared" si="2"/>
        <v>1.269476993591091</v>
      </c>
      <c r="D152" s="2">
        <v>6.7069519938775697</v>
      </c>
      <c r="E152" s="2">
        <v>9.5265070989783602</v>
      </c>
      <c r="F152" s="2">
        <v>2.0252520441146498E-3</v>
      </c>
      <c r="G152" s="2">
        <v>4.3865623944505203E-2</v>
      </c>
      <c r="H152" s="2" t="s">
        <v>93</v>
      </c>
      <c r="I152" s="2" t="s">
        <v>94</v>
      </c>
      <c r="J152" s="2" t="str">
        <f>HYPERLINK("https://vectorbase.org/vectorbase/app/record/gene/AGAP006404","AGAP006404-RA")</f>
        <v>AGAP006404-RA</v>
      </c>
      <c r="K152" s="2" t="str">
        <f>HYPERLINK(".\links\pep\AGAP006404-PA-pep.txt","AGAP006404-PA")</f>
        <v>AGAP006404-PA</v>
      </c>
      <c r="L152" s="12" t="s">
        <v>95</v>
      </c>
      <c r="M152" s="2">
        <v>157</v>
      </c>
      <c r="N152" s="2">
        <v>0</v>
      </c>
      <c r="O152" s="2">
        <v>1</v>
      </c>
      <c r="P152" s="2" t="s">
        <v>102</v>
      </c>
      <c r="Q152" s="9" t="s">
        <v>1763</v>
      </c>
      <c r="R152" s="2" t="s">
        <v>196</v>
      </c>
      <c r="S152" s="2" t="str">
        <f>HYPERLINK(".\links\REFSEQ-INVERTEBRATE\AGAP006404-PA-REFSEQ-INVERTEBRATE.txt","REFSEQ-INVERTEBRATE")</f>
        <v>REFSEQ-INVERTEBRATE</v>
      </c>
      <c r="T152" s="2">
        <v>7.9999999999999998E-85</v>
      </c>
      <c r="U152" s="2">
        <v>100</v>
      </c>
      <c r="V152" s="2" t="s">
        <v>1764</v>
      </c>
      <c r="W152" s="10" t="s">
        <v>1765</v>
      </c>
      <c r="X152" s="2" t="s">
        <v>196</v>
      </c>
      <c r="Y152" s="2" t="str">
        <f>HYPERLINK(".\links\ARTHORPODA\AGAP006404-PA-ARTHORPODA.txt","ARTHORPODA")</f>
        <v>ARTHORPODA</v>
      </c>
      <c r="Z152" s="15">
        <v>0</v>
      </c>
      <c r="AA152" s="2">
        <v>100</v>
      </c>
      <c r="AB152" s="13" t="str">
        <f>HYPERLINK(".\links\pep\AGAP006404-PA-sulf.txt","2")</f>
        <v>2</v>
      </c>
      <c r="AC152" s="13" t="str">
        <f>HYPERLINK(".\links\Sigp\AGAP006404-PA-SigP.txt","CYT")</f>
        <v>CYT</v>
      </c>
      <c r="AD152" s="2" t="s">
        <v>102</v>
      </c>
      <c r="AE152" s="2">
        <v>17.352</v>
      </c>
      <c r="AF152" s="2">
        <v>4.57</v>
      </c>
      <c r="AG152" s="2" t="s">
        <v>102</v>
      </c>
      <c r="AH152" s="2" t="s">
        <v>102</v>
      </c>
      <c r="AI152" s="2" t="s">
        <v>211</v>
      </c>
      <c r="AJ152" s="13">
        <v>0</v>
      </c>
      <c r="AK152" s="2" t="s">
        <v>102</v>
      </c>
      <c r="AL152" s="2" t="s">
        <v>102</v>
      </c>
      <c r="AM152" s="2" t="s">
        <v>102</v>
      </c>
      <c r="AN152" s="13" t="str">
        <f>HYPERLINK(".\links\gpi\AGAP006404-PA-gpi.txt","N")</f>
        <v>N</v>
      </c>
      <c r="AO152" s="14" t="str">
        <f>HYPERLINK(".\links\netoglyc\AGAP006404-PA-netoglyc.txt","15")</f>
        <v>15</v>
      </c>
      <c r="AP152" s="13">
        <v>20.399999999999999</v>
      </c>
      <c r="AQ152" s="2">
        <v>4.5</v>
      </c>
      <c r="AR152" s="2">
        <v>8.3000000000000007</v>
      </c>
      <c r="AS152" s="2">
        <v>1.9</v>
      </c>
      <c r="AT152" s="9" t="str">
        <f>HYPERLINK(".\links\NR-LIGHT\AGAP006404-PA-NR-LIGHT.txt","AGAP006404-PA")</f>
        <v>AGAP006404-PA</v>
      </c>
      <c r="AU152" s="2" t="str">
        <f>HYPERLINK("http://www.ncbi.nlm.nih.gov/sutils/blink.cgi?pid=XP_316437.3","8E-085")</f>
        <v>8E-085</v>
      </c>
      <c r="AV152" s="2" t="str">
        <f>HYPERLINK("http://www.ncbi.nlm.nih.gov/protein/XP_316437.3","XP_316437.3")</f>
        <v>XP_316437.3</v>
      </c>
      <c r="AW152" s="2">
        <v>100</v>
      </c>
      <c r="AX152" s="2">
        <v>100</v>
      </c>
      <c r="AY152" s="2">
        <v>100</v>
      </c>
      <c r="AZ152" s="2" t="s">
        <v>105</v>
      </c>
      <c r="BA152" s="9" t="str">
        <f>HYPERLINK(".\links\REFSEQ-INVERTEBRATE\AGAP006404-PA-REFSEQ-INVERTEBRATE.txt","AGAP006404-PA")</f>
        <v>AGAP006404-PA</v>
      </c>
      <c r="BB152" s="2" t="str">
        <f>HYPERLINK("http://www.ncbi.nlm.nih.gov/sutils/blink.cgi?pid=XP_316437.3","8E-085")</f>
        <v>8E-085</v>
      </c>
      <c r="BC152" s="2" t="str">
        <f>HYPERLINK("http://www.ncbi.nlm.nih.gov/protein/XP_316437.3","XP_316437.3")</f>
        <v>XP_316437.3</v>
      </c>
      <c r="BD152" s="2">
        <v>100</v>
      </c>
      <c r="BE152" s="2">
        <v>100</v>
      </c>
      <c r="BF152" s="2">
        <v>100</v>
      </c>
      <c r="BG152" s="2" t="s">
        <v>105</v>
      </c>
      <c r="BH152" s="9" t="str">
        <f>HYPERLINK(".\links\REFSEQ-PROTOZOA\AGAP006404-PA-REFSEQ-PROTOZOA.txt","hypothetical protein SDRG_09919")</f>
        <v>hypothetical protein SDRG_09919</v>
      </c>
      <c r="BI152" s="2" t="str">
        <f>HYPERLINK("http://www.ncbi.nlm.nih.gov/sutils/blink.cgi?pid=XP_008614107.1","4E-004")</f>
        <v>4E-004</v>
      </c>
      <c r="BJ152" s="2" t="str">
        <f>HYPERLINK("http://www.ncbi.nlm.nih.gov/protein/XP_008614107.1","XP_008614107.1")</f>
        <v>XP_008614107.1</v>
      </c>
      <c r="BK152" s="2">
        <v>33</v>
      </c>
      <c r="BL152" s="2">
        <v>47</v>
      </c>
      <c r="BM152" s="2">
        <v>12</v>
      </c>
      <c r="BN152" s="2" t="s">
        <v>1766</v>
      </c>
      <c r="BO152" s="9" t="str">
        <f>HYPERLINK(".\links\SWISSP\AGAP006404-PA-SWISSP.txt","Uncharacterized protein C57A7.06")</f>
        <v>Uncharacterized protein C57A7.06</v>
      </c>
      <c r="BP152" s="2" t="str">
        <f>HYPERLINK("http://www.uniprot.org/uniprot/P87137","0.008")</f>
        <v>0.008</v>
      </c>
      <c r="BQ152" s="2" t="str">
        <f>HYPERLINK("http://www.uniprot.org/uniprot/P87137#expression","P87137")</f>
        <v>P87137</v>
      </c>
      <c r="BR152" s="2">
        <v>32</v>
      </c>
      <c r="BS152" s="2">
        <v>58</v>
      </c>
      <c r="BT152" s="2">
        <v>7</v>
      </c>
      <c r="BU152" s="2" t="s">
        <v>1767</v>
      </c>
      <c r="BV152" s="9" t="str">
        <f>HYPERLINK(".\links\FLYBASE\AGAP006404-PA-FLYBASE.txt","FBpp0305642")</f>
        <v>FBpp0305642</v>
      </c>
      <c r="BW152" s="2" t="str">
        <f>HYPERLINK("http://flybase.org/reports/FBgn0035308#alliance_summary_container","2.7")</f>
        <v>2.7</v>
      </c>
      <c r="BX152" s="2">
        <v>1060</v>
      </c>
      <c r="BY152" s="2">
        <v>46</v>
      </c>
      <c r="BZ152" s="2">
        <v>56</v>
      </c>
      <c r="CA152" s="2">
        <v>3</v>
      </c>
      <c r="CB152" s="9" t="str">
        <f>HYPERLINK(".\links\CDD\AGAP006404-PA-CDD.txt","Cwf_Cwc_15, Cwf15/Cwc15 cell cycle control protein")</f>
        <v>Cwf_Cwc_15, Cwf15/Cwc15 cell cycle control protein</v>
      </c>
      <c r="CC152" s="15">
        <v>0.33</v>
      </c>
      <c r="CD152" s="2">
        <v>42.9</v>
      </c>
      <c r="CE152" s="2" t="s">
        <v>1768</v>
      </c>
      <c r="CF152" s="2" t="s">
        <v>1769</v>
      </c>
      <c r="CG152" s="9" t="str">
        <f>HYPERLINK(".\links\KOG\AGAP006404-PA-KOG.txt","cell division control protein")</f>
        <v>cell division control protein</v>
      </c>
      <c r="CH152" s="15">
        <v>2E-3</v>
      </c>
      <c r="CI152" s="2">
        <v>5.9</v>
      </c>
      <c r="CJ152" s="2" t="s">
        <v>1770</v>
      </c>
      <c r="CK152" s="2" t="s">
        <v>267</v>
      </c>
      <c r="CL152" s="9" t="str">
        <f>HYPERLINK(".\links\PFAM\AGAP006404-PA-PFAM.txt","Cwf_Cwc_15, Cwf15/Cwc15 cell cycle control protein")</f>
        <v>Cwf_Cwc_15, Cwf15/Cwc15 cell cycle control protein</v>
      </c>
      <c r="CM152" s="15">
        <v>7.6999999999999999E-2</v>
      </c>
      <c r="CN152" s="2">
        <v>42.9</v>
      </c>
      <c r="CO152" s="2" t="s">
        <v>1768</v>
      </c>
      <c r="CP152" s="9" t="str">
        <f>HYPERLINK(".\links\SMART\AGAP006404-PA-SMART.txt","Gp_dh_N, Glyceraldehyde 3-phosphate dehydrogenase, NAD binding domain")</f>
        <v>Gp_dh_N, Glyceraldehyde 3-phosphate dehydrogenase, NAD binding domain</v>
      </c>
      <c r="CQ152" s="15">
        <v>1.3</v>
      </c>
      <c r="CR152" s="2">
        <v>10.1</v>
      </c>
      <c r="CS152" s="2" t="s">
        <v>414</v>
      </c>
      <c r="CT152" s="2" t="s">
        <v>1764</v>
      </c>
      <c r="CU152" s="2" t="s">
        <v>1764</v>
      </c>
      <c r="CV152" s="2" t="s">
        <v>1764</v>
      </c>
      <c r="CW152" s="2" t="str">
        <f>HYPERLINK(".\links\pep\AGAP006404-PA-pep.txt","AGAP006404-PA")</f>
        <v>AGAP006404-PA</v>
      </c>
      <c r="CX152" s="2" t="s">
        <v>95</v>
      </c>
      <c r="CY152" s="2">
        <v>157</v>
      </c>
      <c r="CZ152" s="2" t="s">
        <v>113</v>
      </c>
      <c r="DA152" s="2" t="s">
        <v>1771</v>
      </c>
      <c r="DB152" s="2">
        <v>0</v>
      </c>
      <c r="DC152" s="2">
        <v>1</v>
      </c>
      <c r="DD152" s="2" t="str">
        <f>HYPERLINK("https://www.kegg.jp/kegg-bin/search_pathway_text?map=aga&amp;keyword=AGAP006404&amp;mode=1&amp;viewImage=true","AGAP006404")</f>
        <v>AGAP006404</v>
      </c>
      <c r="DE152" s="2" t="s">
        <v>1762</v>
      </c>
      <c r="DF152" s="2" t="s">
        <v>93</v>
      </c>
      <c r="DG152" s="2" t="s">
        <v>94</v>
      </c>
      <c r="DH152" s="2" t="str">
        <f>HYPERLINK("https://vectorbase.org/vectorbase/app/record/gene/AGAP006404","AGAP006404-RA")</f>
        <v>AGAP006404-RA</v>
      </c>
      <c r="DI152" s="2" t="s">
        <v>115</v>
      </c>
      <c r="DJ152" s="2">
        <v>982</v>
      </c>
      <c r="DK152" s="2" t="str">
        <f>HYPERLINK(".\links\netoglyc\AGAP006404-PA-netoglyc.txt","15")</f>
        <v>15</v>
      </c>
      <c r="DL152" s="2">
        <v>20.399999999999999</v>
      </c>
      <c r="DM152" s="2">
        <v>4.5</v>
      </c>
      <c r="DN152" s="2">
        <v>8.3000000000000007</v>
      </c>
      <c r="DO152" s="2">
        <v>1.9</v>
      </c>
      <c r="DP152" s="2" t="s">
        <v>102</v>
      </c>
      <c r="DQ152" s="2" t="str">
        <f>HYPERLINK(".\links\Sigp\AGAP006404-PA-SigP.txt","CYT")</f>
        <v>CYT</v>
      </c>
      <c r="DR152" s="2" t="s">
        <v>102</v>
      </c>
      <c r="DS152" s="2">
        <v>17.352</v>
      </c>
      <c r="DT152" s="2">
        <v>4.57</v>
      </c>
      <c r="DU152" s="2" t="s">
        <v>102</v>
      </c>
      <c r="DV152" s="2" t="s">
        <v>102</v>
      </c>
      <c r="DW152" s="2" t="s">
        <v>211</v>
      </c>
      <c r="DX152" s="2">
        <v>157</v>
      </c>
      <c r="DY152" s="12">
        <v>0</v>
      </c>
      <c r="DZ152" s="2" t="s">
        <v>102</v>
      </c>
      <c r="EA152" s="2" t="s">
        <v>102</v>
      </c>
      <c r="EB152" s="2" t="s">
        <v>102</v>
      </c>
      <c r="EC152" s="2" t="str">
        <f>HYPERLINK(".\links\gpi\AGAP006404-PA-gpi.txt","Y-NoSP")</f>
        <v>Y-NoSP</v>
      </c>
      <c r="ED152" s="2">
        <v>0.34</v>
      </c>
      <c r="EF152" s="2">
        <v>0</v>
      </c>
      <c r="EG152" s="2" t="str">
        <f>HYPERLINK(".\links\pep\AGAP006404-PA-sulf.txt","2")</f>
        <v>2</v>
      </c>
      <c r="EH152" s="2" t="s">
        <v>102</v>
      </c>
      <c r="EI152" s="2">
        <v>20.382165605095501</v>
      </c>
      <c r="EJ152" s="2">
        <v>8.2802547770700592</v>
      </c>
      <c r="EK152" s="2">
        <v>4.4585987261146496</v>
      </c>
      <c r="EL152" s="2">
        <v>12.7388535031847</v>
      </c>
      <c r="EM152" s="2">
        <v>1</v>
      </c>
      <c r="EN152" s="2">
        <v>1</v>
      </c>
      <c r="EO152" s="2">
        <v>1</v>
      </c>
      <c r="EP152" s="2" t="s">
        <v>102</v>
      </c>
      <c r="EQ152" s="2" t="s">
        <v>102</v>
      </c>
      <c r="ER152" s="2" t="s">
        <v>102</v>
      </c>
      <c r="ES152" s="2" t="s">
        <v>102</v>
      </c>
      <c r="ET152" s="2" t="str">
        <f>HYPERLINK(".\links\REFSEQ-INVERTEBRATE\AGAP006404-PA-REFSEQ-INVERTEBRATE.txt","AGAP006404-PA")</f>
        <v>AGAP006404-PA</v>
      </c>
      <c r="EU152" s="2" t="str">
        <f>HYPERLINK("http://www.ncbi.nlm.nih.gov/sutils/blink.cgi?pid=XP_316437.3","1E-110")</f>
        <v>1E-110</v>
      </c>
      <c r="EV152" s="2" t="str">
        <f>HYPERLINK("http://www.ncbi.nlm.nih.gov/protein/XP_316437.3","XP_316437.3")</f>
        <v>XP_316437.3</v>
      </c>
      <c r="EW152" s="2">
        <v>100</v>
      </c>
      <c r="EX152" s="2">
        <v>100</v>
      </c>
      <c r="EY152" s="2">
        <v>100</v>
      </c>
      <c r="EZ152" s="2" t="s">
        <v>105</v>
      </c>
    </row>
    <row r="153" spans="1:156" x14ac:dyDescent="0.25">
      <c r="A153" s="2" t="s">
        <v>1772</v>
      </c>
      <c r="B153" s="2">
        <v>0.34384225383189299</v>
      </c>
      <c r="C153" s="2">
        <f t="shared" si="2"/>
        <v>1.2691321098633879</v>
      </c>
      <c r="D153" s="2">
        <v>7.9082740546774897</v>
      </c>
      <c r="E153" s="2">
        <v>11.476175875035</v>
      </c>
      <c r="F153" s="2">
        <v>7.0494031317420503E-4</v>
      </c>
      <c r="G153" s="2">
        <v>2.8954601187736202E-2</v>
      </c>
      <c r="H153" s="2" t="s">
        <v>1773</v>
      </c>
      <c r="I153" s="2" t="s">
        <v>94</v>
      </c>
      <c r="J153" s="2" t="str">
        <f>HYPERLINK("https://vectorbase.org/vectorbase/app/record/gene/AGAP004227","AGAP004227-RA")</f>
        <v>AGAP004227-RA</v>
      </c>
      <c r="K153" s="2" t="str">
        <f>HYPERLINK(".\links\pep\AGAP004227-PA-pep.txt","AGAP004227-PA")</f>
        <v>AGAP004227-PA</v>
      </c>
      <c r="L153" s="12" t="s">
        <v>95</v>
      </c>
      <c r="M153" s="2">
        <v>186</v>
      </c>
      <c r="N153" s="2">
        <v>0</v>
      </c>
      <c r="O153" s="2">
        <v>0</v>
      </c>
      <c r="P153" s="2" t="s">
        <v>1774</v>
      </c>
      <c r="Q153" s="9" t="s">
        <v>1775</v>
      </c>
      <c r="R153" s="2" t="s">
        <v>771</v>
      </c>
      <c r="S153" s="2" t="str">
        <f>HYPERLINK(".\links\KOG\AGAP004227-PA-KOG.txt","KOG")</f>
        <v>KOG</v>
      </c>
      <c r="T153" s="2">
        <v>3E-32</v>
      </c>
      <c r="U153" s="2">
        <v>93.3</v>
      </c>
      <c r="V153" s="2" t="s">
        <v>1776</v>
      </c>
      <c r="W153" s="10" t="s">
        <v>1777</v>
      </c>
      <c r="X153" s="2" t="s">
        <v>181</v>
      </c>
      <c r="Y153" s="2" t="str">
        <f>HYPERLINK(".\links\CDD\AGAP004227-PA-CDD.txt","CDD")</f>
        <v>CDD</v>
      </c>
      <c r="Z153" s="15">
        <v>7.9999999999999994E-39</v>
      </c>
      <c r="AA153" s="2">
        <v>98.7</v>
      </c>
      <c r="AB153" s="13" t="s">
        <v>102</v>
      </c>
      <c r="AC153" s="13" t="str">
        <f>HYPERLINK(".\links\Sigp\AGAP004227-PA-SigP.txt","CYT")</f>
        <v>CYT</v>
      </c>
      <c r="AD153" s="2" t="s">
        <v>102</v>
      </c>
      <c r="AE153" s="2">
        <v>21.251000000000001</v>
      </c>
      <c r="AF153" s="2">
        <v>6.73</v>
      </c>
      <c r="AG153" s="2" t="s">
        <v>102</v>
      </c>
      <c r="AH153" s="2" t="s">
        <v>102</v>
      </c>
      <c r="AI153" s="2" t="s">
        <v>823</v>
      </c>
      <c r="AJ153" s="13">
        <v>0</v>
      </c>
      <c r="AK153" s="2" t="s">
        <v>102</v>
      </c>
      <c r="AL153" s="2" t="s">
        <v>102</v>
      </c>
      <c r="AM153" s="2" t="s">
        <v>102</v>
      </c>
      <c r="AN153" s="13" t="str">
        <f>HYPERLINK(".\links\gpi\AGAP004227-PA-gpi.txt","N")</f>
        <v>N</v>
      </c>
      <c r="AO153" s="14" t="str">
        <f>HYPERLINK(".\links\netoglyc\AGAP004227-PA-netoglyc.txt","1")</f>
        <v>1</v>
      </c>
      <c r="AP153" s="13">
        <v>11.3</v>
      </c>
      <c r="AQ153" s="2">
        <v>6.5</v>
      </c>
      <c r="AR153" s="2">
        <v>2.7</v>
      </c>
      <c r="AS153" s="2" t="s">
        <v>104</v>
      </c>
      <c r="AT153" s="9" t="str">
        <f>HYPERLINK(".\links\NR-LIGHT\AGAP004227-PA-NR-LIGHT.txt","AGAP004227-PA")</f>
        <v>AGAP004227-PA</v>
      </c>
      <c r="AU153" s="2" t="str">
        <f>HYPERLINK("http://www.ncbi.nlm.nih.gov/sutils/blink.cgi?pid=XP_313136.3","1E-104")</f>
        <v>1E-104</v>
      </c>
      <c r="AV153" s="2" t="str">
        <f>HYPERLINK("http://www.ncbi.nlm.nih.gov/protein/XP_313136.3","XP_313136.3")</f>
        <v>XP_313136.3</v>
      </c>
      <c r="AW153" s="2">
        <v>100</v>
      </c>
      <c r="AX153" s="2">
        <v>100</v>
      </c>
      <c r="AY153" s="2">
        <v>100</v>
      </c>
      <c r="AZ153" s="2" t="s">
        <v>105</v>
      </c>
      <c r="BA153" s="9" t="str">
        <f>HYPERLINK(".\links\REFSEQ-INVERTEBRATE\AGAP004227-PA-REFSEQ-INVERTEBRATE.txt","AGAP004227-PA")</f>
        <v>AGAP004227-PA</v>
      </c>
      <c r="BB153" s="2" t="str">
        <f>HYPERLINK("http://www.ncbi.nlm.nih.gov/sutils/blink.cgi?pid=XP_313136.3","1E-104")</f>
        <v>1E-104</v>
      </c>
      <c r="BC153" s="2" t="str">
        <f>HYPERLINK("http://www.ncbi.nlm.nih.gov/protein/XP_313136.3","XP_313136.3")</f>
        <v>XP_313136.3</v>
      </c>
      <c r="BD153" s="2">
        <v>100</v>
      </c>
      <c r="BE153" s="2">
        <v>100</v>
      </c>
      <c r="BF153" s="2">
        <v>100</v>
      </c>
      <c r="BG153" s="2" t="s">
        <v>105</v>
      </c>
      <c r="BH153" s="9" t="str">
        <f>HYPERLINK(".\links\REFSEQ-PROTOZOA\AGAP004227-PA-REFSEQ-PROTOZOA.txt","ADP-ribosylation factor-like protein 8B")</f>
        <v>ADP-ribosylation factor-like protein 8B</v>
      </c>
      <c r="BI153" s="2" t="str">
        <f>HYPERLINK("http://www.ncbi.nlm.nih.gov/sutils/blink.cgi?pid=XP_004363502.1","1E-081")</f>
        <v>1E-081</v>
      </c>
      <c r="BJ153" s="2" t="str">
        <f>HYPERLINK("http://www.ncbi.nlm.nih.gov/protein/XP_004363502.1","XP_004363502.1")</f>
        <v>XP_004363502.1</v>
      </c>
      <c r="BK153" s="2">
        <v>81</v>
      </c>
      <c r="BL153" s="2">
        <v>90</v>
      </c>
      <c r="BM153" s="2">
        <v>96</v>
      </c>
      <c r="BN153" s="2" t="s">
        <v>106</v>
      </c>
      <c r="BO153" s="9" t="str">
        <f>HYPERLINK(".\links\SWISSP\AGAP004227-PA-SWISSP.txt","ADP-ribosylation factor-like protein 8")</f>
        <v>ADP-ribosylation factor-like protein 8</v>
      </c>
      <c r="BP153" s="2" t="str">
        <f>HYPERLINK("http://www.uniprot.org/uniprot/Q9VHV5","1E-100")</f>
        <v>1E-100</v>
      </c>
      <c r="BQ153" s="2" t="str">
        <f>HYPERLINK("http://www.uniprot.org/uniprot/Q9VHV5#expression","Q9VHV5")</f>
        <v>Q9VHV5</v>
      </c>
      <c r="BR153" s="2">
        <v>93</v>
      </c>
      <c r="BS153" s="2">
        <v>98</v>
      </c>
      <c r="BT153" s="2">
        <v>100</v>
      </c>
      <c r="BU153" s="2" t="s">
        <v>107</v>
      </c>
      <c r="BV153" s="9" t="str">
        <f>HYPERLINK(".\links\FLYBASE\AGAP004227-PA-FLYBASE.txt","FBpp0308780")</f>
        <v>FBpp0308780</v>
      </c>
      <c r="BW153" s="2" t="str">
        <f>HYPERLINK("http://flybase.org/reports/FBgn0037551#alliance_summary_container","1E-133")</f>
        <v>1E-133</v>
      </c>
      <c r="BX153" s="2">
        <v>186</v>
      </c>
      <c r="BY153" s="2">
        <v>93</v>
      </c>
      <c r="BZ153" s="2">
        <v>98</v>
      </c>
      <c r="CA153" s="2">
        <v>100</v>
      </c>
      <c r="CB153" s="9" t="str">
        <f>HYPERLINK(".\links\CDD\AGAP004227-PA-CDD.txt","Arl10_like, Arf-like 9 (Arl9) and 10 (Arl10) GTPases")</f>
        <v>Arl10_like, Arf-like 9 (Arl9) and 10 (Arl10) GTPases</v>
      </c>
      <c r="CC153" s="15">
        <v>3.0000000000000002E-87</v>
      </c>
      <c r="CD153" s="2">
        <v>100</v>
      </c>
      <c r="CE153" s="2" t="s">
        <v>1778</v>
      </c>
      <c r="CF153" s="2" t="s">
        <v>1779</v>
      </c>
      <c r="CG153" s="9" t="str">
        <f>HYPERLINK(".\links\KOG\AGAP004227-PA-KOG.txt","GTP-binding ADP-ribosylation factor-like protein")</f>
        <v>GTP-binding ADP-ribosylation factor-like protein</v>
      </c>
      <c r="CH153" s="15">
        <v>3.9999999999999996E-96</v>
      </c>
      <c r="CI153" s="2">
        <v>100</v>
      </c>
      <c r="CJ153" s="2" t="s">
        <v>1780</v>
      </c>
      <c r="CK153" s="2" t="s">
        <v>191</v>
      </c>
      <c r="CL153" s="9" t="str">
        <f>HYPERLINK(".\links\PFAM\AGAP004227-PA-PFAM.txt","Arf, ADP-ribosylation factor family")</f>
        <v>Arf, ADP-ribosylation factor family</v>
      </c>
      <c r="CM153" s="15">
        <v>3E-37</v>
      </c>
      <c r="CN153" s="2">
        <v>98.9</v>
      </c>
      <c r="CO153" s="2" t="s">
        <v>1781</v>
      </c>
      <c r="CP153" s="9" t="str">
        <f>HYPERLINK(".\links\SMART\AGAP004227-PA-SMART.txt","ARF, ARF-like small GTPases")</f>
        <v>ARF, ARF-like small GTPases</v>
      </c>
      <c r="CQ153" s="15">
        <v>9.0000000000000008E-31</v>
      </c>
      <c r="CR153" s="2">
        <v>98.3</v>
      </c>
      <c r="CS153" s="2" t="s">
        <v>1782</v>
      </c>
      <c r="CT153" s="2" t="s">
        <v>1776</v>
      </c>
      <c r="CU153" s="2" t="s">
        <v>1776</v>
      </c>
      <c r="CV153" s="2" t="s">
        <v>1776</v>
      </c>
      <c r="CW153" s="2" t="str">
        <f>HYPERLINK(".\links\pep\AGAP004227-PA-pep.txt","AGAP004227-PA")</f>
        <v>AGAP004227-PA</v>
      </c>
      <c r="CX153" s="2" t="s">
        <v>95</v>
      </c>
      <c r="CY153" s="2">
        <v>186</v>
      </c>
      <c r="CZ153" s="2" t="s">
        <v>113</v>
      </c>
      <c r="DA153" s="2" t="s">
        <v>1783</v>
      </c>
      <c r="DB153" s="2">
        <v>0</v>
      </c>
      <c r="DC153" s="2">
        <v>0</v>
      </c>
      <c r="DD153" s="2" t="str">
        <f>HYPERLINK("https://www.kegg.jp/kegg-bin/search_pathway_text?map=aga&amp;keyword=AGAP004227&amp;mode=1&amp;viewImage=true","AGAP004227")</f>
        <v>AGAP004227</v>
      </c>
      <c r="DE153" s="2" t="s">
        <v>1772</v>
      </c>
      <c r="DF153" s="2" t="s">
        <v>1773</v>
      </c>
      <c r="DG153" s="2" t="s">
        <v>94</v>
      </c>
      <c r="DH153" s="2" t="str">
        <f>HYPERLINK("https://vectorbase.org/vectorbase/app/record/gene/AGAP004227","AGAP004227-RA")</f>
        <v>AGAP004227-RA</v>
      </c>
      <c r="DI153" s="2" t="s">
        <v>115</v>
      </c>
      <c r="DJ153" s="2">
        <v>2670</v>
      </c>
      <c r="DK153" s="2" t="str">
        <f>HYPERLINK(".\links\netoglyc\AGAP004227-PA-netoglyc.txt","1")</f>
        <v>1</v>
      </c>
      <c r="DL153" s="2">
        <v>11.3</v>
      </c>
      <c r="DM153" s="2">
        <v>6.5</v>
      </c>
      <c r="DN153" s="2">
        <v>2.7</v>
      </c>
      <c r="DO153" s="2" t="s">
        <v>104</v>
      </c>
      <c r="DP153" s="2" t="s">
        <v>102</v>
      </c>
      <c r="DQ153" s="2" t="str">
        <f>HYPERLINK(".\links\Sigp\AGAP004227-PA-SigP.txt","CYT")</f>
        <v>CYT</v>
      </c>
      <c r="DR153" s="2" t="s">
        <v>102</v>
      </c>
      <c r="DS153" s="2">
        <v>21.251000000000001</v>
      </c>
      <c r="DT153" s="2">
        <v>6.73</v>
      </c>
      <c r="DU153" s="2" t="s">
        <v>102</v>
      </c>
      <c r="DV153" s="2" t="s">
        <v>102</v>
      </c>
      <c r="DW153" s="2" t="s">
        <v>823</v>
      </c>
      <c r="DX153" s="2">
        <v>186</v>
      </c>
      <c r="DY153" s="12">
        <v>0</v>
      </c>
      <c r="DZ153" s="2" t="s">
        <v>102</v>
      </c>
      <c r="EA153" s="2" t="s">
        <v>102</v>
      </c>
      <c r="EB153" s="2" t="s">
        <v>102</v>
      </c>
      <c r="EC153" s="2" t="str">
        <f>HYPERLINK(".\links\gpi\AGAP004227-PA-gpi.txt","Y-NoSP")</f>
        <v>Y-NoSP</v>
      </c>
      <c r="ED153" s="2">
        <v>0.26</v>
      </c>
      <c r="EF153" s="2">
        <v>5</v>
      </c>
      <c r="EG153" s="2" t="s">
        <v>102</v>
      </c>
      <c r="EH153" s="2" t="s">
        <v>102</v>
      </c>
      <c r="EI153" s="2">
        <v>11.290322580645199</v>
      </c>
      <c r="EJ153" s="2">
        <v>2.6881720430107499</v>
      </c>
      <c r="EK153" s="2">
        <v>6.4516129032258096</v>
      </c>
      <c r="EL153" s="2">
        <v>9.1397849462365599</v>
      </c>
      <c r="EM153" s="2" t="s">
        <v>102</v>
      </c>
      <c r="EN153" s="2">
        <v>1</v>
      </c>
      <c r="EO153" s="2">
        <v>2</v>
      </c>
      <c r="EP153" s="2" t="s">
        <v>102</v>
      </c>
      <c r="EQ153" s="2" t="s">
        <v>102</v>
      </c>
      <c r="ER153" s="2" t="s">
        <v>102</v>
      </c>
      <c r="ES153" s="2" t="s">
        <v>102</v>
      </c>
      <c r="ET153" s="2" t="str">
        <f>HYPERLINK(".\links\REFSEQ-INVERTEBRATE\AGAP004227-PA-REFSEQ-INVERTEBRATE.txt","AGAP004227-PA")</f>
        <v>AGAP004227-PA</v>
      </c>
      <c r="EU153" s="2" t="str">
        <f>HYPERLINK("http://www.ncbi.nlm.nih.gov/sutils/blink.cgi?pid=XP_313136.3","1E-137")</f>
        <v>1E-137</v>
      </c>
      <c r="EV153" s="2" t="str">
        <f>HYPERLINK("http://www.ncbi.nlm.nih.gov/protein/XP_313136.3","XP_313136.3")</f>
        <v>XP_313136.3</v>
      </c>
      <c r="EW153" s="2">
        <v>100</v>
      </c>
      <c r="EX153" s="2">
        <v>100</v>
      </c>
      <c r="EY153" s="2">
        <v>100</v>
      </c>
      <c r="EZ153" s="2" t="s">
        <v>105</v>
      </c>
    </row>
    <row r="154" spans="1:156" x14ac:dyDescent="0.25">
      <c r="A154" s="2" t="s">
        <v>1784</v>
      </c>
      <c r="B154" s="2">
        <v>0.34350458300558701</v>
      </c>
      <c r="C154" s="2">
        <f t="shared" si="2"/>
        <v>1.268835097169875</v>
      </c>
      <c r="D154" s="2">
        <v>8.0223256111019605</v>
      </c>
      <c r="E154" s="2">
        <v>12.281591230380901</v>
      </c>
      <c r="F154" s="2">
        <v>4.57448169294765E-4</v>
      </c>
      <c r="G154" s="2">
        <v>2.4634708789070599E-2</v>
      </c>
      <c r="H154" s="2" t="s">
        <v>1785</v>
      </c>
      <c r="I154" s="2" t="s">
        <v>94</v>
      </c>
      <c r="J154" s="2" t="str">
        <f>HYPERLINK("https://vectorbase.org/vectorbase/app/record/gene/AGAP004708","AGAP004708-RA")</f>
        <v>AGAP004708-RA</v>
      </c>
      <c r="K154" s="2" t="str">
        <f>HYPERLINK(".\links\pep\AGAP004708-PA-pep.txt","AGAP004708-PA")</f>
        <v>AGAP004708-PA</v>
      </c>
      <c r="L154" s="12" t="s">
        <v>95</v>
      </c>
      <c r="M154" s="2">
        <v>663</v>
      </c>
      <c r="N154" s="2">
        <v>0</v>
      </c>
      <c r="O154" s="2">
        <v>0</v>
      </c>
      <c r="P154" s="2" t="s">
        <v>1786</v>
      </c>
      <c r="Q154" s="9" t="s">
        <v>1787</v>
      </c>
      <c r="R154" s="2" t="s">
        <v>420</v>
      </c>
      <c r="S154" s="2" t="str">
        <f>HYPERLINK(".\links\CDD\AGAP004708-PA-CDD.txt","CDD")</f>
        <v>CDD</v>
      </c>
      <c r="T154" s="2">
        <v>0</v>
      </c>
      <c r="U154" s="2">
        <v>102</v>
      </c>
      <c r="V154" s="2" t="s">
        <v>1788</v>
      </c>
      <c r="W154" s="10" t="s">
        <v>1789</v>
      </c>
      <c r="X154" s="2" t="s">
        <v>672</v>
      </c>
      <c r="Y154" s="2" t="str">
        <f>HYPERLINK(".\links\REFSEQ-VIRUS\AGAP004708-PA-REFSEQ-VIRUS.txt","REFSEQ-VIRUS")</f>
        <v>REFSEQ-VIRUS</v>
      </c>
      <c r="Z154" s="15">
        <v>0</v>
      </c>
      <c r="AA154" s="2">
        <v>83</v>
      </c>
      <c r="AB154" s="13" t="str">
        <f>HYPERLINK(".\links\pep\AGAP004708-PA-sulf.txt","1")</f>
        <v>1</v>
      </c>
      <c r="AC154" s="13" t="str">
        <f>HYPERLINK(".\links\Sigp\AGAP004708-PA-SigP.txt","CYT")</f>
        <v>CYT</v>
      </c>
      <c r="AD154" s="2" t="s">
        <v>102</v>
      </c>
      <c r="AE154" s="2">
        <v>75.751999999999995</v>
      </c>
      <c r="AF154" s="2">
        <v>6.3</v>
      </c>
      <c r="AG154" s="2" t="s">
        <v>102</v>
      </c>
      <c r="AH154" s="2" t="s">
        <v>102</v>
      </c>
      <c r="AI154" s="2" t="s">
        <v>124</v>
      </c>
      <c r="AJ154" s="13">
        <v>0</v>
      </c>
      <c r="AK154" s="2" t="s">
        <v>102</v>
      </c>
      <c r="AL154" s="2" t="s">
        <v>102</v>
      </c>
      <c r="AM154" s="2" t="s">
        <v>102</v>
      </c>
      <c r="AN154" s="13" t="str">
        <f>HYPERLINK(".\links\gpi\AGAP004708-PA-gpi.txt","N")</f>
        <v>N</v>
      </c>
      <c r="AO154" s="14" t="str">
        <f>HYPERLINK(".\links\netoglyc\AGAP004708-PA-netoglyc.txt","0")</f>
        <v>0</v>
      </c>
      <c r="AP154" s="13">
        <v>11</v>
      </c>
      <c r="AQ154" s="2">
        <v>5.7</v>
      </c>
      <c r="AR154" s="2">
        <v>2</v>
      </c>
      <c r="AS154" s="2" t="s">
        <v>104</v>
      </c>
      <c r="AT154" s="9" t="str">
        <f>HYPERLINK(".\links\NR-LIGHT\AGAP004708-PA-NR-LIGHT.txt","AGAP004708-PA")</f>
        <v>AGAP004708-PA</v>
      </c>
      <c r="AU154" s="2" t="str">
        <f>HYPERLINK("http://www.ncbi.nlm.nih.gov/sutils/blink.cgi?pid=XP_318119.3","0.0")</f>
        <v>0.0</v>
      </c>
      <c r="AV154" s="2" t="str">
        <f>HYPERLINK("http://www.ncbi.nlm.nih.gov/protein/XP_318119.3","XP_318119.3")</f>
        <v>XP_318119.3</v>
      </c>
      <c r="AW154" s="2">
        <v>100</v>
      </c>
      <c r="AX154" s="2">
        <v>100</v>
      </c>
      <c r="AY154" s="2">
        <v>100</v>
      </c>
      <c r="AZ154" s="2" t="s">
        <v>105</v>
      </c>
      <c r="BA154" s="9" t="str">
        <f>HYPERLINK(".\links\REFSEQ-INVERTEBRATE\AGAP004708-PA-REFSEQ-INVERTEBRATE.txt","AGAP004708-PA")</f>
        <v>AGAP004708-PA</v>
      </c>
      <c r="BB154" s="2" t="str">
        <f>HYPERLINK("http://www.ncbi.nlm.nih.gov/sutils/blink.cgi?pid=XP_318119.3","0.0")</f>
        <v>0.0</v>
      </c>
      <c r="BC154" s="2" t="str">
        <f>HYPERLINK("http://www.ncbi.nlm.nih.gov/protein/XP_318119.3","XP_318119.3")</f>
        <v>XP_318119.3</v>
      </c>
      <c r="BD154" s="2">
        <v>100</v>
      </c>
      <c r="BE154" s="2">
        <v>100</v>
      </c>
      <c r="BF154" s="2">
        <v>100</v>
      </c>
      <c r="BG154" s="2" t="s">
        <v>105</v>
      </c>
      <c r="BH154" s="9" t="str">
        <f>HYPERLINK(".\links\REFSEQ-PROTOZOA\AGAP004708-PA-REFSEQ-PROTOZOA.txt","hypothetical protein")</f>
        <v>hypothetical protein</v>
      </c>
      <c r="BI154" s="2" t="str">
        <f>HYPERLINK("http://www.ncbi.nlm.nih.gov/sutils/blink.cgi?pid=XP_001751014.1","1E-164")</f>
        <v>1E-164</v>
      </c>
      <c r="BJ154" s="2" t="str">
        <f>HYPERLINK("http://www.ncbi.nlm.nih.gov/protein/XP_001751014.1","XP_001751014.1")</f>
        <v>XP_001751014.1</v>
      </c>
      <c r="BK154" s="2">
        <v>47</v>
      </c>
      <c r="BL154" s="2">
        <v>64</v>
      </c>
      <c r="BM154" s="2">
        <v>67</v>
      </c>
      <c r="BN154" s="2" t="s">
        <v>248</v>
      </c>
      <c r="BO154" s="9" t="str">
        <f>HYPERLINK(".\links\SWISSP\AGAP004708-PA-SWISSP.txt","Probable arginine--tRNA ligase, cytoplasmic")</f>
        <v>Probable arginine--tRNA ligase, cytoplasmic</v>
      </c>
      <c r="BP154" s="2" t="str">
        <f>HYPERLINK("http://www.uniprot.org/uniprot/Q9VXN4","0.0")</f>
        <v>0.0</v>
      </c>
      <c r="BQ154" s="2" t="str">
        <f>HYPERLINK("http://www.uniprot.org/uniprot/Q9VXN4#expression","Q9VXN4")</f>
        <v>Q9VXN4</v>
      </c>
      <c r="BR154" s="2">
        <v>59</v>
      </c>
      <c r="BS154" s="2">
        <v>74</v>
      </c>
      <c r="BT154" s="2">
        <v>101</v>
      </c>
      <c r="BU154" s="2" t="s">
        <v>107</v>
      </c>
      <c r="BV154" s="9" t="str">
        <f>HYPERLINK(".\links\FLYBASE\AGAP004708-PA-FLYBASE.txt","FBpp0073965")</f>
        <v>FBpp0073965</v>
      </c>
      <c r="BW154" s="2" t="str">
        <f>HYPERLINK("http://flybase.org/reports/FBgn0027093#alliance_summary_container","0.0")</f>
        <v>0.0</v>
      </c>
      <c r="BX154" s="2">
        <v>665</v>
      </c>
      <c r="BY154" s="2">
        <v>59</v>
      </c>
      <c r="BZ154" s="2">
        <v>75</v>
      </c>
      <c r="CA154" s="2">
        <v>101</v>
      </c>
      <c r="CB154" s="9" t="str">
        <f>HYPERLINK(".\links\CDD\AGAP004708-PA-CDD.txt","PLN02286, arginine-tRNA ligase")</f>
        <v>PLN02286, arginine-tRNA ligase</v>
      </c>
      <c r="CC154" s="15">
        <v>0</v>
      </c>
      <c r="CD154" s="2">
        <v>102.1</v>
      </c>
      <c r="CE154" s="2" t="s">
        <v>1790</v>
      </c>
      <c r="CF154" s="2" t="s">
        <v>1791</v>
      </c>
      <c r="CG154" s="9" t="str">
        <f>HYPERLINK(".\links\KOG\AGAP004708-PA-KOG.txt","Arginyl-tRNA synthetase")</f>
        <v>Arginyl-tRNA synthetase</v>
      </c>
      <c r="CH154" s="15">
        <v>0</v>
      </c>
      <c r="CI154" s="2">
        <v>100.2</v>
      </c>
      <c r="CJ154" s="2" t="s">
        <v>1792</v>
      </c>
      <c r="CK154" s="2" t="s">
        <v>678</v>
      </c>
      <c r="CL154" s="9" t="str">
        <f>HYPERLINK(".\links\PFAM\AGAP004708-PA-PFAM.txt","tRNA-synt_1d, tRNA synthetases class I (R)")</f>
        <v>tRNA-synt_1d, tRNA synthetases class I (R)</v>
      </c>
      <c r="CM154" s="15">
        <v>1E-125</v>
      </c>
      <c r="CN154" s="2">
        <v>100.9</v>
      </c>
      <c r="CO154" s="2" t="s">
        <v>1793</v>
      </c>
      <c r="CP154" s="9" t="str">
        <f>HYPERLINK(".\links\SMART\AGAP004708-PA-SMART.txt","DALR_1, DALR anticodon binding domain")</f>
        <v>DALR_1, DALR anticodon binding domain</v>
      </c>
      <c r="CQ154" s="15">
        <v>3E-24</v>
      </c>
      <c r="CR154" s="2">
        <v>104.1</v>
      </c>
      <c r="CS154" s="2" t="s">
        <v>1794</v>
      </c>
      <c r="CT154" s="2" t="s">
        <v>1788</v>
      </c>
      <c r="CU154" s="2" t="s">
        <v>1788</v>
      </c>
      <c r="CV154" s="2" t="s">
        <v>1788</v>
      </c>
      <c r="CW154" s="2" t="str">
        <f>HYPERLINK(".\links\pep\AGAP004708-PA-pep.txt","AGAP004708-PA")</f>
        <v>AGAP004708-PA</v>
      </c>
      <c r="CX154" s="2" t="s">
        <v>95</v>
      </c>
      <c r="CY154" s="2">
        <v>663</v>
      </c>
      <c r="CZ154" s="2" t="s">
        <v>113</v>
      </c>
      <c r="DA154" s="2" t="s">
        <v>1795</v>
      </c>
      <c r="DB154" s="2">
        <v>0</v>
      </c>
      <c r="DC154" s="2">
        <v>0</v>
      </c>
      <c r="DD154" s="2" t="str">
        <f>HYPERLINK("https://www.kegg.jp/kegg-bin/search_pathway_text?map=aga&amp;keyword=AGAP004708&amp;mode=1&amp;viewImage=true","AGAP004708")</f>
        <v>AGAP004708</v>
      </c>
      <c r="DE154" s="2" t="s">
        <v>1784</v>
      </c>
      <c r="DF154" s="2" t="s">
        <v>1785</v>
      </c>
      <c r="DG154" s="2" t="s">
        <v>94</v>
      </c>
      <c r="DH154" s="2" t="str">
        <f>HYPERLINK("https://vectorbase.org/vectorbase/app/record/gene/AGAP004708","AGAP004708-RA")</f>
        <v>AGAP004708-RA</v>
      </c>
      <c r="DI154" s="2" t="s">
        <v>90</v>
      </c>
      <c r="DJ154" s="2">
        <v>2505</v>
      </c>
      <c r="DK154" s="2" t="str">
        <f>HYPERLINK(".\links\netoglyc\AGAP004708-PA-netoglyc.txt","0")</f>
        <v>0</v>
      </c>
      <c r="DL154" s="2">
        <v>11</v>
      </c>
      <c r="DM154" s="2">
        <v>5.7</v>
      </c>
      <c r="DN154" s="2">
        <v>2</v>
      </c>
      <c r="DO154" s="2" t="s">
        <v>104</v>
      </c>
      <c r="DP154" s="2" t="s">
        <v>102</v>
      </c>
      <c r="DQ154" s="2" t="str">
        <f>HYPERLINK(".\links\Sigp\AGAP004708-PA-SigP.txt","CYT")</f>
        <v>CYT</v>
      </c>
      <c r="DR154" s="2" t="s">
        <v>102</v>
      </c>
      <c r="DS154" s="2">
        <v>75.751999999999995</v>
      </c>
      <c r="DT154" s="2">
        <v>6.3</v>
      </c>
      <c r="DU154" s="2" t="s">
        <v>102</v>
      </c>
      <c r="DV154" s="2" t="s">
        <v>102</v>
      </c>
      <c r="DW154" s="2" t="s">
        <v>124</v>
      </c>
      <c r="DX154" s="2">
        <v>663</v>
      </c>
      <c r="DY154" s="12">
        <v>0</v>
      </c>
      <c r="DZ154" s="2" t="s">
        <v>102</v>
      </c>
      <c r="EA154" s="2" t="s">
        <v>102</v>
      </c>
      <c r="EB154" s="2" t="s">
        <v>102</v>
      </c>
      <c r="EC154" s="2" t="str">
        <f>HYPERLINK(".\links\gpi\AGAP004708-PA-gpi.txt","N")</f>
        <v>N</v>
      </c>
      <c r="ED154" s="2">
        <v>0.24</v>
      </c>
      <c r="EF154" s="2">
        <v>15</v>
      </c>
      <c r="EG154" s="2" t="str">
        <f>HYPERLINK(".\links\pep\AGAP004708-PA-sulf.txt","1")</f>
        <v>1</v>
      </c>
      <c r="EH154" s="2" t="s">
        <v>102</v>
      </c>
      <c r="EI154" s="2">
        <v>11.010558069381601</v>
      </c>
      <c r="EJ154" s="2">
        <v>1.9607843137254899</v>
      </c>
      <c r="EK154" s="2">
        <v>5.7315233785822004</v>
      </c>
      <c r="EL154" s="2">
        <v>7.6923076923076898</v>
      </c>
      <c r="EM154" s="2" t="s">
        <v>102</v>
      </c>
      <c r="EN154" s="2">
        <v>1</v>
      </c>
      <c r="EO154" s="2">
        <v>1</v>
      </c>
      <c r="EP154" s="2" t="s">
        <v>102</v>
      </c>
      <c r="EQ154" s="2" t="s">
        <v>102</v>
      </c>
      <c r="ER154" s="2" t="s">
        <v>102</v>
      </c>
      <c r="ES154" s="2" t="s">
        <v>102</v>
      </c>
      <c r="ET154" s="2" t="str">
        <f>HYPERLINK(".\links\REFSEQ-INVERTEBRATE\AGAP004708-PA-REFSEQ-INVERTEBRATE.txt","AGAP004708-PA")</f>
        <v>AGAP004708-PA</v>
      </c>
      <c r="EU154" s="2" t="str">
        <f>HYPERLINK("http://www.ncbi.nlm.nih.gov/sutils/blink.cgi?pid=XP_318119.3","0.0")</f>
        <v>0.0</v>
      </c>
      <c r="EV154" s="2" t="str">
        <f>HYPERLINK("http://www.ncbi.nlm.nih.gov/protein/XP_318119.3","XP_318119.3")</f>
        <v>XP_318119.3</v>
      </c>
      <c r="EW154" s="2">
        <v>100</v>
      </c>
      <c r="EX154" s="2">
        <v>100</v>
      </c>
      <c r="EY154" s="2">
        <v>100</v>
      </c>
      <c r="EZ154" s="2" t="s">
        <v>105</v>
      </c>
    </row>
    <row r="155" spans="1:156" x14ac:dyDescent="0.25">
      <c r="A155" s="2" t="s">
        <v>1796</v>
      </c>
      <c r="B155" s="2">
        <v>0.34255758520429802</v>
      </c>
      <c r="C155" s="2">
        <f t="shared" si="2"/>
        <v>1.2680024958686691</v>
      </c>
      <c r="D155" s="2">
        <v>7.2259258948263501</v>
      </c>
      <c r="E155" s="2">
        <v>9.0692450045693302</v>
      </c>
      <c r="F155" s="2">
        <v>2.5994437357875202E-3</v>
      </c>
      <c r="G155" s="2">
        <v>4.7269525491001697E-2</v>
      </c>
      <c r="H155" s="2" t="s">
        <v>1797</v>
      </c>
      <c r="I155" s="2" t="s">
        <v>94</v>
      </c>
      <c r="J155" s="2" t="str">
        <f>HYPERLINK("https://vectorbase.org/vectorbase/app/record/gene/AGAP004657","AGAP004657-RA")</f>
        <v>AGAP004657-RA</v>
      </c>
      <c r="K155" s="2" t="str">
        <f>HYPERLINK(".\links\pep\AGAP004657-PA-pep.txt","AGAP004657-PA")</f>
        <v>AGAP004657-PA</v>
      </c>
      <c r="L155" s="12" t="s">
        <v>95</v>
      </c>
      <c r="M155" s="2">
        <v>180</v>
      </c>
      <c r="N155" s="2">
        <v>0</v>
      </c>
      <c r="O155" s="2">
        <v>3</v>
      </c>
      <c r="P155" s="2" t="s">
        <v>1798</v>
      </c>
      <c r="Q155" s="9" t="s">
        <v>1799</v>
      </c>
      <c r="R155" s="2" t="s">
        <v>1079</v>
      </c>
      <c r="S155" s="2" t="str">
        <f>HYPERLINK(".\links\KOG\AGAP004657-PA-KOG.txt","KOG")</f>
        <v>KOG</v>
      </c>
      <c r="T155" s="2">
        <v>8.0000000000000003E-61</v>
      </c>
      <c r="U155" s="2">
        <v>97.2</v>
      </c>
      <c r="V155" s="2" t="s">
        <v>1800</v>
      </c>
      <c r="W155" s="10" t="s">
        <v>1801</v>
      </c>
      <c r="X155" s="2" t="s">
        <v>1193</v>
      </c>
      <c r="Y155" s="2" t="str">
        <f>HYPERLINK(".\links\REFSEQVERTEBRATE95\AGAP004657-PA-REFSEQVERTEBRATE95.txt","REFSEQVERTEBRATE95")</f>
        <v>REFSEQVERTEBRATE95</v>
      </c>
      <c r="Z155" s="15">
        <v>6.0000000000000001E-80</v>
      </c>
      <c r="AA155" s="2">
        <v>94.1</v>
      </c>
      <c r="AB155" s="13" t="s">
        <v>102</v>
      </c>
      <c r="AC155" s="13" t="str">
        <f>HYPERLINK(".\links\Sigp\AGAP004657-PA-SigP.txt","CYT")</f>
        <v>CYT</v>
      </c>
      <c r="AD155" s="2" t="s">
        <v>102</v>
      </c>
      <c r="AE155" s="2">
        <v>19.100999999999999</v>
      </c>
      <c r="AF155" s="2">
        <v>7.66</v>
      </c>
      <c r="AG155" s="2" t="s">
        <v>102</v>
      </c>
      <c r="AH155" s="2" t="s">
        <v>102</v>
      </c>
      <c r="AI155" s="2" t="s">
        <v>1802</v>
      </c>
      <c r="AJ155" s="13" t="str">
        <f>HYPERLINK(".\links\tmhmm\AGAP004657-PA-tmhmm.txt","2")</f>
        <v>2</v>
      </c>
      <c r="AK155" s="2">
        <v>24.4</v>
      </c>
      <c r="AL155" s="2">
        <v>15.6</v>
      </c>
      <c r="AM155" s="2">
        <v>60</v>
      </c>
      <c r="AN155" s="13" t="str">
        <f>HYPERLINK(".\links\gpi\AGAP004657-PA-gpi.txt","N")</f>
        <v>N</v>
      </c>
      <c r="AO155" s="14" t="str">
        <f>HYPERLINK(".\links\netoglyc\AGAP004657-PA-netoglyc.txt","2")</f>
        <v>2</v>
      </c>
      <c r="AP155" s="13">
        <v>12.8</v>
      </c>
      <c r="AQ155" s="2">
        <v>13.3</v>
      </c>
      <c r="AR155" s="2">
        <v>6.7</v>
      </c>
      <c r="AS155" s="2" t="s">
        <v>104</v>
      </c>
      <c r="AT155" s="9" t="str">
        <f>HYPERLINK(".\links\NR-LIGHT\AGAP004657-PA-NR-LIGHT.txt","AGAP004657-PA")</f>
        <v>AGAP004657-PA</v>
      </c>
      <c r="AU155" s="2" t="str">
        <f>HYPERLINK("http://www.ncbi.nlm.nih.gov/sutils/blink.cgi?pid=XP_316737.3","1E-100")</f>
        <v>1E-100</v>
      </c>
      <c r="AV155" s="2" t="str">
        <f>HYPERLINK("http://www.ncbi.nlm.nih.gov/protein/XP_316737.3","XP_316737.3")</f>
        <v>XP_316737.3</v>
      </c>
      <c r="AW155" s="2">
        <v>100</v>
      </c>
      <c r="AX155" s="2">
        <v>100</v>
      </c>
      <c r="AY155" s="2">
        <v>100</v>
      </c>
      <c r="AZ155" s="2" t="s">
        <v>105</v>
      </c>
      <c r="BA155" s="9" t="str">
        <f>HYPERLINK(".\links\REFSEQ-INVERTEBRATE\AGAP004657-PA-REFSEQ-INVERTEBRATE.txt","AGAP004657-PB")</f>
        <v>AGAP004657-PB</v>
      </c>
      <c r="BB155" s="2" t="str">
        <f>HYPERLINK("http://www.ncbi.nlm.nih.gov/sutils/blink.cgi?pid=XP_003436883.1","1E-100")</f>
        <v>1E-100</v>
      </c>
      <c r="BC155" s="2" t="str">
        <f>HYPERLINK("http://www.ncbi.nlm.nih.gov/protein/XP_003436883.1","XP_003436883.1")</f>
        <v>XP_003436883.1</v>
      </c>
      <c r="BD155" s="2">
        <v>100</v>
      </c>
      <c r="BE155" s="2">
        <v>100</v>
      </c>
      <c r="BF155" s="2">
        <v>100</v>
      </c>
      <c r="BG155" s="2" t="s">
        <v>105</v>
      </c>
      <c r="BH155" s="9" t="str">
        <f>HYPERLINK(".\links\REFSEQ-PROTOZOA\AGAP004657-PA-REFSEQ-PROTOZOA.txt","hypothetical protein SARC_08298")</f>
        <v>hypothetical protein SARC_08298</v>
      </c>
      <c r="BI155" s="2" t="str">
        <f>HYPERLINK("http://www.ncbi.nlm.nih.gov/sutils/blink.cgi?pid=XP_014153205.1","2E-044")</f>
        <v>2E-044</v>
      </c>
      <c r="BJ155" s="2" t="str">
        <f>HYPERLINK("http://www.ncbi.nlm.nih.gov/protein/XP_014153205.1","XP_014153205.1")</f>
        <v>XP_014153205.1</v>
      </c>
      <c r="BK155" s="2">
        <v>54</v>
      </c>
      <c r="BL155" s="2">
        <v>66</v>
      </c>
      <c r="BM155" s="2">
        <v>89</v>
      </c>
      <c r="BN155" s="2" t="s">
        <v>393</v>
      </c>
      <c r="BO155" s="9" t="str">
        <f>HYPERLINK(".\links\SWISSP\AGAP004657-PA-SWISSP.txt","Mitochondrial import inner membrane translocase subunit Tim17-B")</f>
        <v>Mitochondrial import inner membrane translocase subunit Tim17-B</v>
      </c>
      <c r="BP155" s="2" t="str">
        <f>HYPERLINK("http://www.uniprot.org/uniprot/Q9Z0V7","8E-060")</f>
        <v>8E-060</v>
      </c>
      <c r="BQ155" s="2" t="str">
        <f>HYPERLINK("http://www.uniprot.org/uniprot/Q9Z0V7#expression","Q9Z0V7")</f>
        <v>Q9Z0V7</v>
      </c>
      <c r="BR155" s="2">
        <v>67</v>
      </c>
      <c r="BS155" s="2">
        <v>77</v>
      </c>
      <c r="BT155" s="2">
        <v>99</v>
      </c>
      <c r="BU155" s="2" t="s">
        <v>662</v>
      </c>
      <c r="BV155" s="9" t="str">
        <f>HYPERLINK(".\links\FLYBASE\AGAP004657-PA-FLYBASE.txt","FBpp0311388")</f>
        <v>FBpp0311388</v>
      </c>
      <c r="BW155" s="2" t="str">
        <f>HYPERLINK("http://flybase.org/reports/FBgn0263977#alliance_summary_container","1E-105")</f>
        <v>1E-105</v>
      </c>
      <c r="BX155" s="2">
        <v>173</v>
      </c>
      <c r="BY155" s="2">
        <v>86</v>
      </c>
      <c r="BZ155" s="2">
        <v>92</v>
      </c>
      <c r="CA155" s="2">
        <v>96</v>
      </c>
      <c r="CB155" s="9" t="str">
        <f>HYPERLINK(".\links\CDD\AGAP004657-PA-CDD.txt","3a0801so1tim17, mitochondrial import inner membrane translocase subunit tim17")</f>
        <v>3a0801so1tim17, mitochondrial import inner membrane translocase subunit tim17</v>
      </c>
      <c r="CC155" s="15">
        <v>6.0000000000000002E-58</v>
      </c>
      <c r="CD155" s="2">
        <v>104.7</v>
      </c>
      <c r="CE155" s="2" t="s">
        <v>1803</v>
      </c>
      <c r="CF155" s="2" t="s">
        <v>1804</v>
      </c>
      <c r="CG155" s="9" t="str">
        <f>HYPERLINK(".\links\KOG\AGAP004657-PA-KOG.txt","subunit TIM17")</f>
        <v>subunit TIM17</v>
      </c>
      <c r="CH155" s="15">
        <v>8.0000000000000003E-61</v>
      </c>
      <c r="CI155" s="2">
        <v>97.3</v>
      </c>
      <c r="CJ155" s="2" t="s">
        <v>1805</v>
      </c>
      <c r="CK155" s="2" t="s">
        <v>154</v>
      </c>
      <c r="CL155" s="9" t="str">
        <f>HYPERLINK(".\links\PFAM\AGAP004657-PA-PFAM.txt","Tim17, Tim17/Tim22/Tim23/Pmp24 family")</f>
        <v>Tim17, Tim17/Tim22/Tim23/Pmp24 family</v>
      </c>
      <c r="CM155" s="15">
        <v>2.0000000000000001E-27</v>
      </c>
      <c r="CN155" s="2">
        <v>106.7</v>
      </c>
      <c r="CO155" s="2" t="s">
        <v>1198</v>
      </c>
      <c r="CP155" s="9" t="str">
        <f>HYPERLINK(".\links\SMART\AGAP004657-PA-SMART.txt","Asparaginase, Asparaginase, found in various plant, animal and bacterial cells")</f>
        <v>Asparaginase, Asparaginase, found in various plant, animal and bacterial cells</v>
      </c>
      <c r="CQ155" s="15">
        <v>0.77</v>
      </c>
      <c r="CR155" s="2">
        <v>17</v>
      </c>
      <c r="CS155" s="2" t="s">
        <v>1806</v>
      </c>
      <c r="CT155" s="2" t="s">
        <v>1800</v>
      </c>
      <c r="CU155" s="2" t="s">
        <v>1800</v>
      </c>
      <c r="CV155" s="2" t="s">
        <v>1800</v>
      </c>
      <c r="CW155" s="2" t="str">
        <f>HYPERLINK(".\links\pep\AGAP004657-PA-pep.txt","AGAP004657-PA")</f>
        <v>AGAP004657-PA</v>
      </c>
      <c r="CX155" s="2" t="s">
        <v>95</v>
      </c>
      <c r="CY155" s="2">
        <v>180</v>
      </c>
      <c r="CZ155" s="2" t="s">
        <v>113</v>
      </c>
      <c r="DA155" s="2" t="s">
        <v>1807</v>
      </c>
      <c r="DB155" s="2">
        <v>0</v>
      </c>
      <c r="DC155" s="2">
        <v>3</v>
      </c>
      <c r="DD155" s="2" t="str">
        <f>HYPERLINK("https://www.kegg.jp/kegg-bin/search_pathway_text?map=aga&amp;keyword=AGAP004657&amp;mode=1&amp;viewImage=true","AGAP004657")</f>
        <v>AGAP004657</v>
      </c>
      <c r="DE155" s="2" t="s">
        <v>1796</v>
      </c>
      <c r="DF155" s="2" t="s">
        <v>1797</v>
      </c>
      <c r="DG155" s="2" t="s">
        <v>94</v>
      </c>
      <c r="DH155" s="2" t="str">
        <f>HYPERLINK("https://vectorbase.org/vectorbase/app/record/gene/AGAP004657","AGAP004657-RA")</f>
        <v>AGAP004657-RA</v>
      </c>
      <c r="DI155" s="2" t="s">
        <v>118</v>
      </c>
      <c r="DJ155" s="2">
        <v>1148</v>
      </c>
      <c r="DK155" s="2" t="str">
        <f>HYPERLINK(".\links\netoglyc\AGAP004657-PA-netoglyc.txt","2")</f>
        <v>2</v>
      </c>
      <c r="DL155" s="2">
        <v>12.8</v>
      </c>
      <c r="DM155" s="2">
        <v>13.3</v>
      </c>
      <c r="DN155" s="2">
        <v>6.7</v>
      </c>
      <c r="DO155" s="2" t="s">
        <v>104</v>
      </c>
      <c r="DP155" s="2" t="s">
        <v>102</v>
      </c>
      <c r="DQ155" s="2" t="str">
        <f>HYPERLINK(".\links\Sigp\AGAP004657-PA-SigP.txt","CYT")</f>
        <v>CYT</v>
      </c>
      <c r="DR155" s="2" t="s">
        <v>102</v>
      </c>
      <c r="DS155" s="2">
        <v>19.100999999999999</v>
      </c>
      <c r="DT155" s="2">
        <v>7.66</v>
      </c>
      <c r="DU155" s="2" t="s">
        <v>102</v>
      </c>
      <c r="DV155" s="2" t="s">
        <v>102</v>
      </c>
      <c r="DW155" s="2" t="s">
        <v>1802</v>
      </c>
      <c r="DX155" s="2">
        <v>180</v>
      </c>
      <c r="DY155" s="12" t="str">
        <f>HYPERLINK(".\links\tmhmm\AGAP004657-PA-tmhmm.txt","2")</f>
        <v>2</v>
      </c>
      <c r="DZ155" s="2">
        <v>24.4</v>
      </c>
      <c r="EA155" s="2">
        <v>15.6</v>
      </c>
      <c r="EB155" s="2">
        <v>60</v>
      </c>
      <c r="EC155" s="2" t="str">
        <f>HYPERLINK(".\links\gpi\AGAP004657-PA-gpi.txt","Y-NoSP")</f>
        <v>Y-NoSP</v>
      </c>
      <c r="ED155" s="2">
        <v>0.38</v>
      </c>
      <c r="EF155" s="2">
        <v>4</v>
      </c>
      <c r="EG155" s="2" t="s">
        <v>102</v>
      </c>
      <c r="EH155" s="2" t="s">
        <v>102</v>
      </c>
      <c r="EI155" s="2">
        <v>12.7777777777778</v>
      </c>
      <c r="EJ155" s="2">
        <v>6.6666666666666696</v>
      </c>
      <c r="EK155" s="2">
        <v>13.3333333333333</v>
      </c>
      <c r="EL155" s="2">
        <v>20</v>
      </c>
      <c r="EM155" s="2" t="s">
        <v>102</v>
      </c>
      <c r="EN155" s="2">
        <v>1</v>
      </c>
      <c r="EO155" s="2">
        <v>1</v>
      </c>
      <c r="EP155" s="2" t="s">
        <v>102</v>
      </c>
      <c r="EQ155" s="2" t="s">
        <v>102</v>
      </c>
      <c r="ER155" s="2" t="s">
        <v>102</v>
      </c>
      <c r="ES155" s="2" t="s">
        <v>102</v>
      </c>
      <c r="ET155" s="2" t="str">
        <f>HYPERLINK(".\links\REFSEQ-INVERTEBRATE\AGAP004657-PA-REFSEQ-INVERTEBRATE.txt","AGAP004657-PB")</f>
        <v>AGAP004657-PB</v>
      </c>
      <c r="EU155" s="2" t="str">
        <f>HYPERLINK("http://www.ncbi.nlm.nih.gov/sutils/blink.cgi?pid=XP_003436883.1","1E-130")</f>
        <v>1E-130</v>
      </c>
      <c r="EV155" s="2" t="str">
        <f>HYPERLINK("http://www.ncbi.nlm.nih.gov/protein/XP_003436883.1","XP_003436883.1")</f>
        <v>XP_003436883.1</v>
      </c>
      <c r="EW155" s="2">
        <v>100</v>
      </c>
      <c r="EX155" s="2">
        <v>100</v>
      </c>
      <c r="EY155" s="2">
        <v>100</v>
      </c>
      <c r="EZ155" s="2" t="s">
        <v>105</v>
      </c>
    </row>
    <row r="156" spans="1:156" x14ac:dyDescent="0.25">
      <c r="A156" s="2" t="s">
        <v>1808</v>
      </c>
      <c r="B156" s="2">
        <v>0.34247849814051601</v>
      </c>
      <c r="C156" s="2">
        <f t="shared" si="2"/>
        <v>1.2679329871764091</v>
      </c>
      <c r="D156" s="2">
        <v>6.2685422474626504</v>
      </c>
      <c r="E156" s="2">
        <v>13.073371252370199</v>
      </c>
      <c r="F156" s="2">
        <v>2.9952355475455501E-4</v>
      </c>
      <c r="G156" s="2">
        <v>1.92003530491149E-2</v>
      </c>
      <c r="H156" s="2" t="s">
        <v>1809</v>
      </c>
      <c r="I156" s="2" t="s">
        <v>94</v>
      </c>
      <c r="J156" s="2" t="str">
        <f>HYPERLINK("https://vectorbase.org/vectorbase/app/record/gene/AGAP010387","AGAP010387-RA")</f>
        <v>AGAP010387-RA</v>
      </c>
      <c r="K156" s="2" t="str">
        <f>HYPERLINK(".\links\pep\AGAP010387-PA-pep.txt","AGAP010387-PA")</f>
        <v>AGAP010387-PA</v>
      </c>
      <c r="L156" s="12" t="s">
        <v>95</v>
      </c>
      <c r="M156" s="2">
        <v>396</v>
      </c>
      <c r="N156" s="2">
        <v>0</v>
      </c>
      <c r="O156" s="2">
        <v>1</v>
      </c>
      <c r="P156" s="2" t="s">
        <v>1810</v>
      </c>
      <c r="Q156" s="9" t="s">
        <v>1811</v>
      </c>
      <c r="R156" s="2" t="s">
        <v>1558</v>
      </c>
      <c r="S156" s="2" t="str">
        <f>HYPERLINK(".\links\REFSEQ-INVERTEBRATE\AGAP010387-PA-REFSEQ-INVERTEBRATE.txt","REFSEQ-INVERTEBRATE")</f>
        <v>REFSEQ-INVERTEBRATE</v>
      </c>
      <c r="T156" s="2">
        <v>0</v>
      </c>
      <c r="U156" s="2">
        <v>98</v>
      </c>
      <c r="V156" s="2" t="s">
        <v>1812</v>
      </c>
      <c r="W156" s="10" t="s">
        <v>1813</v>
      </c>
      <c r="X156" s="2" t="s">
        <v>1558</v>
      </c>
      <c r="Y156" s="2" t="str">
        <f>HYPERLINK(".\links\COG\AGAP010387-PA-COG.txt","COG")</f>
        <v>COG</v>
      </c>
      <c r="Z156" s="15">
        <v>1.9999999999999999E-75</v>
      </c>
      <c r="AA156" s="2">
        <v>86.9</v>
      </c>
      <c r="AB156" s="13" t="str">
        <f>HYPERLINK(".\links\pep\AGAP010387-PA-sulf.txt","1")</f>
        <v>1</v>
      </c>
      <c r="AC156" s="13" t="str">
        <f>HYPERLINK(".\links\Sigp\AGAP010387-PA-SigP.txt","CYT")</f>
        <v>CYT</v>
      </c>
      <c r="AD156" s="2" t="s">
        <v>102</v>
      </c>
      <c r="AE156" s="2">
        <v>44.341000000000001</v>
      </c>
      <c r="AF156" s="2">
        <v>6.43</v>
      </c>
      <c r="AG156" s="2" t="s">
        <v>102</v>
      </c>
      <c r="AH156" s="2" t="s">
        <v>102</v>
      </c>
      <c r="AI156" s="2" t="s">
        <v>124</v>
      </c>
      <c r="AJ156" s="13">
        <v>0</v>
      </c>
      <c r="AK156" s="2" t="s">
        <v>102</v>
      </c>
      <c r="AL156" s="2" t="s">
        <v>102</v>
      </c>
      <c r="AM156" s="2" t="s">
        <v>102</v>
      </c>
      <c r="AN156" s="13" t="str">
        <f>HYPERLINK(".\links\gpi\AGAP010387-PA-gpi.txt","N")</f>
        <v>N</v>
      </c>
      <c r="AO156" s="14" t="str">
        <f>HYPERLINK(".\links\netoglyc\AGAP010387-PA-netoglyc.txt","0")</f>
        <v>0</v>
      </c>
      <c r="AP156" s="13">
        <v>10.4</v>
      </c>
      <c r="AQ156" s="2">
        <v>8.3000000000000007</v>
      </c>
      <c r="AR156" s="2">
        <v>5.8</v>
      </c>
      <c r="AS156" s="2" t="s">
        <v>104</v>
      </c>
      <c r="AT156" s="9" t="str">
        <f>HYPERLINK(".\links\NR-LIGHT\AGAP010387-PA-NR-LIGHT.txt","AGAP010387-PA")</f>
        <v>AGAP010387-PA</v>
      </c>
      <c r="AU156" s="2" t="str">
        <f>HYPERLINK("http://www.ncbi.nlm.nih.gov/sutils/blink.cgi?pid=XP_311559.3","0.0")</f>
        <v>0.0</v>
      </c>
      <c r="AV156" s="2" t="str">
        <f>HYPERLINK("http://www.ncbi.nlm.nih.gov/protein/XP_311559.3","XP_311559.3")</f>
        <v>XP_311559.3</v>
      </c>
      <c r="AW156" s="2">
        <v>100</v>
      </c>
      <c r="AX156" s="2">
        <v>100</v>
      </c>
      <c r="AY156" s="2">
        <v>100</v>
      </c>
      <c r="AZ156" s="2" t="s">
        <v>105</v>
      </c>
      <c r="BA156" s="9" t="str">
        <f>HYPERLINK(".\links\REFSEQ-INVERTEBRATE\AGAP010387-PA-REFSEQ-INVERTEBRATE.txt","AGAP010387-PA")</f>
        <v>AGAP010387-PA</v>
      </c>
      <c r="BB156" s="2" t="str">
        <f>HYPERLINK("http://www.ncbi.nlm.nih.gov/sutils/blink.cgi?pid=XP_311559.3","0.0")</f>
        <v>0.0</v>
      </c>
      <c r="BC156" s="2" t="str">
        <f>HYPERLINK("http://www.ncbi.nlm.nih.gov/protein/XP_311559.3","XP_311559.3")</f>
        <v>XP_311559.3</v>
      </c>
      <c r="BD156" s="2">
        <v>100</v>
      </c>
      <c r="BE156" s="2">
        <v>100</v>
      </c>
      <c r="BF156" s="2">
        <v>100</v>
      </c>
      <c r="BG156" s="2" t="s">
        <v>105</v>
      </c>
      <c r="BH156" s="9" t="str">
        <f>HYPERLINK(".\links\REFSEQ-PROTOZOA\AGAP010387-PA-REFSEQ-PROTOZOA.txt","alanine--glyoxylate transaminase / serine--pyruvate aminotransferase")</f>
        <v>alanine--glyoxylate transaminase / serine--pyruvate aminotransferase</v>
      </c>
      <c r="BI156" s="2" t="str">
        <f>HYPERLINK("http://www.ncbi.nlm.nih.gov/sutils/blink.cgi?pid=XP_005706041.1","4E-082")</f>
        <v>4E-082</v>
      </c>
      <c r="BJ156" s="2" t="str">
        <f>HYPERLINK("http://www.ncbi.nlm.nih.gov/protein/XP_005706041.1","XP_005706041.1")</f>
        <v>XP_005706041.1</v>
      </c>
      <c r="BK156" s="2">
        <v>42</v>
      </c>
      <c r="BL156" s="2">
        <v>60</v>
      </c>
      <c r="BM156" s="2">
        <v>94</v>
      </c>
      <c r="BN156" s="2" t="s">
        <v>1814</v>
      </c>
      <c r="BO156" s="9" t="str">
        <f>HYPERLINK(".\links\SWISSP\AGAP010387-PA-SWISSP.txt","Serine--pyruvate aminotransferase, mitochondrial")</f>
        <v>Serine--pyruvate aminotransferase, mitochondrial</v>
      </c>
      <c r="BP156" s="2" t="str">
        <f>HYPERLINK("http://www.uniprot.org/uniprot/P41689","1E-102")</f>
        <v>1E-102</v>
      </c>
      <c r="BQ156" s="2" t="str">
        <f>HYPERLINK("http://www.uniprot.org/uniprot/P41689#expression","P41689")</f>
        <v>P41689</v>
      </c>
      <c r="BR156" s="2">
        <v>46</v>
      </c>
      <c r="BS156" s="2">
        <v>67</v>
      </c>
      <c r="BT156" s="2">
        <v>91</v>
      </c>
      <c r="BU156" s="2" t="s">
        <v>1815</v>
      </c>
      <c r="BV156" s="9" t="str">
        <f>HYPERLINK(".\links\FLYBASE\AGAP010387-PA-FLYBASE.txt","FBpp0070875")</f>
        <v>FBpp0070875</v>
      </c>
      <c r="BW156" s="2" t="str">
        <f>HYPERLINK("http://flybase.org/reports/FBgn0014031#alliance_summary_container","1E-148")</f>
        <v>1E-148</v>
      </c>
      <c r="BX156" s="2">
        <v>394</v>
      </c>
      <c r="BY156" s="2">
        <v>50</v>
      </c>
      <c r="BZ156" s="2">
        <v>70</v>
      </c>
      <c r="CA156" s="2">
        <v>97</v>
      </c>
      <c r="CB156" s="9" t="str">
        <f>HYPERLINK(".\links\CDD\AGAP010387-PA-CDD.txt","AGAT_like, Alanine-glyoxylate aminotransferase (AGAT) family")</f>
        <v>AGAT_like, Alanine-glyoxylate aminotransferase (AGAT) family</v>
      </c>
      <c r="CC156" s="15">
        <v>1E-153</v>
      </c>
      <c r="CD156" s="2">
        <v>101.7</v>
      </c>
      <c r="CE156" s="2" t="s">
        <v>1816</v>
      </c>
      <c r="CF156" s="2" t="s">
        <v>1817</v>
      </c>
      <c r="CG156" s="9" t="str">
        <f>HYPERLINK(".\links\KOG\AGAP010387-PA-KOG.txt","Alanine-glyoxylate aminotransferase AGT1")</f>
        <v>Alanine-glyoxylate aminotransferase AGT1</v>
      </c>
      <c r="CH156" s="15">
        <v>1.0000000000000001E-128</v>
      </c>
      <c r="CI156" s="2">
        <v>98.4</v>
      </c>
      <c r="CJ156" s="2" t="s">
        <v>1818</v>
      </c>
      <c r="CK156" s="2" t="s">
        <v>191</v>
      </c>
      <c r="CL156" s="9" t="str">
        <f>HYPERLINK(".\links\PFAM\AGAP010387-PA-PFAM.txt","Aminotran_5, Aminotransferase class-V")</f>
        <v>Aminotran_5, Aminotransferase class-V</v>
      </c>
      <c r="CM156" s="15">
        <v>9.9999999999999993E-35</v>
      </c>
      <c r="CN156" s="2">
        <v>89.7</v>
      </c>
      <c r="CO156" s="2" t="s">
        <v>1819</v>
      </c>
      <c r="CP156" s="9" t="str">
        <f>HYPERLINK(".\links\SMART\AGAP010387-PA-SMART.txt","Lactamase_B, Metallo-beta-lactamase superfamily")</f>
        <v>Lactamase_B, Metallo-beta-lactamase superfamily</v>
      </c>
      <c r="CQ156" s="15">
        <v>0.7</v>
      </c>
      <c r="CR156" s="2">
        <v>61</v>
      </c>
      <c r="CS156" s="2" t="s">
        <v>1676</v>
      </c>
      <c r="CT156" s="2" t="s">
        <v>1812</v>
      </c>
      <c r="CU156" s="2" t="s">
        <v>1812</v>
      </c>
      <c r="CV156" s="2" t="s">
        <v>1812</v>
      </c>
      <c r="CW156" s="2" t="str">
        <f>HYPERLINK(".\links\pep\AGAP010387-PA-pep.txt","AGAP010387-PA")</f>
        <v>AGAP010387-PA</v>
      </c>
      <c r="CX156" s="2" t="s">
        <v>95</v>
      </c>
      <c r="CY156" s="2">
        <v>396</v>
      </c>
      <c r="CZ156" s="2" t="s">
        <v>113</v>
      </c>
      <c r="DA156" s="2" t="s">
        <v>1820</v>
      </c>
      <c r="DB156" s="2">
        <v>0</v>
      </c>
      <c r="DC156" s="2">
        <v>1</v>
      </c>
      <c r="DD156" s="2" t="str">
        <f>HYPERLINK("https://www.kegg.jp/kegg-bin/search_pathway_text?map=aga&amp;keyword=AGAP010387&amp;mode=1&amp;viewImage=true","AGAP010387")</f>
        <v>AGAP010387</v>
      </c>
      <c r="DE156" s="2" t="s">
        <v>1808</v>
      </c>
      <c r="DF156" s="2" t="s">
        <v>1809</v>
      </c>
      <c r="DG156" s="2" t="s">
        <v>94</v>
      </c>
      <c r="DH156" s="2" t="str">
        <f>HYPERLINK("https://vectorbase.org/vectorbase/app/record/gene/AGAP010387","AGAP010387-RA")</f>
        <v>AGAP010387-RA</v>
      </c>
      <c r="DI156" s="2" t="s">
        <v>115</v>
      </c>
      <c r="DJ156" s="2">
        <v>1460</v>
      </c>
      <c r="DK156" s="2" t="str">
        <f>HYPERLINK(".\links\netoglyc\AGAP010387-PA-netoglyc.txt","0")</f>
        <v>0</v>
      </c>
      <c r="DL156" s="2">
        <v>10.4</v>
      </c>
      <c r="DM156" s="2">
        <v>8.3000000000000007</v>
      </c>
      <c r="DN156" s="2">
        <v>5.8</v>
      </c>
      <c r="DO156" s="2" t="s">
        <v>104</v>
      </c>
      <c r="DP156" s="2" t="s">
        <v>102</v>
      </c>
      <c r="DQ156" s="2" t="str">
        <f>HYPERLINK(".\links\Sigp\AGAP010387-PA-SigP.txt","CYT")</f>
        <v>CYT</v>
      </c>
      <c r="DR156" s="2" t="s">
        <v>102</v>
      </c>
      <c r="DS156" s="2">
        <v>44.341000000000001</v>
      </c>
      <c r="DT156" s="2">
        <v>6.43</v>
      </c>
      <c r="DU156" s="2" t="s">
        <v>102</v>
      </c>
      <c r="DV156" s="2" t="s">
        <v>102</v>
      </c>
      <c r="DW156" s="2" t="s">
        <v>124</v>
      </c>
      <c r="DX156" s="2">
        <v>396</v>
      </c>
      <c r="DY156" s="12">
        <v>0</v>
      </c>
      <c r="DZ156" s="2" t="s">
        <v>102</v>
      </c>
      <c r="EA156" s="2" t="s">
        <v>102</v>
      </c>
      <c r="EB156" s="2" t="s">
        <v>102</v>
      </c>
      <c r="EC156" s="2" t="str">
        <f>HYPERLINK(".\links\gpi\AGAP010387-PA-gpi.txt","N")</f>
        <v>N</v>
      </c>
      <c r="ED156" s="2">
        <v>0.17</v>
      </c>
      <c r="EF156" s="2">
        <v>9</v>
      </c>
      <c r="EG156" s="2" t="str">
        <f>HYPERLINK(".\links\pep\AGAP010387-PA-sulf.txt","1")</f>
        <v>1</v>
      </c>
      <c r="EH156" s="2" t="s">
        <v>102</v>
      </c>
      <c r="EI156" s="2">
        <v>10.353535353535401</v>
      </c>
      <c r="EJ156" s="2">
        <v>5.8080808080808097</v>
      </c>
      <c r="EK156" s="2">
        <v>8.3333333333333304</v>
      </c>
      <c r="EL156" s="2">
        <v>14.141414141414099</v>
      </c>
      <c r="EM156" s="2">
        <v>2</v>
      </c>
      <c r="EN156" s="2">
        <v>1</v>
      </c>
      <c r="EO156" s="2">
        <v>1</v>
      </c>
      <c r="EP156" s="2" t="s">
        <v>102</v>
      </c>
      <c r="EQ156" s="2" t="s">
        <v>102</v>
      </c>
      <c r="ER156" s="2" t="s">
        <v>102</v>
      </c>
      <c r="ES156" s="2" t="s">
        <v>102</v>
      </c>
      <c r="ET156" s="2" t="str">
        <f>HYPERLINK(".\links\REFSEQ-INVERTEBRATE\AGAP010387-PA-REFSEQ-INVERTEBRATE.txt","AGAP010387-PA")</f>
        <v>AGAP010387-PA</v>
      </c>
      <c r="EU156" s="2" t="str">
        <f>HYPERLINK("http://www.ncbi.nlm.nih.gov/sutils/blink.cgi?pid=XP_311559.3","0.0")</f>
        <v>0.0</v>
      </c>
      <c r="EV156" s="2" t="str">
        <f>HYPERLINK("http://www.ncbi.nlm.nih.gov/protein/XP_311559.3","XP_311559.3")</f>
        <v>XP_311559.3</v>
      </c>
      <c r="EW156" s="2">
        <v>100</v>
      </c>
      <c r="EX156" s="2">
        <v>100</v>
      </c>
      <c r="EY156" s="2">
        <v>100</v>
      </c>
      <c r="EZ156" s="2" t="s">
        <v>105</v>
      </c>
    </row>
    <row r="157" spans="1:156" x14ac:dyDescent="0.25">
      <c r="A157" s="2" t="s">
        <v>1821</v>
      </c>
      <c r="B157" s="2">
        <v>0.341048970272116</v>
      </c>
      <c r="C157" s="2">
        <f t="shared" si="2"/>
        <v>1.2666772485870297</v>
      </c>
      <c r="D157" s="2">
        <v>6.6439389228218699</v>
      </c>
      <c r="E157" s="2">
        <v>20.1064676560941</v>
      </c>
      <c r="F157" s="2">
        <v>7.3248555387898297E-6</v>
      </c>
      <c r="G157" s="2">
        <v>3.1540070970808398E-3</v>
      </c>
      <c r="H157" s="2" t="s">
        <v>93</v>
      </c>
      <c r="I157" s="2" t="s">
        <v>94</v>
      </c>
      <c r="J157" s="2" t="str">
        <f>HYPERLINK("https://vectorbase.org/vectorbase/app/record/gene/AGAP004624","AGAP004624-RA")</f>
        <v>AGAP004624-RA</v>
      </c>
      <c r="K157" s="2" t="str">
        <f>HYPERLINK(".\links\pep\AGAP004624-PA-pep.txt","AGAP004624-PA")</f>
        <v>AGAP004624-PA</v>
      </c>
      <c r="L157" s="12" t="s">
        <v>95</v>
      </c>
      <c r="M157" s="2">
        <v>578</v>
      </c>
      <c r="N157" s="2">
        <v>0</v>
      </c>
      <c r="O157" s="2">
        <v>4</v>
      </c>
      <c r="P157" s="2" t="s">
        <v>102</v>
      </c>
      <c r="Q157" s="9" t="s">
        <v>1822</v>
      </c>
      <c r="R157" s="2" t="s">
        <v>355</v>
      </c>
      <c r="S157" s="2" t="str">
        <f>HYPERLINK(".\links\KOG\AGAP004624-PA-KOG.txt","KOG")</f>
        <v>KOG</v>
      </c>
      <c r="T157" s="2">
        <v>4.9999999999999997E-12</v>
      </c>
      <c r="U157" s="2">
        <v>39.1</v>
      </c>
      <c r="V157" s="2" t="s">
        <v>1823</v>
      </c>
      <c r="W157" s="10" t="s">
        <v>1824</v>
      </c>
      <c r="X157" s="2" t="s">
        <v>1825</v>
      </c>
      <c r="Y157" s="2" t="str">
        <f>HYPERLINK(".\links\UNIPROTKB\AGAP004624-PA-UNIPROTKB.txt","UNIPROTKB")</f>
        <v>UNIPROTKB</v>
      </c>
      <c r="Z157" s="15">
        <v>1E-84</v>
      </c>
      <c r="AA157" s="2">
        <v>80.8</v>
      </c>
      <c r="AB157" s="13" t="s">
        <v>102</v>
      </c>
      <c r="AC157" s="13" t="str">
        <f>HYPERLINK(".\links\Sigp\AGAP004624-PA-SigP.txt","CYT")</f>
        <v>CYT</v>
      </c>
      <c r="AD157" s="2" t="s">
        <v>102</v>
      </c>
      <c r="AE157" s="2">
        <v>65.766999999999996</v>
      </c>
      <c r="AF157" s="2">
        <v>9.85</v>
      </c>
      <c r="AG157" s="2" t="s">
        <v>102</v>
      </c>
      <c r="AH157" s="2" t="s">
        <v>102</v>
      </c>
      <c r="AI157" s="2" t="s">
        <v>211</v>
      </c>
      <c r="AJ157" s="13">
        <v>0</v>
      </c>
      <c r="AK157" s="2" t="s">
        <v>102</v>
      </c>
      <c r="AL157" s="2" t="s">
        <v>102</v>
      </c>
      <c r="AM157" s="2" t="s">
        <v>102</v>
      </c>
      <c r="AN157" s="13" t="str">
        <f>HYPERLINK(".\links\gpi\AGAP004624-PA-gpi.txt","N")</f>
        <v>N</v>
      </c>
      <c r="AO157" s="14" t="str">
        <f>HYPERLINK(".\links\netoglyc\AGAP004624-PA-netoglyc.txt","6")</f>
        <v>6</v>
      </c>
      <c r="AP157" s="13">
        <v>14</v>
      </c>
      <c r="AQ157" s="2">
        <v>4.8</v>
      </c>
      <c r="AR157" s="2">
        <v>6.4</v>
      </c>
      <c r="AS157" s="2">
        <v>0.5</v>
      </c>
      <c r="AT157" s="9" t="str">
        <f>HYPERLINK(".\links\NR-LIGHT\AGAP004624-PA-NR-LIGHT.txt","AGAP004624-PA")</f>
        <v>AGAP004624-PA</v>
      </c>
      <c r="AU157" s="2" t="str">
        <f>HYPERLINK("http://www.ncbi.nlm.nih.gov/sutils/blink.cgi?pid=XP_001237635.3","0.0")</f>
        <v>0.0</v>
      </c>
      <c r="AV157" s="2" t="str">
        <f>HYPERLINK("http://www.ncbi.nlm.nih.gov/protein/XP_001237635.3","XP_001237635.3")</f>
        <v>XP_001237635.3</v>
      </c>
      <c r="AW157" s="2">
        <v>100</v>
      </c>
      <c r="AX157" s="2">
        <v>100</v>
      </c>
      <c r="AY157" s="2">
        <v>100</v>
      </c>
      <c r="AZ157" s="2" t="s">
        <v>105</v>
      </c>
      <c r="BA157" s="9" t="str">
        <f>HYPERLINK(".\links\REFSEQ-INVERTEBRATE\AGAP004624-PA-REFSEQ-INVERTEBRATE.txt","AGAP004624-PA")</f>
        <v>AGAP004624-PA</v>
      </c>
      <c r="BB157" s="2" t="str">
        <f>HYPERLINK("http://www.ncbi.nlm.nih.gov/sutils/blink.cgi?pid=XP_001237635.3","0.0")</f>
        <v>0.0</v>
      </c>
      <c r="BC157" s="2" t="str">
        <f>HYPERLINK("http://www.ncbi.nlm.nih.gov/protein/XP_001237635.3","XP_001237635.3")</f>
        <v>XP_001237635.3</v>
      </c>
      <c r="BD157" s="2">
        <v>100</v>
      </c>
      <c r="BE157" s="2">
        <v>100</v>
      </c>
      <c r="BF157" s="2">
        <v>100</v>
      </c>
      <c r="BG157" s="2" t="s">
        <v>105</v>
      </c>
      <c r="BH157" s="9" t="str">
        <f>HYPERLINK(".\links\REFSEQ-PROTOZOA\AGAP004624-PA-REFSEQ-PROTOZOA.txt","hypothetical protein CAOG_05727")</f>
        <v>hypothetical protein CAOG_05727</v>
      </c>
      <c r="BI157" s="2" t="str">
        <f>HYPERLINK("http://www.ncbi.nlm.nih.gov/sutils/blink.cgi?pid=XP_004346400.2","8E-021")</f>
        <v>8E-021</v>
      </c>
      <c r="BJ157" s="2" t="str">
        <f>HYPERLINK("http://www.ncbi.nlm.nih.gov/protein/XP_004346400.2","XP_004346400.2")</f>
        <v>XP_004346400.2</v>
      </c>
      <c r="BK157" s="2">
        <v>25</v>
      </c>
      <c r="BL157" s="2">
        <v>41</v>
      </c>
      <c r="BM157" s="2">
        <v>45</v>
      </c>
      <c r="BN157" s="2" t="s">
        <v>106</v>
      </c>
      <c r="BO157" s="9" t="str">
        <f>HYPERLINK(".\links\SWISSP\AGAP004624-PA-SWISSP.txt","Protein lin-9 homolog")</f>
        <v>Protein lin-9 homolog</v>
      </c>
      <c r="BP157" s="2" t="str">
        <f>HYPERLINK("http://www.uniprot.org/uniprot/Q8C735","3E-071")</f>
        <v>3E-071</v>
      </c>
      <c r="BQ157" s="2" t="str">
        <f>HYPERLINK("http://www.uniprot.org/uniprot/Q8C735#expression","Q8C735")</f>
        <v>Q8C735</v>
      </c>
      <c r="BR157" s="2">
        <v>32</v>
      </c>
      <c r="BS157" s="2">
        <v>53</v>
      </c>
      <c r="BT157" s="2">
        <v>97</v>
      </c>
      <c r="BU157" s="2" t="s">
        <v>662</v>
      </c>
      <c r="BV157" s="9" t="str">
        <f>HYPERLINK(".\links\FLYBASE\AGAP004624-PA-FLYBASE.txt","FBpp0070302")</f>
        <v>FBpp0070302</v>
      </c>
      <c r="BW157" s="2" t="str">
        <f>HYPERLINK("http://flybase.org/reports/FBgn0023509#alliance_summary_container","2E-69")</f>
        <v>2E-69</v>
      </c>
      <c r="BX157" s="2">
        <v>986</v>
      </c>
      <c r="BY157" s="2">
        <v>31</v>
      </c>
      <c r="BZ157" s="2">
        <v>47</v>
      </c>
      <c r="CA157" s="2">
        <v>68</v>
      </c>
      <c r="CB157" s="9" t="str">
        <f>HYPERLINK(".\links\CDD\AGAP004624-PA-CDD.txt","DIRP, DIRP")</f>
        <v>DIRP, DIRP</v>
      </c>
      <c r="CC157" s="15">
        <v>7.9999999999999997E-38</v>
      </c>
      <c r="CD157" s="2">
        <v>100</v>
      </c>
      <c r="CE157" s="2" t="s">
        <v>1826</v>
      </c>
      <c r="CF157" s="2" t="s">
        <v>1827</v>
      </c>
      <c r="CG157" s="9" t="str">
        <f>HYPERLINK(".\links\KOG\AGAP004624-PA-KOG.txt","Retinoblastoma pathway protein LIN-9/chromatin-associated protein Aly")</f>
        <v>Retinoblastoma pathway protein LIN-9/chromatin-associated protein Aly</v>
      </c>
      <c r="CH157" s="15">
        <v>4.9999999999999997E-12</v>
      </c>
      <c r="CI157" s="2">
        <v>39.200000000000003</v>
      </c>
      <c r="CJ157" s="2" t="s">
        <v>1828</v>
      </c>
      <c r="CK157" s="2" t="s">
        <v>1829</v>
      </c>
      <c r="CL157" s="9" t="str">
        <f>HYPERLINK(".\links\PFAM\AGAP004624-PA-PFAM.txt","DIRP, DIRP")</f>
        <v>DIRP, DIRP</v>
      </c>
      <c r="CM157" s="15">
        <v>1.9999999999999999E-38</v>
      </c>
      <c r="CN157" s="2">
        <v>100</v>
      </c>
      <c r="CO157" s="2" t="s">
        <v>1826</v>
      </c>
      <c r="CP157" s="9" t="str">
        <f>HYPERLINK(".\links\SMART\AGAP004624-PA-SMART.txt","IG_FLMN, Filamin-type immunoglobulin domains")</f>
        <v>IG_FLMN, Filamin-type immunoglobulin domains</v>
      </c>
      <c r="CQ157" s="15">
        <v>1.2</v>
      </c>
      <c r="CR157" s="2">
        <v>37.6</v>
      </c>
      <c r="CS157" s="2" t="s">
        <v>1830</v>
      </c>
      <c r="CT157" s="2" t="s">
        <v>1823</v>
      </c>
      <c r="CU157" s="2" t="s">
        <v>1823</v>
      </c>
      <c r="CV157" s="2" t="s">
        <v>1823</v>
      </c>
      <c r="CW157" s="2" t="str">
        <f>HYPERLINK(".\links\pep\AGAP004624-PA-pep.txt","AGAP004624-PA")</f>
        <v>AGAP004624-PA</v>
      </c>
      <c r="CX157" s="2" t="s">
        <v>95</v>
      </c>
      <c r="CY157" s="2">
        <v>578</v>
      </c>
      <c r="CZ157" s="2" t="s">
        <v>113</v>
      </c>
      <c r="DA157" s="2" t="s">
        <v>1831</v>
      </c>
      <c r="DB157" s="2">
        <v>0</v>
      </c>
      <c r="DC157" s="2">
        <v>4</v>
      </c>
      <c r="DD157" s="2" t="str">
        <f>HYPERLINK("https://www.kegg.jp/kegg-bin/search_pathway_text?map=aga&amp;keyword=AGAP004624&amp;mode=1&amp;viewImage=true","AGAP004624")</f>
        <v>AGAP004624</v>
      </c>
      <c r="DE157" s="2" t="s">
        <v>1821</v>
      </c>
      <c r="DF157" s="2" t="s">
        <v>93</v>
      </c>
      <c r="DG157" s="2" t="s">
        <v>94</v>
      </c>
      <c r="DH157" s="2" t="str">
        <f>HYPERLINK("https://vectorbase.org/vectorbase/app/record/gene/AGAP004624","AGAP004624-RA")</f>
        <v>AGAP004624-RA</v>
      </c>
      <c r="DI157" s="2" t="s">
        <v>90</v>
      </c>
      <c r="DJ157" s="2">
        <v>1976</v>
      </c>
      <c r="DK157" s="2" t="str">
        <f>HYPERLINK(".\links\netoglyc\AGAP004624-PA-netoglyc.txt","6")</f>
        <v>6</v>
      </c>
      <c r="DL157" s="2">
        <v>14</v>
      </c>
      <c r="DM157" s="2">
        <v>4.8</v>
      </c>
      <c r="DN157" s="2">
        <v>6.4</v>
      </c>
      <c r="DO157" s="2">
        <v>0.5</v>
      </c>
      <c r="DP157" s="2" t="s">
        <v>102</v>
      </c>
      <c r="DQ157" s="2" t="str">
        <f>HYPERLINK(".\links\Sigp\AGAP004624-PA-SigP.txt","CYT")</f>
        <v>CYT</v>
      </c>
      <c r="DR157" s="2" t="s">
        <v>102</v>
      </c>
      <c r="DS157" s="2">
        <v>65.766999999999996</v>
      </c>
      <c r="DT157" s="2">
        <v>9.85</v>
      </c>
      <c r="DU157" s="2" t="s">
        <v>102</v>
      </c>
      <c r="DV157" s="2" t="s">
        <v>102</v>
      </c>
      <c r="DW157" s="2" t="s">
        <v>211</v>
      </c>
      <c r="DX157" s="2">
        <v>578</v>
      </c>
      <c r="DY157" s="12">
        <v>0</v>
      </c>
      <c r="DZ157" s="2" t="s">
        <v>102</v>
      </c>
      <c r="EA157" s="2" t="s">
        <v>102</v>
      </c>
      <c r="EB157" s="2" t="s">
        <v>102</v>
      </c>
      <c r="EC157" s="2" t="str">
        <f>HYPERLINK(".\links\gpi\AGAP004624-PA-gpi.txt","Y-NoSP")</f>
        <v>Y-NoSP</v>
      </c>
      <c r="ED157" s="2">
        <v>0.23</v>
      </c>
      <c r="EF157" s="2">
        <v>2</v>
      </c>
      <c r="EG157" s="2" t="s">
        <v>102</v>
      </c>
      <c r="EH157" s="2" t="s">
        <v>102</v>
      </c>
      <c r="EI157" s="2">
        <v>14.0138408304498</v>
      </c>
      <c r="EJ157" s="2">
        <v>6.40138408304498</v>
      </c>
      <c r="EK157" s="2">
        <v>4.8442906574394504</v>
      </c>
      <c r="EL157" s="2">
        <v>11.2456747404844</v>
      </c>
      <c r="EM157" s="2" t="s">
        <v>102</v>
      </c>
      <c r="EN157" s="2">
        <v>2</v>
      </c>
      <c r="EO157" s="2">
        <v>3</v>
      </c>
      <c r="EP157" s="2" t="s">
        <v>102</v>
      </c>
      <c r="EQ157" s="2" t="s">
        <v>102</v>
      </c>
      <c r="ER157" s="2" t="s">
        <v>102</v>
      </c>
      <c r="ES157" s="2" t="s">
        <v>102</v>
      </c>
      <c r="ET157" s="2" t="str">
        <f>HYPERLINK(".\links\REFSEQ-INVERTEBRATE\AGAP004624-PA-REFSEQ-INVERTEBRATE.txt","AGAP004624-PA")</f>
        <v>AGAP004624-PA</v>
      </c>
      <c r="EU157" s="2" t="str">
        <f>HYPERLINK("http://www.ncbi.nlm.nih.gov/sutils/blink.cgi?pid=XP_001237635.3","0.0")</f>
        <v>0.0</v>
      </c>
      <c r="EV157" s="2" t="str">
        <f>HYPERLINK("http://www.ncbi.nlm.nih.gov/protein/XP_001237635.3","XP_001237635.3")</f>
        <v>XP_001237635.3</v>
      </c>
      <c r="EW157" s="2">
        <v>100</v>
      </c>
      <c r="EX157" s="2">
        <v>100</v>
      </c>
      <c r="EY157" s="2">
        <v>100</v>
      </c>
      <c r="EZ157" s="2" t="s">
        <v>105</v>
      </c>
    </row>
    <row r="158" spans="1:156" x14ac:dyDescent="0.25">
      <c r="A158" s="2" t="s">
        <v>1832</v>
      </c>
      <c r="B158" s="2">
        <v>0.34092956699884502</v>
      </c>
      <c r="C158" s="2">
        <f t="shared" si="2"/>
        <v>1.2665724175959301</v>
      </c>
      <c r="D158" s="2">
        <v>8.2107719485703594</v>
      </c>
      <c r="E158" s="2">
        <v>9.7981442650682506</v>
      </c>
      <c r="F158" s="2">
        <v>1.7468806434155801E-3</v>
      </c>
      <c r="G158" s="2">
        <v>4.0888815984755703E-2</v>
      </c>
      <c r="H158" s="2" t="s">
        <v>1833</v>
      </c>
      <c r="I158" s="2" t="s">
        <v>94</v>
      </c>
      <c r="J158" s="2" t="str">
        <f>HYPERLINK("https://vectorbase.org/vectorbase/app/record/gene/AGAP004819","AGAP004819-RC")</f>
        <v>AGAP004819-RC</v>
      </c>
      <c r="K158" s="2" t="str">
        <f>HYPERLINK(".\links\pep\AGAP004819-PC-pep.txt","AGAP004819-PC")</f>
        <v>AGAP004819-PC</v>
      </c>
      <c r="L158" s="12" t="s">
        <v>95</v>
      </c>
      <c r="M158" s="2">
        <v>181</v>
      </c>
      <c r="N158" s="2">
        <v>0</v>
      </c>
      <c r="O158" s="2">
        <v>0</v>
      </c>
      <c r="P158" s="2" t="s">
        <v>1834</v>
      </c>
      <c r="Q158" s="9" t="s">
        <v>1835</v>
      </c>
      <c r="R158" s="2" t="s">
        <v>1836</v>
      </c>
      <c r="S158" s="2" t="str">
        <f>HYPERLINK(".\links\KOG\AGAP004819-PC-KOG.txt","KOG")</f>
        <v>KOG</v>
      </c>
      <c r="T158" s="2">
        <v>4E-41</v>
      </c>
      <c r="U158" s="2">
        <v>93.5</v>
      </c>
      <c r="V158" s="2" t="s">
        <v>1837</v>
      </c>
      <c r="W158" s="10" t="s">
        <v>1838</v>
      </c>
      <c r="X158" s="2" t="s">
        <v>1095</v>
      </c>
      <c r="Y158" s="2" t="str">
        <f>HYPERLINK(".\links\REFSEQVERTEBRATE95\AGAP004819-PC-REFSEQVERTEBRATE95.txt","REFSEQVERTEBRATE95")</f>
        <v>REFSEQVERTEBRATE95</v>
      </c>
      <c r="Z158" s="15">
        <v>3.0000000000000002E-53</v>
      </c>
      <c r="AA158" s="2">
        <v>78.8</v>
      </c>
      <c r="AB158" s="13" t="s">
        <v>102</v>
      </c>
      <c r="AC158" s="13" t="str">
        <f>HYPERLINK(".\links\Sigp\AGAP004819-PC-SigP.txt","ANC")</f>
        <v>ANC</v>
      </c>
      <c r="AD158" s="2" t="s">
        <v>102</v>
      </c>
      <c r="AE158" s="2">
        <v>20.952000000000002</v>
      </c>
      <c r="AF158" s="2">
        <v>8.32</v>
      </c>
      <c r="AG158" s="2">
        <v>14.638999999999999</v>
      </c>
      <c r="AH158" s="2">
        <v>8.41</v>
      </c>
      <c r="AI158" s="2" t="s">
        <v>1839</v>
      </c>
      <c r="AJ158" s="13" t="str">
        <f>HYPERLINK(".\links\tmhmm\AGAP004819-PC-tmhmm.txt","2")</f>
        <v>2</v>
      </c>
      <c r="AK158" s="2">
        <v>24.3</v>
      </c>
      <c r="AL158" s="2">
        <v>20.399999999999999</v>
      </c>
      <c r="AM158" s="2">
        <v>55.2</v>
      </c>
      <c r="AN158" s="13" t="str">
        <f>HYPERLINK(".\links\gpi\AGAP004819-PC-gpi.txt","N")</f>
        <v>N</v>
      </c>
      <c r="AO158" s="14" t="str">
        <f>HYPERLINK(".\links\netoglyc\AGAP004819-PC-netoglyc.txt","1")</f>
        <v>1</v>
      </c>
      <c r="AP158" s="13">
        <v>13.3</v>
      </c>
      <c r="AQ158" s="2">
        <v>5</v>
      </c>
      <c r="AR158" s="2">
        <v>3.3</v>
      </c>
      <c r="AS158" s="2" t="s">
        <v>104</v>
      </c>
      <c r="AT158" s="9" t="str">
        <f>HYPERLINK(".\links\NR-LIGHT\AGAP004819-PC-NR-LIGHT.txt","AGAP004819-PC")</f>
        <v>AGAP004819-PC</v>
      </c>
      <c r="AU158" s="2" t="str">
        <f>HYPERLINK("http://www.ncbi.nlm.nih.gov/sutils/blink.cgi?pid=XP_317989.3","1E-102")</f>
        <v>1E-102</v>
      </c>
      <c r="AV158" s="2" t="str">
        <f>HYPERLINK("http://www.ncbi.nlm.nih.gov/protein/XP_317989.3","XP_317989.3")</f>
        <v>XP_317989.3</v>
      </c>
      <c r="AW158" s="2">
        <v>100</v>
      </c>
      <c r="AX158" s="2">
        <v>100</v>
      </c>
      <c r="AY158" s="2">
        <v>100</v>
      </c>
      <c r="AZ158" s="2" t="s">
        <v>105</v>
      </c>
      <c r="BA158" s="9" t="str">
        <f>HYPERLINK(".\links\REFSEQ-INVERTEBRATE\AGAP004819-PC-REFSEQ-INVERTEBRATE.txt","AGAP004819-PA")</f>
        <v>AGAP004819-PA</v>
      </c>
      <c r="BB158" s="2" t="str">
        <f>HYPERLINK("http://www.ncbi.nlm.nih.gov/sutils/blink.cgi?pid=XP_001689073.1","1E-102")</f>
        <v>1E-102</v>
      </c>
      <c r="BC158" s="2" t="str">
        <f>HYPERLINK("http://www.ncbi.nlm.nih.gov/protein/XP_001689073.1","XP_001689073.1")</f>
        <v>XP_001689073.1</v>
      </c>
      <c r="BD158" s="2">
        <v>100</v>
      </c>
      <c r="BE158" s="2">
        <v>100</v>
      </c>
      <c r="BF158" s="2">
        <v>100</v>
      </c>
      <c r="BG158" s="2" t="s">
        <v>105</v>
      </c>
      <c r="BH158" s="9" t="str">
        <f>HYPERLINK(".\links\REFSEQ-PROTOZOA\AGAP004819-PC-REFSEQ-PROTOZOA.txt","hypothetical protein H257_10003")</f>
        <v>hypothetical protein H257_10003</v>
      </c>
      <c r="BI158" s="2" t="str">
        <f>HYPERLINK("http://www.ncbi.nlm.nih.gov/sutils/blink.cgi?pid=XP_009834718.1","2E-029")</f>
        <v>2E-029</v>
      </c>
      <c r="BJ158" s="2" t="str">
        <f>HYPERLINK("http://www.ncbi.nlm.nih.gov/protein/XP_009834718.1","XP_009834718.1")</f>
        <v>XP_009834718.1</v>
      </c>
      <c r="BK158" s="2">
        <v>38</v>
      </c>
      <c r="BL158" s="2">
        <v>63</v>
      </c>
      <c r="BM158" s="2">
        <v>74</v>
      </c>
      <c r="BN158" s="2" t="s">
        <v>362</v>
      </c>
      <c r="BO158" s="9" t="str">
        <f>HYPERLINK(".\links\SWISSP\AGAP004819-PC-SWISSP.txt","Receptor expression-enhancing protein 5")</f>
        <v>Receptor expression-enhancing protein 5</v>
      </c>
      <c r="BP158" s="2" t="str">
        <f>HYPERLINK("http://www.uniprot.org/uniprot/B2RZ37","2E-043")</f>
        <v>2E-043</v>
      </c>
      <c r="BQ158" s="2" t="str">
        <f>HYPERLINK("http://www.uniprot.org/uniprot/B2RZ37#expression","B2RZ37")</f>
        <v>B2RZ37</v>
      </c>
      <c r="BR158" s="2">
        <v>50</v>
      </c>
      <c r="BS158" s="2">
        <v>65</v>
      </c>
      <c r="BT158" s="2">
        <v>85</v>
      </c>
      <c r="BU158" s="2" t="s">
        <v>305</v>
      </c>
      <c r="BV158" s="9" t="str">
        <f>HYPERLINK(".\links\FLYBASE\AGAP004819-PC-FLYBASE.txt","FBpp0291641")</f>
        <v>FBpp0291641</v>
      </c>
      <c r="BW158" s="2" t="str">
        <f>HYPERLINK("http://flybase.org/reports/FBgn0033906#alliance_summary_container","5E-69")</f>
        <v>5E-69</v>
      </c>
      <c r="BX158" s="2">
        <v>178</v>
      </c>
      <c r="BY158" s="2">
        <v>54</v>
      </c>
      <c r="BZ158" s="2">
        <v>71</v>
      </c>
      <c r="CA158" s="2">
        <v>99</v>
      </c>
      <c r="CB158" s="9" t="str">
        <f>HYPERLINK(".\links\CDD\AGAP004819-PC-CDD.txt","TB2_DP1_HVA22, TB2/DP1, HVA22 family")</f>
        <v>TB2_DP1_HVA22, TB2/DP1, HVA22 family</v>
      </c>
      <c r="CC158" s="15">
        <v>3E-24</v>
      </c>
      <c r="CD158" s="2">
        <v>101.3</v>
      </c>
      <c r="CE158" s="2" t="s">
        <v>1840</v>
      </c>
      <c r="CF158" s="2" t="s">
        <v>1841</v>
      </c>
      <c r="CG158" s="9" t="str">
        <f>HYPERLINK(".\links\KOG\AGAP004819-PC-KOG.txt","Protein involved in membrane traffic (YOP1/TB2/DP1/HVA22 family)")</f>
        <v>Protein involved in membrane traffic (YOP1/TB2/DP1/HVA22 family)</v>
      </c>
      <c r="CH158" s="15">
        <v>4E-41</v>
      </c>
      <c r="CI158" s="2">
        <v>93.5</v>
      </c>
      <c r="CJ158" s="2" t="s">
        <v>1842</v>
      </c>
      <c r="CK158" s="2" t="s">
        <v>154</v>
      </c>
      <c r="CL158" s="9" t="str">
        <f>HYPERLINK(".\links\PFAM\AGAP004819-PC-PFAM.txt","TB2_DP1_HVA22, TB2/DP1, HVA22 family")</f>
        <v>TB2_DP1_HVA22, TB2/DP1, HVA22 family</v>
      </c>
      <c r="CM158" s="15">
        <v>8.0000000000000003E-25</v>
      </c>
      <c r="CN158" s="2">
        <v>101.3</v>
      </c>
      <c r="CO158" s="2" t="s">
        <v>1840</v>
      </c>
      <c r="CP158" s="9" t="str">
        <f>HYPERLINK(".\links\SMART\AGAP004819-PC-SMART.txt","PSN, Presenilin, signal peptide peptidase, family")</f>
        <v>PSN, Presenilin, signal peptide peptidase, family</v>
      </c>
      <c r="CQ158" s="15">
        <v>2.4</v>
      </c>
      <c r="CR158" s="2">
        <v>15.3</v>
      </c>
      <c r="CS158" s="2" t="s">
        <v>1843</v>
      </c>
      <c r="CT158" s="2" t="s">
        <v>1837</v>
      </c>
      <c r="CU158" s="2" t="s">
        <v>1837</v>
      </c>
      <c r="CV158" s="2" t="s">
        <v>1837</v>
      </c>
      <c r="CW158" s="2" t="str">
        <f>HYPERLINK(".\links\pep\AGAP004819-PC-pep.txt","AGAP004819-PC")</f>
        <v>AGAP004819-PC</v>
      </c>
      <c r="CX158" s="2" t="s">
        <v>95</v>
      </c>
      <c r="CY158" s="2">
        <v>181</v>
      </c>
      <c r="CZ158" s="2" t="s">
        <v>113</v>
      </c>
      <c r="DA158" s="2" t="s">
        <v>1844</v>
      </c>
      <c r="DB158" s="2">
        <v>0</v>
      </c>
      <c r="DC158" s="2">
        <v>0</v>
      </c>
      <c r="DD158" s="2" t="str">
        <f>HYPERLINK("https://www.kegg.jp/kegg-bin/search_pathway_text?map=aga&amp;keyword=AGAP004819&amp;mode=1&amp;viewImage=true","AGAP004819")</f>
        <v>AGAP004819</v>
      </c>
      <c r="DE158" s="2" t="s">
        <v>1832</v>
      </c>
      <c r="DF158" s="2" t="s">
        <v>1833</v>
      </c>
      <c r="DG158" s="2" t="s">
        <v>94</v>
      </c>
      <c r="DH158" s="2" t="str">
        <f>HYPERLINK("https://vectorbase.org/vectorbase/app/record/gene/AGAP004819","AGAP004819-RC")</f>
        <v>AGAP004819-RC</v>
      </c>
      <c r="DI158" s="2" t="s">
        <v>135</v>
      </c>
      <c r="DJ158" s="2">
        <v>1146</v>
      </c>
      <c r="DK158" s="2" t="str">
        <f>HYPERLINK(".\links\netoglyc\AGAP004819-PC-netoglyc.txt","1")</f>
        <v>1</v>
      </c>
      <c r="DL158" s="2">
        <v>13.3</v>
      </c>
      <c r="DM158" s="2">
        <v>5</v>
      </c>
      <c r="DN158" s="2">
        <v>3.3</v>
      </c>
      <c r="DO158" s="2" t="s">
        <v>104</v>
      </c>
      <c r="DP158" s="2" t="s">
        <v>102</v>
      </c>
      <c r="DQ158" s="2" t="str">
        <f>HYPERLINK(".\links\Sigp\AGAP004819-PC-SigP.txt","ANC")</f>
        <v>ANC</v>
      </c>
      <c r="DR158" s="2" t="s">
        <v>102</v>
      </c>
      <c r="DS158" s="2">
        <v>20.952000000000002</v>
      </c>
      <c r="DT158" s="2">
        <v>8.32</v>
      </c>
      <c r="DU158" s="2">
        <v>14.638999999999999</v>
      </c>
      <c r="DV158" s="2">
        <v>8.41</v>
      </c>
      <c r="DW158" s="2" t="s">
        <v>1839</v>
      </c>
      <c r="DX158" s="2">
        <v>181</v>
      </c>
      <c r="DY158" s="12" t="str">
        <f>HYPERLINK(".\links\tmhmm\AGAP004819-PC-tmhmm.txt","2")</f>
        <v>2</v>
      </c>
      <c r="DZ158" s="2">
        <v>24.3</v>
      </c>
      <c r="EA158" s="2">
        <v>20.399999999999999</v>
      </c>
      <c r="EB158" s="2">
        <v>55.2</v>
      </c>
      <c r="EC158" s="2" t="str">
        <f>HYPERLINK(".\links\gpi\AGAP004819-PC-gpi.txt","N")</f>
        <v>N</v>
      </c>
      <c r="ED158" s="2">
        <v>0.39</v>
      </c>
      <c r="EF158" s="2">
        <v>3</v>
      </c>
      <c r="EG158" s="2" t="s">
        <v>102</v>
      </c>
      <c r="EH158" s="2" t="s">
        <v>102</v>
      </c>
      <c r="EI158" s="2">
        <v>13.2596685082873</v>
      </c>
      <c r="EJ158" s="2">
        <v>3.3149171270718201</v>
      </c>
      <c r="EK158" s="2">
        <v>4.9723756906077403</v>
      </c>
      <c r="EL158" s="2">
        <v>8.2872928176795604</v>
      </c>
      <c r="EM158" s="2" t="s">
        <v>102</v>
      </c>
      <c r="EN158" s="2" t="s">
        <v>102</v>
      </c>
      <c r="EO158" s="2" t="s">
        <v>102</v>
      </c>
      <c r="EP158" s="2" t="s">
        <v>102</v>
      </c>
      <c r="EQ158" s="2" t="s">
        <v>102</v>
      </c>
      <c r="ER158" s="2" t="s">
        <v>102</v>
      </c>
      <c r="ES158" s="2" t="s">
        <v>102</v>
      </c>
      <c r="ET158" s="2" t="str">
        <f>HYPERLINK(".\links\REFSEQ-INVERTEBRATE\AGAP004819-PC-REFSEQ-INVERTEBRATE.txt","AGAP004819-PA")</f>
        <v>AGAP004819-PA</v>
      </c>
      <c r="EU158" s="2" t="str">
        <f>HYPERLINK("http://www.ncbi.nlm.nih.gov/sutils/blink.cgi?pid=XP_001689073.1","1E-133")</f>
        <v>1E-133</v>
      </c>
      <c r="EV158" s="2" t="str">
        <f>HYPERLINK("http://www.ncbi.nlm.nih.gov/protein/XP_001689073.1","XP_001689073.1")</f>
        <v>XP_001689073.1</v>
      </c>
      <c r="EW158" s="2">
        <v>100</v>
      </c>
      <c r="EX158" s="2">
        <v>100</v>
      </c>
      <c r="EY158" s="2">
        <v>100</v>
      </c>
      <c r="EZ158" s="2" t="s">
        <v>105</v>
      </c>
    </row>
    <row r="159" spans="1:156" x14ac:dyDescent="0.25">
      <c r="A159" s="2" t="s">
        <v>1845</v>
      </c>
      <c r="B159" s="2">
        <v>0.34080111849870298</v>
      </c>
      <c r="C159" s="2">
        <f t="shared" si="2"/>
        <v>1.2664596549672746</v>
      </c>
      <c r="D159" s="2">
        <v>5.6732305521179898</v>
      </c>
      <c r="E159" s="2">
        <v>11.227473110947001</v>
      </c>
      <c r="F159" s="2">
        <v>8.0595303173874899E-4</v>
      </c>
      <c r="G159" s="2">
        <v>3.0085860332520298E-2</v>
      </c>
      <c r="H159" s="2" t="s">
        <v>93</v>
      </c>
      <c r="I159" s="2" t="s">
        <v>94</v>
      </c>
      <c r="J159" s="2" t="str">
        <f>HYPERLINK("https://vectorbase.org/vectorbase/app/record/gene/AGAP029404","AGAP029404-RA")</f>
        <v>AGAP029404-RA</v>
      </c>
      <c r="K159" s="2" t="str">
        <f>HYPERLINK(".\links\pep\AGAP029404-PA-pep.txt","AGAP029404-PA")</f>
        <v>AGAP029404-PA</v>
      </c>
      <c r="L159" s="12" t="s">
        <v>95</v>
      </c>
      <c r="M159" s="2">
        <v>333</v>
      </c>
      <c r="N159" s="2">
        <v>0</v>
      </c>
      <c r="O159" s="2">
        <v>1</v>
      </c>
      <c r="P159" s="2" t="s">
        <v>102</v>
      </c>
      <c r="Q159" s="9" t="s">
        <v>1846</v>
      </c>
      <c r="R159" s="2" t="s">
        <v>196</v>
      </c>
      <c r="S159" s="2" t="str">
        <f>HYPERLINK(".\links\REFSEQ-INVERTEBRATE\AGAP029404-PA-REFSEQ-INVERTEBRATE.txt","REFSEQ-INVERTEBRATE")</f>
        <v>REFSEQ-INVERTEBRATE</v>
      </c>
      <c r="T159" s="2">
        <v>2.9999999999999999E-22</v>
      </c>
      <c r="U159" s="2">
        <v>127.8</v>
      </c>
      <c r="V159" s="2" t="s">
        <v>1847</v>
      </c>
      <c r="W159" s="10" t="s">
        <v>1630</v>
      </c>
      <c r="X159" s="2" t="s">
        <v>196</v>
      </c>
      <c r="Y159" s="2" t="str">
        <f>HYPERLINK(".\links\ARTHORPODA\AGAP029404-PA-ARTHORPODA.txt","ARTHORPODA")</f>
        <v>ARTHORPODA</v>
      </c>
      <c r="Z159" s="2">
        <v>0</v>
      </c>
      <c r="AA159" s="2">
        <v>100</v>
      </c>
      <c r="AB159" s="13" t="str">
        <f>HYPERLINK(".\links\pep\AGAP029404-PA-sulf.txt","2")</f>
        <v>2</v>
      </c>
      <c r="AC159" s="13" t="str">
        <f>HYPERLINK(".\links\Sigp\AGAP029404-PA-SigP.txt","CYT")</f>
        <v>CYT</v>
      </c>
      <c r="AD159" s="2" t="s">
        <v>102</v>
      </c>
      <c r="AE159" s="2">
        <v>38.521999999999998</v>
      </c>
      <c r="AF159" s="2">
        <v>5.05</v>
      </c>
      <c r="AG159" s="2" t="s">
        <v>102</v>
      </c>
      <c r="AH159" s="2" t="s">
        <v>102</v>
      </c>
      <c r="AI159" s="2" t="s">
        <v>211</v>
      </c>
      <c r="AJ159" s="13">
        <v>0</v>
      </c>
      <c r="AK159" s="2" t="s">
        <v>102</v>
      </c>
      <c r="AL159" s="2" t="s">
        <v>102</v>
      </c>
      <c r="AM159" s="2" t="s">
        <v>102</v>
      </c>
      <c r="AN159" s="9" t="str">
        <f>HYPERLINK(".\links\gpi\AGAP029404-PA-gpi.txt","N")</f>
        <v>N</v>
      </c>
      <c r="AO159" s="14" t="str">
        <f>HYPERLINK(".\links\netoglyc\AGAP029404-PA-netoglyc.txt","2")</f>
        <v>2</v>
      </c>
      <c r="AP159" s="13">
        <v>13.5</v>
      </c>
      <c r="AQ159" s="2">
        <v>2.4</v>
      </c>
      <c r="AR159" s="2">
        <v>3.9</v>
      </c>
      <c r="AS159" s="2" t="s">
        <v>104</v>
      </c>
      <c r="AT159" s="9" t="str">
        <f>HYPERLINK(".\links\NR-LIGHT\AGAP029404-PA-NR-LIGHT.txt","AGAP009656-PA, partial")</f>
        <v>AGAP009656-PA, partial</v>
      </c>
      <c r="AU159" s="2" t="str">
        <f>HYPERLINK("http://www.ncbi.nlm.nih.gov/sutils/blink.cgi?pid=XP_318693.4","3E-022")</f>
        <v>3E-022</v>
      </c>
      <c r="AV159" s="2" t="str">
        <f>HYPERLINK("http://www.ncbi.nlm.nih.gov/protein/XP_318693.4","XP_318693.4")</f>
        <v>XP_318693.4</v>
      </c>
      <c r="AW159" s="2">
        <v>26</v>
      </c>
      <c r="AX159" s="2">
        <v>39</v>
      </c>
      <c r="AY159" s="2">
        <v>128</v>
      </c>
      <c r="AZ159" s="2" t="s">
        <v>105</v>
      </c>
      <c r="BA159" s="9" t="str">
        <f>HYPERLINK(".\links\REFSEQ-INVERTEBRATE\AGAP029404-PA-REFSEQ-INVERTEBRATE.txt","AGAP009656-PA, partial")</f>
        <v>AGAP009656-PA, partial</v>
      </c>
      <c r="BB159" s="2" t="str">
        <f>HYPERLINK("http://www.ncbi.nlm.nih.gov/sutils/blink.cgi?pid=XP_318693.4","3E-022")</f>
        <v>3E-022</v>
      </c>
      <c r="BC159" s="2" t="str">
        <f>HYPERLINK("http://www.ncbi.nlm.nih.gov/protein/XP_318693.4","XP_318693.4")</f>
        <v>XP_318693.4</v>
      </c>
      <c r="BD159" s="2">
        <v>26</v>
      </c>
      <c r="BE159" s="2">
        <v>39</v>
      </c>
      <c r="BF159" s="2">
        <v>128</v>
      </c>
      <c r="BG159" s="2" t="s">
        <v>105</v>
      </c>
      <c r="BH159" s="9" t="str">
        <f>HYPERLINK(".\links\REFSEQ-PROTOZOA\AGAP029404-PA-REFSEQ-PROTOZOA.txt","hypothetical protein")</f>
        <v>hypothetical protein</v>
      </c>
      <c r="BI159" s="2" t="str">
        <f>HYPERLINK("http://www.ncbi.nlm.nih.gov/sutils/blink.cgi?pid=XP_001742560.1","6E-005")</f>
        <v>6E-005</v>
      </c>
      <c r="BJ159" s="2" t="str">
        <f>HYPERLINK("http://www.ncbi.nlm.nih.gov/protein/XP_001742560.1","XP_001742560.1")</f>
        <v>XP_001742560.1</v>
      </c>
      <c r="BK159" s="2">
        <v>29</v>
      </c>
      <c r="BL159" s="2">
        <v>50</v>
      </c>
      <c r="BM159" s="2">
        <v>14</v>
      </c>
      <c r="BN159" s="2" t="s">
        <v>248</v>
      </c>
      <c r="BO159" s="9" t="str">
        <f>HYPERLINK(".\links\SWISSP\AGAP029404-PA-SWISSP.txt","Zinc finger protein 432")</f>
        <v>Zinc finger protein 432</v>
      </c>
      <c r="BP159" s="2" t="str">
        <f>HYPERLINK("http://www.uniprot.org/uniprot/O94892","1E-006")</f>
        <v>1E-006</v>
      </c>
      <c r="BQ159" s="2" t="str">
        <f>HYPERLINK("http://www.uniprot.org/uniprot/O94892#expression","O94892")</f>
        <v>O94892</v>
      </c>
      <c r="BR159" s="2">
        <v>20</v>
      </c>
      <c r="BS159" s="2">
        <v>41</v>
      </c>
      <c r="BT159" s="2">
        <v>42</v>
      </c>
      <c r="BU159" s="2" t="s">
        <v>127</v>
      </c>
      <c r="BV159" s="9" t="str">
        <f>HYPERLINK(".\links\FLYBASE\AGAP029404-PA-FLYBASE.txt","FBpp0071314")</f>
        <v>FBpp0071314</v>
      </c>
      <c r="BW159" s="2" t="str">
        <f>HYPERLINK("http://flybase.org/reports/FBgn0000233#alliance_summary_container","5E-04")</f>
        <v>5E-04</v>
      </c>
      <c r="BX159" s="2">
        <v>644</v>
      </c>
      <c r="BY159" s="2">
        <v>31</v>
      </c>
      <c r="BZ159" s="2">
        <v>48</v>
      </c>
      <c r="CA159" s="2">
        <v>16</v>
      </c>
      <c r="CB159" s="9" t="str">
        <f>HYPERLINK(".\links\CDD\AGAP029404-PA-CDD.txt","zf-AD, Zinc-finger associated domain (zf-AD)")</f>
        <v>zf-AD, Zinc-finger associated domain (zf-AD)</v>
      </c>
      <c r="CC159" s="15">
        <v>4.0000000000000001E-8</v>
      </c>
      <c r="CD159" s="2">
        <v>100</v>
      </c>
      <c r="CE159" s="2" t="s">
        <v>684</v>
      </c>
      <c r="CF159" s="2" t="s">
        <v>1848</v>
      </c>
      <c r="CG159" s="9" t="str">
        <f>HYPERLINK(".\links\KOG\AGAP029404-PA-KOG.txt","C2H2-type Zn-finger protein")</f>
        <v>C2H2-type Zn-finger protein</v>
      </c>
      <c r="CH159" s="15">
        <v>5.0000000000000001E-3</v>
      </c>
      <c r="CI159" s="2">
        <v>20.399999999999999</v>
      </c>
      <c r="CJ159" s="2" t="s">
        <v>743</v>
      </c>
      <c r="CK159" s="2" t="s">
        <v>309</v>
      </c>
      <c r="CL159" s="9" t="str">
        <f>HYPERLINK(".\links\PFAM\AGAP029404-PA-PFAM.txt","zf-AD, Zinc-finger associated domain (zf-AD)")</f>
        <v>zf-AD, Zinc-finger associated domain (zf-AD)</v>
      </c>
      <c r="CM159" s="15">
        <v>8.9999999999999996E-7</v>
      </c>
      <c r="CN159" s="2">
        <v>100</v>
      </c>
      <c r="CO159" s="2" t="s">
        <v>687</v>
      </c>
      <c r="CP159" s="9" t="str">
        <f>HYPERLINK(".\links\SMART\AGAP029404-PA-SMART.txt","zf-AD, Zinc-finger associated domain (zf-AD)")</f>
        <v>zf-AD, Zinc-finger associated domain (zf-AD)</v>
      </c>
      <c r="CQ159" s="15">
        <v>3E-10</v>
      </c>
      <c r="CR159" s="2">
        <v>100</v>
      </c>
      <c r="CS159" s="2" t="s">
        <v>684</v>
      </c>
      <c r="CT159" s="2" t="s">
        <v>1847</v>
      </c>
      <c r="CU159" s="2" t="s">
        <v>1847</v>
      </c>
      <c r="CV159" s="2" t="s">
        <v>1847</v>
      </c>
      <c r="CW159" s="2" t="str">
        <f>HYPERLINK(".\links\pep\AGAP029404-PA-pep.txt","AGAP029404-PA")</f>
        <v>AGAP029404-PA</v>
      </c>
      <c r="CX159" s="2" t="s">
        <v>95</v>
      </c>
      <c r="CY159" s="2">
        <v>333</v>
      </c>
      <c r="CZ159" s="2" t="s">
        <v>113</v>
      </c>
      <c r="DA159" s="2" t="s">
        <v>1849</v>
      </c>
      <c r="DB159" s="2">
        <v>0</v>
      </c>
      <c r="DC159" s="2">
        <v>1</v>
      </c>
      <c r="DD159" s="2" t="str">
        <f>HYPERLINK("https://www.kegg.jp/kegg-bin/search_pathway_text?map=aga&amp;keyword=AGAP029404&amp;mode=1&amp;viewImage=true","AGAP029404")</f>
        <v>AGAP029404</v>
      </c>
      <c r="DE159" s="2" t="s">
        <v>1845</v>
      </c>
      <c r="DF159" s="2" t="s">
        <v>93</v>
      </c>
      <c r="DG159" s="2" t="s">
        <v>94</v>
      </c>
      <c r="DH159" s="2" t="str">
        <f>HYPERLINK("https://vectorbase.org/vectorbase/app/record/gene/AGAP029404","AGAP029404-RA")</f>
        <v>AGAP029404-RA</v>
      </c>
      <c r="DI159" s="2" t="s">
        <v>135</v>
      </c>
      <c r="DJ159" s="2">
        <v>1541</v>
      </c>
      <c r="DK159" s="2" t="str">
        <f>HYPERLINK(".\links\netoglyc\AGAP029404-PA-netoglyc.txt","2")</f>
        <v>2</v>
      </c>
      <c r="DL159" s="2">
        <v>13.5</v>
      </c>
      <c r="DM159" s="2">
        <v>2.4</v>
      </c>
      <c r="DN159" s="2">
        <v>3.9</v>
      </c>
      <c r="DO159" s="2" t="s">
        <v>104</v>
      </c>
      <c r="DP159" s="2" t="s">
        <v>102</v>
      </c>
      <c r="DQ159" s="2" t="str">
        <f>HYPERLINK(".\links\Sigp\AGAP029404-PA-SigP.txt","CYT")</f>
        <v>CYT</v>
      </c>
      <c r="DR159" s="2" t="s">
        <v>102</v>
      </c>
      <c r="DS159" s="2">
        <v>38.521999999999998</v>
      </c>
      <c r="DT159" s="2">
        <v>5.05</v>
      </c>
      <c r="DU159" s="2" t="s">
        <v>102</v>
      </c>
      <c r="DV159" s="2" t="s">
        <v>102</v>
      </c>
      <c r="DW159" s="2" t="s">
        <v>211</v>
      </c>
      <c r="DX159" s="2">
        <v>333</v>
      </c>
      <c r="DY159" s="12">
        <v>0</v>
      </c>
      <c r="DZ159" s="2" t="s">
        <v>102</v>
      </c>
      <c r="EA159" s="2" t="s">
        <v>102</v>
      </c>
      <c r="EB159" s="2" t="s">
        <v>102</v>
      </c>
      <c r="EC159" s="2" t="str">
        <f>HYPERLINK(".\links\gpi\AGAP029404-PA-gpi.txt","N")</f>
        <v>N</v>
      </c>
      <c r="ED159" s="2">
        <v>0.36</v>
      </c>
      <c r="EF159" s="2">
        <v>17</v>
      </c>
      <c r="EG159" s="2" t="str">
        <f>HYPERLINK(".\links\pep\AGAP029404-PA-sulf.txt","2")</f>
        <v>2</v>
      </c>
      <c r="EH159" s="2" t="s">
        <v>102</v>
      </c>
      <c r="EI159" s="2">
        <v>13.5135135135135</v>
      </c>
      <c r="EJ159" s="2">
        <v>3.9039039039038999</v>
      </c>
      <c r="EK159" s="2">
        <v>2.4024024024024002</v>
      </c>
      <c r="EL159" s="2">
        <v>6.3063063063063103</v>
      </c>
      <c r="EM159" s="2" t="s">
        <v>102</v>
      </c>
      <c r="EN159" s="2">
        <v>2</v>
      </c>
      <c r="EO159" s="2">
        <v>2</v>
      </c>
      <c r="EP159" s="2" t="s">
        <v>102</v>
      </c>
      <c r="EQ159" s="2" t="s">
        <v>102</v>
      </c>
      <c r="ER159" s="2" t="s">
        <v>102</v>
      </c>
      <c r="ES159" s="2" t="s">
        <v>102</v>
      </c>
      <c r="ET159" s="2" t="str">
        <f>HYPERLINK(".\links\REFSEQ-INVERTEBRATE\AGAP029404-PA-REFSEQ-INVERTEBRATE.txt","uncharacterized protein LOC118511608")</f>
        <v>uncharacterized protein LOC118511608</v>
      </c>
      <c r="EU159" s="2" t="str">
        <f>HYPERLINK("http://www.ncbi.nlm.nih.gov/sutils/blink.cgi?pid=XP_035910787.1","1E-40")</f>
        <v>1E-40</v>
      </c>
      <c r="EV159" s="2" t="str">
        <f>HYPERLINK("http://www.ncbi.nlm.nih.gov/protein/XP_035910787.1","XP_035910787.1")</f>
        <v>XP_035910787.1</v>
      </c>
      <c r="EW159" s="2">
        <v>34</v>
      </c>
      <c r="EX159" s="2">
        <v>50</v>
      </c>
      <c r="EY159" s="2">
        <v>100</v>
      </c>
      <c r="EZ159" s="2" t="s">
        <v>370</v>
      </c>
    </row>
    <row r="160" spans="1:156" x14ac:dyDescent="0.25">
      <c r="A160" s="2" t="s">
        <v>1850</v>
      </c>
      <c r="B160" s="2">
        <v>0.34070510146504102</v>
      </c>
      <c r="C160" s="2">
        <f t="shared" si="2"/>
        <v>1.2663753698970206</v>
      </c>
      <c r="D160" s="2">
        <v>7.4633510286639604</v>
      </c>
      <c r="E160" s="2">
        <v>13.961910484851</v>
      </c>
      <c r="F160" s="2">
        <v>1.86551987252859E-4</v>
      </c>
      <c r="G160" s="2">
        <v>1.52739026539341E-2</v>
      </c>
      <c r="H160" s="2" t="s">
        <v>1851</v>
      </c>
      <c r="I160" s="2" t="s">
        <v>94</v>
      </c>
      <c r="J160" s="2" t="str">
        <f>HYPERLINK("https://vectorbase.org/vectorbase/app/record/gene/AGAP004849","AGAP004849-RA")</f>
        <v>AGAP004849-RA</v>
      </c>
      <c r="K160" s="2" t="str">
        <f>HYPERLINK(".\links\pep\AGAP004849-PA-pep.txt","AGAP004849-PA")</f>
        <v>AGAP004849-PA</v>
      </c>
      <c r="L160" s="12" t="s">
        <v>95</v>
      </c>
      <c r="M160" s="2">
        <v>284</v>
      </c>
      <c r="N160" s="2">
        <v>0</v>
      </c>
      <c r="O160" s="2">
        <v>0</v>
      </c>
      <c r="P160" s="2" t="s">
        <v>1852</v>
      </c>
      <c r="Q160" s="9" t="s">
        <v>1853</v>
      </c>
      <c r="R160" s="2" t="s">
        <v>101</v>
      </c>
      <c r="S160" s="2" t="str">
        <f>HYPERLINK(".\links\KOG\AGAP004849-PA-KOG.txt","KOG")</f>
        <v>KOG</v>
      </c>
      <c r="T160" s="2">
        <v>2.0000000000000001E-53</v>
      </c>
      <c r="U160" s="2">
        <v>100.3</v>
      </c>
      <c r="V160" s="2" t="s">
        <v>1854</v>
      </c>
      <c r="W160" s="10" t="s">
        <v>1855</v>
      </c>
      <c r="X160" s="2" t="s">
        <v>101</v>
      </c>
      <c r="Y160" s="2" t="str">
        <f>HYPERLINK(".\links\UNIPROTKB\AGAP004849-PA-UNIPROTKB.txt","UNIPROTKB")</f>
        <v>UNIPROTKB</v>
      </c>
      <c r="Z160" s="15">
        <v>2.0000000000000001E-62</v>
      </c>
      <c r="AA160" s="2">
        <v>93.4</v>
      </c>
      <c r="AB160" s="13" t="str">
        <f>HYPERLINK(".\links\pep\AGAP004849-PA-sulf.txt","2")</f>
        <v>2</v>
      </c>
      <c r="AC160" s="13" t="str">
        <f>HYPERLINK(".\links\Sigp\AGAP004849-PA-SigP.txt","CYT")</f>
        <v>CYT</v>
      </c>
      <c r="AD160" s="2" t="s">
        <v>102</v>
      </c>
      <c r="AE160" s="2">
        <v>33.131999999999998</v>
      </c>
      <c r="AF160" s="2">
        <v>9.09</v>
      </c>
      <c r="AG160" s="2" t="s">
        <v>102</v>
      </c>
      <c r="AH160" s="2" t="s">
        <v>102</v>
      </c>
      <c r="AI160" s="2" t="s">
        <v>211</v>
      </c>
      <c r="AJ160" s="13">
        <v>0</v>
      </c>
      <c r="AK160" s="2" t="s">
        <v>102</v>
      </c>
      <c r="AL160" s="2" t="s">
        <v>102</v>
      </c>
      <c r="AM160" s="2" t="s">
        <v>102</v>
      </c>
      <c r="AN160" s="13" t="str">
        <f>HYPERLINK(".\links\gpi\AGAP004849-PA-gpi.txt","N")</f>
        <v>N</v>
      </c>
      <c r="AO160" s="14" t="str">
        <f>HYPERLINK(".\links\netoglyc\AGAP004849-PA-netoglyc.txt","2")</f>
        <v>2</v>
      </c>
      <c r="AP160" s="13">
        <v>14.1</v>
      </c>
      <c r="AQ160" s="2">
        <v>2.5</v>
      </c>
      <c r="AR160" s="2">
        <v>3.9</v>
      </c>
      <c r="AS160" s="2" t="s">
        <v>104</v>
      </c>
      <c r="AT160" s="9" t="str">
        <f>HYPERLINK(".\links\NR-LIGHT\AGAP004849-PA-NR-LIGHT.txt","AGAP004849-PA")</f>
        <v>AGAP004849-PA</v>
      </c>
      <c r="AU160" s="2" t="str">
        <f>HYPERLINK("http://www.ncbi.nlm.nih.gov/sutils/blink.cgi?pid=XP_314342.3","1E-161")</f>
        <v>1E-161</v>
      </c>
      <c r="AV160" s="2" t="str">
        <f>HYPERLINK("http://www.ncbi.nlm.nih.gov/protein/XP_314342.3","XP_314342.3")</f>
        <v>XP_314342.3</v>
      </c>
      <c r="AW160" s="2">
        <v>100</v>
      </c>
      <c r="AX160" s="2">
        <v>100</v>
      </c>
      <c r="AY160" s="2">
        <v>100</v>
      </c>
      <c r="AZ160" s="2" t="s">
        <v>105</v>
      </c>
      <c r="BA160" s="9" t="str">
        <f>HYPERLINK(".\links\REFSEQ-INVERTEBRATE\AGAP004849-PA-REFSEQ-INVERTEBRATE.txt","AGAP004849-PA")</f>
        <v>AGAP004849-PA</v>
      </c>
      <c r="BB160" s="2" t="str">
        <f>HYPERLINK("http://www.ncbi.nlm.nih.gov/sutils/blink.cgi?pid=XP_314342.3","1E-161")</f>
        <v>1E-161</v>
      </c>
      <c r="BC160" s="2" t="str">
        <f>HYPERLINK("http://www.ncbi.nlm.nih.gov/protein/XP_314342.3","XP_314342.3")</f>
        <v>XP_314342.3</v>
      </c>
      <c r="BD160" s="2">
        <v>100</v>
      </c>
      <c r="BE160" s="2">
        <v>100</v>
      </c>
      <c r="BF160" s="2">
        <v>100</v>
      </c>
      <c r="BG160" s="2" t="s">
        <v>105</v>
      </c>
      <c r="BH160" s="9" t="str">
        <f>HYPERLINK(".\links\REFSEQ-PROTOZOA\AGAP004849-PA-REFSEQ-PROTOZOA.txt","hypothetical protein H310_03455")</f>
        <v>hypothetical protein H310_03455</v>
      </c>
      <c r="BI160" s="2" t="str">
        <f>HYPERLINK("http://www.ncbi.nlm.nih.gov/sutils/blink.cgi?pid=XP_008865548.1","1E-036")</f>
        <v>1E-036</v>
      </c>
      <c r="BJ160" s="2" t="str">
        <f>HYPERLINK("http://www.ncbi.nlm.nih.gov/protein/XP_008865548.1","XP_008865548.1")</f>
        <v>XP_008865548.1</v>
      </c>
      <c r="BK160" s="2">
        <v>32</v>
      </c>
      <c r="BL160" s="2">
        <v>53</v>
      </c>
      <c r="BM160" s="2">
        <v>100</v>
      </c>
      <c r="BN160" s="2" t="s">
        <v>1856</v>
      </c>
      <c r="BO160" s="9" t="str">
        <f>HYPERLINK(".\links\SWISSP\AGAP004849-PA-SWISSP.txt","J domain-containing protein CG6693")</f>
        <v>J domain-containing protein CG6693</v>
      </c>
      <c r="BP160" s="2" t="str">
        <f>HYPERLINK("http://www.uniprot.org/uniprot/Q9VGR7","4E-077")</f>
        <v>4E-077</v>
      </c>
      <c r="BQ160" s="2" t="str">
        <f>HYPERLINK("http://www.uniprot.org/uniprot/Q9VGR7#expression","Q9VGR7")</f>
        <v>Q9VGR7</v>
      </c>
      <c r="BR160" s="2">
        <v>51</v>
      </c>
      <c r="BS160" s="2">
        <v>68</v>
      </c>
      <c r="BT160" s="2">
        <v>95</v>
      </c>
      <c r="BU160" s="2" t="s">
        <v>107</v>
      </c>
      <c r="BV160" s="9" t="str">
        <f>HYPERLINK(".\links\FLYBASE\AGAP004849-PA-FLYBASE.txt","FBpp0307760")</f>
        <v>FBpp0307760</v>
      </c>
      <c r="BW160" s="2" t="str">
        <f>HYPERLINK("http://flybase.org/reports/FBgn0037878#alliance_summary_container","8E-97")</f>
        <v>8E-97</v>
      </c>
      <c r="BX160" s="2">
        <v>299</v>
      </c>
      <c r="BY160" s="2">
        <v>54</v>
      </c>
      <c r="BZ160" s="2">
        <v>71</v>
      </c>
      <c r="CA160" s="2">
        <v>86</v>
      </c>
      <c r="CB160" s="9" t="str">
        <f>HYPERLINK(".\links\CDD\AGAP004849-PA-CDD.txt","DnaJ, DnaJ-class molecular chaperone with C-terminal Zn finger domain")</f>
        <v>DnaJ, DnaJ-class molecular chaperone with C-terminal Zn finger domain</v>
      </c>
      <c r="CC160" s="15">
        <v>1.0000000000000001E-17</v>
      </c>
      <c r="CD160" s="2">
        <v>21</v>
      </c>
      <c r="CE160" s="2" t="s">
        <v>1857</v>
      </c>
      <c r="CF160" s="2" t="s">
        <v>1858</v>
      </c>
      <c r="CG160" s="9" t="str">
        <f>HYPERLINK(".\links\KOG\AGAP004849-PA-KOG.txt","Molecular chaperone (DnaJ superfamily)")</f>
        <v>Molecular chaperone (DnaJ superfamily)</v>
      </c>
      <c r="CH160" s="15">
        <v>2.0000000000000001E-53</v>
      </c>
      <c r="CI160" s="2">
        <v>100.4</v>
      </c>
      <c r="CJ160" s="2" t="s">
        <v>1859</v>
      </c>
      <c r="CK160" s="2" t="s">
        <v>111</v>
      </c>
      <c r="CL160" s="9" t="str">
        <f>HYPERLINK(".\links\PFAM\AGAP004849-PA-PFAM.txt","DnaJ, DnaJ domain")</f>
        <v>DnaJ, DnaJ domain</v>
      </c>
      <c r="CM160" s="15">
        <v>6.0000000000000001E-17</v>
      </c>
      <c r="CN160" s="2">
        <v>100</v>
      </c>
      <c r="CO160" s="2" t="s">
        <v>1860</v>
      </c>
      <c r="CP160" s="9" t="str">
        <f>HYPERLINK(".\links\SMART\AGAP004849-PA-SMART.txt","DnaJ, DnaJ molecular chaperone homology domain")</f>
        <v>DnaJ, DnaJ molecular chaperone homology domain</v>
      </c>
      <c r="CQ160" s="15">
        <v>2E-14</v>
      </c>
      <c r="CR160" s="2">
        <v>96.7</v>
      </c>
      <c r="CS160" s="2" t="s">
        <v>1861</v>
      </c>
      <c r="CT160" s="2" t="s">
        <v>1854</v>
      </c>
      <c r="CU160" s="2" t="s">
        <v>1854</v>
      </c>
      <c r="CV160" s="2" t="s">
        <v>1854</v>
      </c>
      <c r="CW160" s="2" t="str">
        <f>HYPERLINK(".\links\pep\AGAP004849-PA-pep.txt","AGAP004849-PA")</f>
        <v>AGAP004849-PA</v>
      </c>
      <c r="CX160" s="2" t="s">
        <v>95</v>
      </c>
      <c r="CY160" s="2">
        <v>284</v>
      </c>
      <c r="CZ160" s="2" t="s">
        <v>113</v>
      </c>
      <c r="DA160" s="2" t="s">
        <v>1862</v>
      </c>
      <c r="DB160" s="2">
        <v>0</v>
      </c>
      <c r="DC160" s="2">
        <v>0</v>
      </c>
      <c r="DD160" s="2" t="str">
        <f>HYPERLINK("https://www.kegg.jp/kegg-bin/search_pathway_text?map=aga&amp;keyword=AGAP004849&amp;mode=1&amp;viewImage=true","AGAP004849")</f>
        <v>AGAP004849</v>
      </c>
      <c r="DE160" s="2" t="s">
        <v>1850</v>
      </c>
      <c r="DF160" s="2" t="s">
        <v>1851</v>
      </c>
      <c r="DG160" s="2" t="s">
        <v>94</v>
      </c>
      <c r="DH160" s="2" t="str">
        <f>HYPERLINK("https://vectorbase.org/vectorbase/app/record/gene/AGAP004849","AGAP004849-RA")</f>
        <v>AGAP004849-RA</v>
      </c>
      <c r="DI160" s="2" t="s">
        <v>135</v>
      </c>
      <c r="DJ160" s="2">
        <v>1351</v>
      </c>
      <c r="DK160" s="2" t="str">
        <f>HYPERLINK(".\links\netoglyc\AGAP004849-PA-netoglyc.txt","2")</f>
        <v>2</v>
      </c>
      <c r="DL160" s="2">
        <v>14.1</v>
      </c>
      <c r="DM160" s="2">
        <v>2.5</v>
      </c>
      <c r="DN160" s="2">
        <v>3.9</v>
      </c>
      <c r="DO160" s="2" t="s">
        <v>104</v>
      </c>
      <c r="DP160" s="2" t="s">
        <v>1863</v>
      </c>
      <c r="DQ160" s="2" t="str">
        <f>HYPERLINK(".\links\Sigp\AGAP004849-PA-SigP.txt","CYT")</f>
        <v>CYT</v>
      </c>
      <c r="DR160" s="2" t="s">
        <v>102</v>
      </c>
      <c r="DS160" s="2">
        <v>33.131999999999998</v>
      </c>
      <c r="DT160" s="2">
        <v>9.09</v>
      </c>
      <c r="DU160" s="2" t="s">
        <v>102</v>
      </c>
      <c r="DV160" s="2" t="s">
        <v>102</v>
      </c>
      <c r="DW160" s="2" t="s">
        <v>211</v>
      </c>
      <c r="DX160" s="2">
        <v>284</v>
      </c>
      <c r="DY160" s="12">
        <v>0</v>
      </c>
      <c r="DZ160" s="2" t="s">
        <v>102</v>
      </c>
      <c r="EA160" s="2" t="s">
        <v>102</v>
      </c>
      <c r="EB160" s="2" t="s">
        <v>102</v>
      </c>
      <c r="EC160" s="2" t="str">
        <f>HYPERLINK(".\links\gpi\AGAP004849-PA-gpi.txt","N")</f>
        <v>N</v>
      </c>
      <c r="ED160" s="2">
        <v>0.37</v>
      </c>
      <c r="EF160" s="2">
        <v>4</v>
      </c>
      <c r="EG160" s="2" t="str">
        <f>HYPERLINK(".\links\pep\AGAP004849-PA-sulf.txt","2")</f>
        <v>2</v>
      </c>
      <c r="EH160" s="2" t="s">
        <v>102</v>
      </c>
      <c r="EI160" s="2">
        <v>14.084507042253501</v>
      </c>
      <c r="EJ160" s="2">
        <v>3.8732394366197198</v>
      </c>
      <c r="EK160" s="2">
        <v>2.46478873239437</v>
      </c>
      <c r="EL160" s="2">
        <v>6.3380281690140796</v>
      </c>
      <c r="EM160" s="2" t="s">
        <v>102</v>
      </c>
      <c r="EN160" s="2">
        <v>1</v>
      </c>
      <c r="EO160" s="2">
        <v>1</v>
      </c>
      <c r="EP160" s="2" t="s">
        <v>102</v>
      </c>
      <c r="EQ160" s="2" t="s">
        <v>102</v>
      </c>
      <c r="ER160" s="2" t="s">
        <v>102</v>
      </c>
      <c r="ES160" s="2" t="s">
        <v>102</v>
      </c>
      <c r="ET160" s="2" t="str">
        <f>HYPERLINK(".\links\REFSEQ-INVERTEBRATE\AGAP004849-PA-REFSEQ-INVERTEBRATE.txt","AGAP004849-PA")</f>
        <v>AGAP004849-PA</v>
      </c>
      <c r="EU160" s="2" t="str">
        <f>HYPERLINK("http://www.ncbi.nlm.nih.gov/sutils/blink.cgi?pid=XP_314342.3","0.0")</f>
        <v>0.0</v>
      </c>
      <c r="EV160" s="2" t="str">
        <f>HYPERLINK("http://www.ncbi.nlm.nih.gov/protein/XP_314342.3","XP_314342.3")</f>
        <v>XP_314342.3</v>
      </c>
      <c r="EW160" s="2">
        <v>100</v>
      </c>
      <c r="EX160" s="2">
        <v>100</v>
      </c>
      <c r="EY160" s="2">
        <v>100</v>
      </c>
      <c r="EZ160" s="2" t="s">
        <v>105</v>
      </c>
    </row>
    <row r="161" spans="1:156" x14ac:dyDescent="0.25">
      <c r="A161" s="2" t="s">
        <v>1864</v>
      </c>
      <c r="B161" s="2">
        <v>0.33978708499431998</v>
      </c>
      <c r="C161" s="2">
        <f t="shared" si="2"/>
        <v>1.2655698055782483</v>
      </c>
      <c r="D161" s="2">
        <v>5.30413500952191</v>
      </c>
      <c r="E161" s="2">
        <v>11.533483089921701</v>
      </c>
      <c r="F161" s="2">
        <v>6.8353827808594796E-4</v>
      </c>
      <c r="G161" s="2">
        <v>2.8787477480927401E-2</v>
      </c>
      <c r="H161" s="2" t="s">
        <v>93</v>
      </c>
      <c r="I161" s="2" t="s">
        <v>94</v>
      </c>
      <c r="J161" s="2" t="str">
        <f>HYPERLINK("https://vectorbase.org/vectorbase/app/record/gene/AGAP004418","AGAP004418-RA")</f>
        <v>AGAP004418-RA</v>
      </c>
      <c r="K161" s="2" t="str">
        <f>HYPERLINK(".\links\pep\AGAP004418-PA-pep.txt","AGAP004418-PA")</f>
        <v>AGAP004418-PA</v>
      </c>
      <c r="L161" s="12" t="s">
        <v>95</v>
      </c>
      <c r="M161" s="2">
        <v>304</v>
      </c>
      <c r="N161" s="2">
        <v>0</v>
      </c>
      <c r="O161" s="2">
        <v>1</v>
      </c>
      <c r="P161" s="2" t="s">
        <v>102</v>
      </c>
      <c r="Q161" s="9" t="s">
        <v>1865</v>
      </c>
      <c r="R161" s="2" t="s">
        <v>355</v>
      </c>
      <c r="S161" s="2" t="str">
        <f>HYPERLINK(".\links\CDD\AGAP004418-PA-CDD.txt","CDD")</f>
        <v>CDD</v>
      </c>
      <c r="T161" s="2">
        <v>3E-9</v>
      </c>
      <c r="U161" s="2">
        <v>39.700000000000003</v>
      </c>
      <c r="V161" s="2" t="s">
        <v>1866</v>
      </c>
      <c r="W161" s="10" t="s">
        <v>1867</v>
      </c>
      <c r="X161" s="2" t="s">
        <v>196</v>
      </c>
      <c r="Y161" s="2" t="str">
        <f>HYPERLINK(".\links\ARTHORPODA\AGAP004418-PA-ARTHORPODA.txt","ARTHORPODA")</f>
        <v>ARTHORPODA</v>
      </c>
      <c r="Z161" s="2">
        <v>0</v>
      </c>
      <c r="AA161" s="2">
        <v>100</v>
      </c>
      <c r="AB161" s="13" t="s">
        <v>102</v>
      </c>
      <c r="AC161" s="13" t="str">
        <f>HYPERLINK(".\links\Sigp\AGAP004418-PA-SigP.txt","CYT")</f>
        <v>CYT</v>
      </c>
      <c r="AD161" s="2" t="s">
        <v>102</v>
      </c>
      <c r="AE161" s="2">
        <v>33.527999999999999</v>
      </c>
      <c r="AF161" s="2">
        <v>5.34</v>
      </c>
      <c r="AG161" s="2" t="s">
        <v>102</v>
      </c>
      <c r="AH161" s="2" t="s">
        <v>102</v>
      </c>
      <c r="AI161" s="2" t="s">
        <v>124</v>
      </c>
      <c r="AJ161" s="13">
        <v>0</v>
      </c>
      <c r="AK161" s="2" t="s">
        <v>102</v>
      </c>
      <c r="AL161" s="2" t="s">
        <v>102</v>
      </c>
      <c r="AM161" s="2" t="s">
        <v>102</v>
      </c>
      <c r="AN161" s="13" t="str">
        <f>HYPERLINK(".\links\gpi\AGAP004418-PA-gpi.txt","N")</f>
        <v>N</v>
      </c>
      <c r="AO161" s="14" t="str">
        <f>HYPERLINK(".\links\netoglyc\AGAP004418-PA-netoglyc.txt","0")</f>
        <v>0</v>
      </c>
      <c r="AP161" s="13">
        <v>13.8</v>
      </c>
      <c r="AQ161" s="2">
        <v>8.1999999999999993</v>
      </c>
      <c r="AR161" s="2">
        <v>2.6</v>
      </c>
      <c r="AS161" s="2" t="s">
        <v>104</v>
      </c>
      <c r="AT161" s="9" t="str">
        <f>HYPERLINK(".\links\NR-LIGHT\AGAP004418-PA-NR-LIGHT.txt","AGAP004418-PA")</f>
        <v>AGAP004418-PA</v>
      </c>
      <c r="AU161" s="2" t="str">
        <f>HYPERLINK("http://www.ncbi.nlm.nih.gov/sutils/blink.cgi?pid=XP_313702.2","1E-176")</f>
        <v>1E-176</v>
      </c>
      <c r="AV161" s="2" t="str">
        <f>HYPERLINK("http://www.ncbi.nlm.nih.gov/protein/XP_313702.2","XP_313702.2")</f>
        <v>XP_313702.2</v>
      </c>
      <c r="AW161" s="2">
        <v>100</v>
      </c>
      <c r="AX161" s="2">
        <v>100</v>
      </c>
      <c r="AY161" s="2">
        <v>100</v>
      </c>
      <c r="AZ161" s="2" t="s">
        <v>105</v>
      </c>
      <c r="BA161" s="9" t="str">
        <f>HYPERLINK(".\links\REFSEQ-INVERTEBRATE\AGAP004418-PA-REFSEQ-INVERTEBRATE.txt","AGAP004418-PA")</f>
        <v>AGAP004418-PA</v>
      </c>
      <c r="BB161" s="2" t="str">
        <f>HYPERLINK("http://www.ncbi.nlm.nih.gov/sutils/blink.cgi?pid=XP_313702.2","1E-176")</f>
        <v>1E-176</v>
      </c>
      <c r="BC161" s="2" t="str">
        <f>HYPERLINK("http://www.ncbi.nlm.nih.gov/protein/XP_313702.2","XP_313702.2")</f>
        <v>XP_313702.2</v>
      </c>
      <c r="BD161" s="2">
        <v>100</v>
      </c>
      <c r="BE161" s="2">
        <v>100</v>
      </c>
      <c r="BF161" s="2">
        <v>100</v>
      </c>
      <c r="BG161" s="2" t="s">
        <v>105</v>
      </c>
      <c r="BH161" s="9" t="str">
        <f>HYPERLINK(".\links\REFSEQ-PROTOZOA\AGAP004418-PA-REFSEQ-PROTOZOA.txt","hypothetical protein DDB_G0282489")</f>
        <v>hypothetical protein DDB_G0282489</v>
      </c>
      <c r="BI161" s="2" t="str">
        <f>HYPERLINK("http://www.ncbi.nlm.nih.gov/sutils/blink.cgi?pid=XP_640080.1","9E-005")</f>
        <v>9E-005</v>
      </c>
      <c r="BJ161" s="2" t="str">
        <f>HYPERLINK("http://www.ncbi.nlm.nih.gov/protein/XP_640080.1","XP_640080.1")</f>
        <v>XP_640080.1</v>
      </c>
      <c r="BK161" s="2">
        <v>26</v>
      </c>
      <c r="BL161" s="2">
        <v>47</v>
      </c>
      <c r="BM161" s="2">
        <v>13</v>
      </c>
      <c r="BN161" s="2" t="s">
        <v>612</v>
      </c>
      <c r="BO161" s="9" t="str">
        <f>HYPERLINK(".\links\SWISSP\AGAP004418-PA-SWISSP.txt","Putative E3 ubiquitin-protein ligase LIN")</f>
        <v>Putative E3 ubiquitin-protein ligase LIN</v>
      </c>
      <c r="BP161" s="2" t="str">
        <f>HYPERLINK("http://www.uniprot.org/uniprot/D1FP53","7E-006")</f>
        <v>7E-006</v>
      </c>
      <c r="BQ161" s="2" t="str">
        <f>HYPERLINK("http://www.uniprot.org/uniprot/D1FP53#expression","D1FP53")</f>
        <v>D1FP53</v>
      </c>
      <c r="BR161" s="2">
        <v>21</v>
      </c>
      <c r="BS161" s="2">
        <v>40</v>
      </c>
      <c r="BT161" s="2">
        <v>20</v>
      </c>
      <c r="BU161" s="2" t="s">
        <v>1868</v>
      </c>
      <c r="BV161" s="9" t="str">
        <f>HYPERLINK(".\links\FLYBASE\AGAP004418-PA-FLYBASE.txt","FBpp0083125")</f>
        <v>FBpp0083125</v>
      </c>
      <c r="BW161" s="2" t="str">
        <f>HYPERLINK("http://flybase.org/reports/FBgn0038674#alliance_summary_container","4E-80")</f>
        <v>4E-80</v>
      </c>
      <c r="BX161" s="2">
        <v>297</v>
      </c>
      <c r="BY161" s="2">
        <v>39</v>
      </c>
      <c r="BZ161" s="2">
        <v>64</v>
      </c>
      <c r="CA161" s="2">
        <v>98</v>
      </c>
      <c r="CB161" s="9" t="str">
        <f>HYPERLINK(".\links\CDD\AGAP004418-PA-CDD.txt","WD40,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161" s="15">
        <v>3E-9</v>
      </c>
      <c r="CD161" s="2">
        <v>39.799999999999997</v>
      </c>
      <c r="CE161" s="2" t="s">
        <v>1716</v>
      </c>
      <c r="CF161" s="2" t="s">
        <v>1869</v>
      </c>
      <c r="CG161" s="9" t="str">
        <f>HYPERLINK(".\links\KOG\AGAP004418-PA-KOG.txt","Pleiotropic regulator 1")</f>
        <v>Pleiotropic regulator 1</v>
      </c>
      <c r="CH161" s="15">
        <v>1.9999999999999999E-7</v>
      </c>
      <c r="CI161" s="2">
        <v>34.799999999999997</v>
      </c>
      <c r="CJ161" s="2" t="s">
        <v>1870</v>
      </c>
      <c r="CK161" s="2" t="s">
        <v>722</v>
      </c>
      <c r="CL161" s="9" t="str">
        <f>HYPERLINK(".\links\PFAM\AGAP004418-PA-PFAM.txt","WD40, WD domain, G-beta repeat")</f>
        <v>WD40, WD domain, G-beta repeat</v>
      </c>
      <c r="CM161" s="15">
        <v>0.23</v>
      </c>
      <c r="CN161" s="2">
        <v>89.7</v>
      </c>
      <c r="CO161" s="2" t="s">
        <v>1871</v>
      </c>
      <c r="CP161" s="9" t="str">
        <f>HYPERLINK(".\links\SMART\AGAP004418-PA-SMART.txt","WD40, WD40 repeats")</f>
        <v>WD40, WD40 repeats</v>
      </c>
      <c r="CQ161" s="15">
        <v>7.0000000000000001E-3</v>
      </c>
      <c r="CR161" s="2">
        <v>95</v>
      </c>
      <c r="CS161" s="2" t="s">
        <v>1720</v>
      </c>
      <c r="CT161" s="2" t="s">
        <v>1866</v>
      </c>
      <c r="CU161" s="2" t="s">
        <v>1866</v>
      </c>
      <c r="CV161" s="2" t="s">
        <v>1866</v>
      </c>
      <c r="CW161" s="2" t="str">
        <f>HYPERLINK(".\links\pep\AGAP004418-PA-pep.txt","AGAP004418-PA")</f>
        <v>AGAP004418-PA</v>
      </c>
      <c r="CX161" s="2" t="s">
        <v>95</v>
      </c>
      <c r="CY161" s="2">
        <v>304</v>
      </c>
      <c r="CZ161" s="2" t="s">
        <v>113</v>
      </c>
      <c r="DA161" s="2" t="s">
        <v>1872</v>
      </c>
      <c r="DB161" s="2">
        <v>0</v>
      </c>
      <c r="DC161" s="2">
        <v>1</v>
      </c>
      <c r="DD161" s="2" t="str">
        <f>HYPERLINK("https://www.kegg.jp/kegg-bin/search_pathway_text?map=aga&amp;keyword=AGAP004418&amp;mode=1&amp;viewImage=true","AGAP004418")</f>
        <v>AGAP004418</v>
      </c>
      <c r="DE161" s="2" t="s">
        <v>1864</v>
      </c>
      <c r="DF161" s="2" t="s">
        <v>93</v>
      </c>
      <c r="DG161" s="2" t="s">
        <v>94</v>
      </c>
      <c r="DH161" s="2" t="str">
        <f>HYPERLINK("https://vectorbase.org/vectorbase/app/record/gene/AGAP004418","AGAP004418-RA")</f>
        <v>AGAP004418-RA</v>
      </c>
      <c r="DI161" s="2" t="s">
        <v>115</v>
      </c>
      <c r="DJ161" s="2">
        <v>1479</v>
      </c>
      <c r="DK161" s="2" t="str">
        <f>HYPERLINK(".\links\netoglyc\AGAP004418-PA-netoglyc.txt","0")</f>
        <v>0</v>
      </c>
      <c r="DL161" s="2">
        <v>13.8</v>
      </c>
      <c r="DM161" s="2">
        <v>8.1999999999999993</v>
      </c>
      <c r="DN161" s="2">
        <v>2.6</v>
      </c>
      <c r="DO161" s="2" t="s">
        <v>104</v>
      </c>
      <c r="DP161" s="2" t="s">
        <v>102</v>
      </c>
      <c r="DQ161" s="2" t="str">
        <f>HYPERLINK(".\links\Sigp\AGAP004418-PA-SigP.txt","CYT")</f>
        <v>CYT</v>
      </c>
      <c r="DR161" s="2" t="s">
        <v>102</v>
      </c>
      <c r="DS161" s="2">
        <v>33.527999999999999</v>
      </c>
      <c r="DT161" s="2">
        <v>5.34</v>
      </c>
      <c r="DU161" s="2" t="s">
        <v>102</v>
      </c>
      <c r="DV161" s="2" t="s">
        <v>102</v>
      </c>
      <c r="DW161" s="2" t="s">
        <v>124</v>
      </c>
      <c r="DX161" s="2">
        <v>304</v>
      </c>
      <c r="DY161" s="12">
        <v>0</v>
      </c>
      <c r="DZ161" s="2" t="s">
        <v>102</v>
      </c>
      <c r="EA161" s="2" t="s">
        <v>102</v>
      </c>
      <c r="EB161" s="2" t="s">
        <v>102</v>
      </c>
      <c r="EC161" s="2" t="str">
        <f>HYPERLINK(".\links\gpi\AGAP004418-PA-gpi.txt","Y-NoSP")</f>
        <v>Y-NoSP</v>
      </c>
      <c r="ED161" s="2">
        <v>0.32</v>
      </c>
      <c r="EF161" s="2">
        <v>10</v>
      </c>
      <c r="EG161" s="2" t="s">
        <v>102</v>
      </c>
      <c r="EH161" s="2" t="s">
        <v>102</v>
      </c>
      <c r="EI161" s="2">
        <v>13.8157894736842</v>
      </c>
      <c r="EJ161" s="2">
        <v>2.6315789473684199</v>
      </c>
      <c r="EK161" s="2">
        <v>8.2236842105263204</v>
      </c>
      <c r="EL161" s="2">
        <v>10.855263157894701</v>
      </c>
      <c r="EM161" s="2" t="s">
        <v>102</v>
      </c>
      <c r="EN161" s="2">
        <v>2</v>
      </c>
      <c r="EO161" s="2">
        <v>3</v>
      </c>
      <c r="EP161" s="2" t="s">
        <v>102</v>
      </c>
      <c r="EQ161" s="2" t="s">
        <v>102</v>
      </c>
      <c r="ER161" s="2" t="s">
        <v>102</v>
      </c>
      <c r="ES161" s="2" t="s">
        <v>102</v>
      </c>
      <c r="ET161" s="2" t="str">
        <f>HYPERLINK(".\links\REFSEQ-INVERTEBRATE\AGAP004418-PA-REFSEQ-INVERTEBRATE.txt","AGAP004418-PA")</f>
        <v>AGAP004418-PA</v>
      </c>
      <c r="EU161" s="2" t="str">
        <f>HYPERLINK("http://www.ncbi.nlm.nih.gov/sutils/blink.cgi?pid=XP_313702.2","0.0")</f>
        <v>0.0</v>
      </c>
      <c r="EV161" s="2" t="str">
        <f>HYPERLINK("http://www.ncbi.nlm.nih.gov/protein/XP_313702.2","XP_313702.2")</f>
        <v>XP_313702.2</v>
      </c>
      <c r="EW161" s="2">
        <v>100</v>
      </c>
      <c r="EX161" s="2">
        <v>100</v>
      </c>
      <c r="EY161" s="2">
        <v>100</v>
      </c>
      <c r="EZ161" s="2" t="s">
        <v>105</v>
      </c>
    </row>
    <row r="162" spans="1:156" x14ac:dyDescent="0.25">
      <c r="A162" s="2" t="s">
        <v>1873</v>
      </c>
      <c r="B162" s="2">
        <v>0.33636480766822702</v>
      </c>
      <c r="C162" s="2">
        <f t="shared" si="2"/>
        <v>1.262571252343722</v>
      </c>
      <c r="D162" s="2">
        <v>5.5876180676108902</v>
      </c>
      <c r="E162" s="2">
        <v>11.9302548024861</v>
      </c>
      <c r="F162" s="2">
        <v>5.5229622491702595E-4</v>
      </c>
      <c r="G162" s="2">
        <v>2.6293505281983199E-2</v>
      </c>
      <c r="H162" s="2" t="s">
        <v>93</v>
      </c>
      <c r="I162" s="2" t="s">
        <v>94</v>
      </c>
      <c r="J162" s="2" t="str">
        <f>HYPERLINK("https://vectorbase.org/vectorbase/app/record/gene/AGAP001300","AGAP001300-RA")</f>
        <v>AGAP001300-RA</v>
      </c>
      <c r="K162" s="2" t="str">
        <f>HYPERLINK(".\links\pep\AGAP001300-PA-pep.txt","AGAP001300-PA")</f>
        <v>AGAP001300-PA</v>
      </c>
      <c r="L162" s="12" t="s">
        <v>95</v>
      </c>
      <c r="M162" s="2">
        <v>178</v>
      </c>
      <c r="N162" s="2">
        <v>0</v>
      </c>
      <c r="O162" s="2">
        <v>1</v>
      </c>
      <c r="P162" s="2" t="s">
        <v>102</v>
      </c>
      <c r="Q162" s="9" t="s">
        <v>1874</v>
      </c>
      <c r="R162" s="2" t="s">
        <v>1875</v>
      </c>
      <c r="S162" s="2" t="str">
        <f>HYPERLINK(".\links\REFSEQ-INVERTEBRATE\AGAP001300-PA-REFSEQ-INVERTEBRATE.txt","REFSEQ-INVERTEBRATE")</f>
        <v>REFSEQ-INVERTEBRATE</v>
      </c>
      <c r="T162" s="2">
        <v>2E-99</v>
      </c>
      <c r="V162" s="2" t="s">
        <v>1876</v>
      </c>
      <c r="W162" s="10" t="s">
        <v>1874</v>
      </c>
      <c r="X162" s="2" t="s">
        <v>1875</v>
      </c>
      <c r="Y162" s="2" t="str">
        <f>HYPERLINK(".\links\REFSEQ-INVERTEBRATE\AGAP001300-PA-REFSEQ-INVERTEBRATE.txt","REFSEQ-INVERTEBRATE")</f>
        <v>REFSEQ-INVERTEBRATE</v>
      </c>
      <c r="Z162" s="2">
        <v>0</v>
      </c>
      <c r="AB162" s="13" t="s">
        <v>102</v>
      </c>
      <c r="AC162" s="13" t="str">
        <f>HYPERLINK(".\links\Sigp\AGAP001300-PA-SigP.txt","CYT")</f>
        <v>CYT</v>
      </c>
      <c r="AD162" s="2" t="s">
        <v>102</v>
      </c>
      <c r="AE162" s="2">
        <v>19.585000000000001</v>
      </c>
      <c r="AF162" s="2">
        <v>9.5500000000000007</v>
      </c>
      <c r="AG162" s="2" t="s">
        <v>102</v>
      </c>
      <c r="AH162" s="2" t="s">
        <v>102</v>
      </c>
      <c r="AI162" s="2" t="s">
        <v>1877</v>
      </c>
      <c r="AJ162" s="13" t="str">
        <f>HYPERLINK(".\links\tmhmm\AGAP001300-PA-tmhmm.txt","3")</f>
        <v>3</v>
      </c>
      <c r="AK162" s="2">
        <v>34.299999999999997</v>
      </c>
      <c r="AL162" s="2">
        <v>25.3</v>
      </c>
      <c r="AM162" s="2">
        <v>40.4</v>
      </c>
      <c r="AN162" s="13" t="str">
        <f>HYPERLINK(".\links\gpi\AGAP001300-PA-gpi.txt","Y")</f>
        <v>Y</v>
      </c>
      <c r="AO162" s="14" t="str">
        <f>HYPERLINK(".\links\netoglyc\AGAP001300-PA-netoglyc.txt","2")</f>
        <v>2</v>
      </c>
      <c r="AP162" s="13">
        <v>11.8</v>
      </c>
      <c r="AQ162" s="2">
        <v>7.3</v>
      </c>
      <c r="AR162" s="2">
        <v>5.0999999999999996</v>
      </c>
      <c r="AS162" s="2" t="s">
        <v>104</v>
      </c>
      <c r="AT162" s="9" t="str">
        <f>HYPERLINK(".\links\NR-LIGHT\AGAP001300-PA-NR-LIGHT.txt","AGAP001300-PA")</f>
        <v>AGAP001300-PA</v>
      </c>
      <c r="AU162" s="2" t="str">
        <f>HYPERLINK("http://www.ncbi.nlm.nih.gov/sutils/blink.cgi?pid=XP_001238550.1","2E-099")</f>
        <v>2E-099</v>
      </c>
      <c r="AV162" s="2" t="str">
        <f>HYPERLINK("http://www.ncbi.nlm.nih.gov/protein/XP_001238550.1","XP_001238550.1")</f>
        <v>XP_001238550.1</v>
      </c>
      <c r="AW162" s="2">
        <v>100</v>
      </c>
      <c r="AX162" s="2">
        <v>100</v>
      </c>
      <c r="AY162" s="2">
        <v>100</v>
      </c>
      <c r="AZ162" s="2" t="s">
        <v>105</v>
      </c>
      <c r="BA162" s="9" t="str">
        <f>HYPERLINK(".\links\REFSEQ-INVERTEBRATE\AGAP001300-PA-REFSEQ-INVERTEBRATE.txt","AGAP001300-PA")</f>
        <v>AGAP001300-PA</v>
      </c>
      <c r="BB162" s="2" t="str">
        <f>HYPERLINK("http://www.ncbi.nlm.nih.gov/sutils/blink.cgi?pid=XP_001238550.1","2E-099")</f>
        <v>2E-099</v>
      </c>
      <c r="BC162" s="2" t="str">
        <f>HYPERLINK("http://www.ncbi.nlm.nih.gov/protein/XP_001238550.1","XP_001238550.1")</f>
        <v>XP_001238550.1</v>
      </c>
      <c r="BD162" s="2">
        <v>100</v>
      </c>
      <c r="BE162" s="2">
        <v>100</v>
      </c>
      <c r="BF162" s="2">
        <v>100</v>
      </c>
      <c r="BG162" s="2" t="s">
        <v>105</v>
      </c>
      <c r="BH162" s="9" t="str">
        <f>HYPERLINK(".\links\REFSEQ-PROTOZOA\AGAP001300-PA-REFSEQ-PROTOZOA.txt","hypothetical protein EMIHUDRAFT_61121")</f>
        <v>hypothetical protein EMIHUDRAFT_61121</v>
      </c>
      <c r="BI162" s="2" t="str">
        <f>HYPERLINK("http://www.ncbi.nlm.nih.gov/sutils/blink.cgi?pid=XP_005794395.1","1E-020")</f>
        <v>1E-020</v>
      </c>
      <c r="BJ162" s="2" t="str">
        <f>HYPERLINK("http://www.ncbi.nlm.nih.gov/protein/XP_005794395.1","XP_005794395.1")</f>
        <v>XP_005794395.1</v>
      </c>
      <c r="BK162" s="2">
        <v>44</v>
      </c>
      <c r="BL162" s="2">
        <v>62</v>
      </c>
      <c r="BM162" s="2">
        <v>104</v>
      </c>
      <c r="BN162" s="2" t="s">
        <v>169</v>
      </c>
      <c r="BO162" s="9" t="str">
        <f>HYPERLINK(".\links\SWISSP\AGAP001300-PA-SWISSP.txt","Transmembrane protein 256 homolog")</f>
        <v>Transmembrane protein 256 homolog</v>
      </c>
      <c r="BP162" s="2" t="str">
        <f>HYPERLINK("http://www.uniprot.org/uniprot/A4K526","2E-022")</f>
        <v>2E-022</v>
      </c>
      <c r="BQ162" s="2" t="str">
        <f>HYPERLINK("http://www.uniprot.org/uniprot/A4K526#expression","A4K526")</f>
        <v>A4K526</v>
      </c>
      <c r="BR162" s="2">
        <v>48</v>
      </c>
      <c r="BS162" s="2">
        <v>63</v>
      </c>
      <c r="BT162" s="2">
        <v>97</v>
      </c>
      <c r="BU162" s="2" t="s">
        <v>1878</v>
      </c>
      <c r="BV162" s="9" t="str">
        <f>HYPERLINK(".\links\FLYBASE\AGAP001300-PA-FLYBASE.txt","FBpp0306422")</f>
        <v>FBpp0306422</v>
      </c>
      <c r="BW162" s="2" t="str">
        <f>HYPERLINK("http://flybase.org/reports/FBgn0038739#alliance_summary_container","5E-33")</f>
        <v>5E-33</v>
      </c>
      <c r="BX162" s="2">
        <v>181</v>
      </c>
      <c r="BY162" s="2">
        <v>35</v>
      </c>
      <c r="BZ162" s="2">
        <v>52</v>
      </c>
      <c r="CA162" s="2">
        <v>101</v>
      </c>
      <c r="CB162" s="9" t="str">
        <f>HYPERLINK(".\links\CDD\AGAP001300-PA-CDD.txt","DUF423, Protein of unknown function (DUF423)")</f>
        <v>DUF423, Protein of unknown function (DUF423)</v>
      </c>
      <c r="CC162" s="15">
        <v>5.9999999999999997E-18</v>
      </c>
      <c r="CD162" s="2">
        <v>105.7</v>
      </c>
      <c r="CE162" s="2" t="s">
        <v>1879</v>
      </c>
      <c r="CF162" s="2" t="s">
        <v>1880</v>
      </c>
      <c r="CG162" s="9" t="str">
        <f>HYPERLINK(".\links\KOG\AGAP001300-PA-KOG.txt","Predicted small membrane protein")</f>
        <v>Predicted small membrane protein</v>
      </c>
      <c r="CH162" s="15">
        <v>6.9999999999999995E-29</v>
      </c>
      <c r="CI162" s="2">
        <v>104.5</v>
      </c>
      <c r="CJ162" s="2" t="s">
        <v>1881</v>
      </c>
      <c r="CK162" s="2" t="s">
        <v>284</v>
      </c>
      <c r="CL162" s="9" t="str">
        <f>HYPERLINK(".\links\PFAM\AGAP001300-PA-PFAM.txt","DUF423, Protein of unknown function (DUF423)")</f>
        <v>DUF423, Protein of unknown function (DUF423)</v>
      </c>
      <c r="CM162" s="15">
        <v>1.0000000000000001E-18</v>
      </c>
      <c r="CN162" s="2">
        <v>105.7</v>
      </c>
      <c r="CO162" s="2" t="s">
        <v>1879</v>
      </c>
      <c r="CP162" s="9" t="str">
        <f>HYPERLINK(".\links\SMART\AGAP001300-PA-SMART.txt","eIF1a, eukaryotic translation initiation factor 1A")</f>
        <v>eIF1a, eukaryotic translation initiation factor 1A</v>
      </c>
      <c r="CQ162" s="15">
        <v>1.3</v>
      </c>
      <c r="CR162" s="2">
        <v>15.7</v>
      </c>
      <c r="CS162" s="2" t="s">
        <v>1882</v>
      </c>
      <c r="CT162" s="2" t="s">
        <v>1876</v>
      </c>
      <c r="CU162" s="2" t="s">
        <v>1876</v>
      </c>
      <c r="CV162" s="2" t="s">
        <v>1876</v>
      </c>
      <c r="CW162" s="2" t="str">
        <f>HYPERLINK(".\links\pep\AGAP001300-PA-pep.txt","AGAP001300-PA")</f>
        <v>AGAP001300-PA</v>
      </c>
      <c r="CX162" s="2" t="s">
        <v>95</v>
      </c>
      <c r="CY162" s="2">
        <v>178</v>
      </c>
      <c r="CZ162" s="2" t="s">
        <v>113</v>
      </c>
      <c r="DA162" s="2" t="s">
        <v>1883</v>
      </c>
      <c r="DB162" s="2">
        <v>0</v>
      </c>
      <c r="DC162" s="2">
        <v>1</v>
      </c>
      <c r="DD162" s="2" t="str">
        <f>HYPERLINK("https://www.kegg.jp/kegg-bin/search_pathway_text?map=aga&amp;keyword=AGAP001300&amp;mode=1&amp;viewImage=true","AGAP001300")</f>
        <v>AGAP001300</v>
      </c>
      <c r="DE162" s="2" t="s">
        <v>1873</v>
      </c>
      <c r="DF162" s="2" t="s">
        <v>93</v>
      </c>
      <c r="DG162" s="2" t="s">
        <v>94</v>
      </c>
      <c r="DH162" s="2" t="str">
        <f>HYPERLINK("https://vectorbase.org/vectorbase/app/record/gene/AGAP001300","AGAP001300-RA")</f>
        <v>AGAP001300-RA</v>
      </c>
      <c r="DI162" s="2" t="s">
        <v>135</v>
      </c>
      <c r="DJ162" s="2">
        <v>712</v>
      </c>
      <c r="DK162" s="2" t="str">
        <f>HYPERLINK(".\links\netoglyc\AGAP001300-PA-netoglyc.txt","2")</f>
        <v>2</v>
      </c>
      <c r="DL162" s="2">
        <v>11.8</v>
      </c>
      <c r="DM162" s="2">
        <v>7.3</v>
      </c>
      <c r="DN162" s="2">
        <v>5.0999999999999996</v>
      </c>
      <c r="DO162" s="2" t="s">
        <v>104</v>
      </c>
      <c r="DP162" s="2" t="s">
        <v>102</v>
      </c>
      <c r="DQ162" s="2" t="str">
        <f>HYPERLINK(".\links\Sigp\AGAP001300-PA-SigP.txt","CYT")</f>
        <v>CYT</v>
      </c>
      <c r="DR162" s="2" t="s">
        <v>102</v>
      </c>
      <c r="DS162" s="2">
        <v>19.585000000000001</v>
      </c>
      <c r="DT162" s="2">
        <v>9.5500000000000007</v>
      </c>
      <c r="DU162" s="2" t="s">
        <v>102</v>
      </c>
      <c r="DV162" s="2" t="s">
        <v>102</v>
      </c>
      <c r="DW162" s="2" t="s">
        <v>1877</v>
      </c>
      <c r="DX162" s="2">
        <v>178</v>
      </c>
      <c r="DY162" s="12" t="str">
        <f>HYPERLINK(".\links\tmhmm\AGAP001300-PA-tmhmm.txt","3")</f>
        <v>3</v>
      </c>
      <c r="DZ162" s="2">
        <v>34.299999999999997</v>
      </c>
      <c r="EA162" s="2">
        <v>25.3</v>
      </c>
      <c r="EB162" s="2">
        <v>40.4</v>
      </c>
      <c r="EC162" s="2" t="str">
        <f>HYPERLINK(".\links\gpi\AGAP001300-PA-gpi.txt","")</f>
        <v/>
      </c>
      <c r="ED162" s="2">
        <v>0.33</v>
      </c>
      <c r="EF162" s="2">
        <v>2</v>
      </c>
      <c r="EG162" s="2" t="s">
        <v>102</v>
      </c>
      <c r="EH162" s="2" t="s">
        <v>102</v>
      </c>
      <c r="EI162" s="2">
        <v>11.7977528089888</v>
      </c>
      <c r="EJ162" s="2">
        <v>5.0561797752809001</v>
      </c>
      <c r="EK162" s="2">
        <v>7.30337078651685</v>
      </c>
      <c r="EL162" s="2">
        <v>12.3595505617978</v>
      </c>
      <c r="EM162" s="2" t="s">
        <v>102</v>
      </c>
      <c r="EN162" s="2" t="s">
        <v>102</v>
      </c>
      <c r="EO162" s="2" t="s">
        <v>102</v>
      </c>
      <c r="EP162" s="2" t="s">
        <v>102</v>
      </c>
      <c r="EQ162" s="2" t="s">
        <v>102</v>
      </c>
      <c r="ER162" s="2" t="s">
        <v>102</v>
      </c>
      <c r="ES162" s="2" t="s">
        <v>102</v>
      </c>
      <c r="ET162" s="2" t="str">
        <f>HYPERLINK(".\links\REFSEQ-INVERTEBRATE\AGAP001300-PA-REFSEQ-INVERTEBRATE.txt","AGAP001300-PA")</f>
        <v>AGAP001300-PA</v>
      </c>
      <c r="EU162" s="2" t="str">
        <f>HYPERLINK("http://www.ncbi.nlm.nih.gov/sutils/blink.cgi?pid=XP_001238550.1","1E-131")</f>
        <v>1E-131</v>
      </c>
      <c r="EV162" s="2" t="str">
        <f>HYPERLINK("http://www.ncbi.nlm.nih.gov/protein/XP_001238550.1","XP_001238550.1")</f>
        <v>XP_001238550.1</v>
      </c>
      <c r="EW162" s="2">
        <v>100</v>
      </c>
      <c r="EX162" s="2">
        <v>100</v>
      </c>
      <c r="EY162" s="2">
        <v>100</v>
      </c>
      <c r="EZ162" s="2" t="s">
        <v>105</v>
      </c>
    </row>
    <row r="163" spans="1:156" x14ac:dyDescent="0.25">
      <c r="A163" s="2" t="s">
        <v>1884</v>
      </c>
      <c r="B163" s="2">
        <v>0.336277953377002</v>
      </c>
      <c r="C163" s="2">
        <f t="shared" si="2"/>
        <v>1.2624952442981614</v>
      </c>
      <c r="D163" s="2">
        <v>7.2610694285047996</v>
      </c>
      <c r="E163" s="2">
        <v>15.52294020401</v>
      </c>
      <c r="F163" s="2">
        <v>8.1510053260504606E-5</v>
      </c>
      <c r="G163" s="2">
        <v>9.5872350077669498E-3</v>
      </c>
      <c r="H163" s="2" t="s">
        <v>93</v>
      </c>
      <c r="I163" s="2" t="s">
        <v>94</v>
      </c>
      <c r="J163" s="2" t="str">
        <f>HYPERLINK("https://vectorbase.org/vectorbase/app/record/gene/AGAP008503","AGAP008503-RB")</f>
        <v>AGAP008503-RB</v>
      </c>
      <c r="K163" s="2" t="str">
        <f>HYPERLINK(".\links\pep\AGAP008503-PB-pep.txt","AGAP008503-PB")</f>
        <v>AGAP008503-PB</v>
      </c>
      <c r="L163" s="12" t="s">
        <v>95</v>
      </c>
      <c r="M163" s="2">
        <v>174</v>
      </c>
      <c r="N163" s="2">
        <v>0</v>
      </c>
      <c r="O163" s="2">
        <v>0</v>
      </c>
      <c r="P163" s="2" t="s">
        <v>102</v>
      </c>
      <c r="Q163" s="9" t="s">
        <v>1885</v>
      </c>
      <c r="R163" s="2" t="s">
        <v>447</v>
      </c>
      <c r="S163" s="2" t="str">
        <f>HYPERLINK(".\links\NR-LIGHT\AGAP008503-PB-NR-LIGHT.txt","NR-LIGHT")</f>
        <v>NR-LIGHT</v>
      </c>
      <c r="T163" s="2">
        <v>2E-92</v>
      </c>
      <c r="U163" s="2">
        <v>100</v>
      </c>
      <c r="V163" s="2" t="s">
        <v>1886</v>
      </c>
      <c r="W163" s="10" t="s">
        <v>1887</v>
      </c>
      <c r="X163" s="2" t="s">
        <v>447</v>
      </c>
      <c r="Y163" s="2" t="str">
        <f>HYPERLINK(".\links\UNIPROTKB\AGAP008503-PB-UNIPROTKB.txt","UNIPROTKB")</f>
        <v>UNIPROTKB</v>
      </c>
      <c r="Z163" s="15">
        <v>4.0000000000000003E-17</v>
      </c>
      <c r="AA163" s="2">
        <v>72.099999999999994</v>
      </c>
      <c r="AB163" s="13" t="s">
        <v>102</v>
      </c>
      <c r="AC163" s="13" t="str">
        <f>HYPERLINK(".\links\Sigp\AGAP008503-PB-SigP.txt","CYT")</f>
        <v>CYT</v>
      </c>
      <c r="AD163" s="2" t="s">
        <v>102</v>
      </c>
      <c r="AE163" s="2">
        <v>18.693000000000001</v>
      </c>
      <c r="AF163" s="2">
        <v>9.35</v>
      </c>
      <c r="AG163" s="2" t="s">
        <v>102</v>
      </c>
      <c r="AH163" s="2" t="s">
        <v>102</v>
      </c>
      <c r="AI163" s="2" t="s">
        <v>1888</v>
      </c>
      <c r="AJ163" s="13">
        <v>0</v>
      </c>
      <c r="AK163" s="2" t="s">
        <v>102</v>
      </c>
      <c r="AL163" s="2" t="s">
        <v>102</v>
      </c>
      <c r="AM163" s="2" t="s">
        <v>102</v>
      </c>
      <c r="AN163" s="13" t="str">
        <f>HYPERLINK(".\links\gpi\AGAP008503-PB-gpi.txt","N")</f>
        <v>N</v>
      </c>
      <c r="AO163" s="14" t="str">
        <f>HYPERLINK(".\links\netoglyc\AGAP008503-PB-netoglyc.txt","1")</f>
        <v>1</v>
      </c>
      <c r="AP163" s="13">
        <v>9.8000000000000007</v>
      </c>
      <c r="AQ163" s="2">
        <v>10.9</v>
      </c>
      <c r="AR163" s="2">
        <v>0.6</v>
      </c>
      <c r="AS163" s="2" t="s">
        <v>104</v>
      </c>
      <c r="AT163" s="9" t="str">
        <f>HYPERLINK(".\links\NR-LIGHT\AGAP008503-PB-NR-LIGHT.txt","FUN14 domain-containing protein 1")</f>
        <v>FUN14 domain-containing protein 1</v>
      </c>
      <c r="AU163" s="2" t="str">
        <f>HYPERLINK("http://www.ncbi.nlm.nih.gov/sutils/blink.cgi?pid=ETN61611.1","2E-092")</f>
        <v>2E-092</v>
      </c>
      <c r="AV163" s="2" t="str">
        <f>HYPERLINK("http://www.ncbi.nlm.nih.gov/protein/ETN61611.1","ETN61611.1")</f>
        <v>ETN61611.1</v>
      </c>
      <c r="AW163" s="2">
        <v>96</v>
      </c>
      <c r="AX163" s="2">
        <v>99</v>
      </c>
      <c r="AY163" s="2">
        <v>100</v>
      </c>
      <c r="AZ163" s="2" t="s">
        <v>360</v>
      </c>
      <c r="BA163" s="9" t="str">
        <f>HYPERLINK(".\links\REFSEQ-INVERTEBRATE\AGAP008503-PB-REFSEQ-INVERTEBRATE.txt","FUN14 domain-containing protein 1-like isoform X1")</f>
        <v>FUN14 domain-containing protein 1-like isoform X1</v>
      </c>
      <c r="BB163" s="2" t="str">
        <f>HYPERLINK("http://www.ncbi.nlm.nih.gov/sutils/blink.cgi?pid=XP_019535729.1","9E-087")</f>
        <v>9E-087</v>
      </c>
      <c r="BC163" s="2" t="str">
        <f>HYPERLINK("http://www.ncbi.nlm.nih.gov/protein/XP_019535729.1","XP_019535729.1")</f>
        <v>XP_019535729.1</v>
      </c>
      <c r="BD163" s="2">
        <v>90</v>
      </c>
      <c r="BE163" s="2">
        <v>95</v>
      </c>
      <c r="BF163" s="2">
        <v>100</v>
      </c>
      <c r="BG163" s="2" t="s">
        <v>361</v>
      </c>
      <c r="BH163" s="9" t="str">
        <f>HYPERLINK(".\links\REFSEQ-PROTOZOA\AGAP008503-PB-REFSEQ-PROTOZOA.txt","hypothetical protein CAOG_02683")</f>
        <v>hypothetical protein CAOG_02683</v>
      </c>
      <c r="BI163" s="2" t="str">
        <f>HYPERLINK("http://www.ncbi.nlm.nih.gov/sutils/blink.cgi?pid=XP_004349433.2","2E-006")</f>
        <v>2E-006</v>
      </c>
      <c r="BJ163" s="2" t="str">
        <f>HYPERLINK("http://www.ncbi.nlm.nih.gov/protein/XP_004349433.2","XP_004349433.2")</f>
        <v>XP_004349433.2</v>
      </c>
      <c r="BK163" s="2">
        <v>40</v>
      </c>
      <c r="BL163" s="2">
        <v>57</v>
      </c>
      <c r="BM163" s="2">
        <v>46</v>
      </c>
      <c r="BN163" s="2" t="s">
        <v>106</v>
      </c>
      <c r="BO163" s="9" t="str">
        <f>HYPERLINK(".\links\SWISSP\AGAP008503-PB-SWISSP.txt","FUN14 domain-containing protein 2")</f>
        <v>FUN14 domain-containing protein 2</v>
      </c>
      <c r="BP163" s="2" t="str">
        <f>HYPERLINK("http://www.uniprot.org/uniprot/Q864V5","2E-014")</f>
        <v>2E-014</v>
      </c>
      <c r="BQ163" s="2" t="str">
        <f>HYPERLINK("http://www.uniprot.org/uniprot/Q864V5#expression","Q864V5")</f>
        <v>Q864V5</v>
      </c>
      <c r="BR163" s="2">
        <v>45</v>
      </c>
      <c r="BS163" s="2">
        <v>63</v>
      </c>
      <c r="BT163" s="2">
        <v>46</v>
      </c>
      <c r="BU163" s="2" t="s">
        <v>1889</v>
      </c>
      <c r="BV163" s="9" t="str">
        <f>HYPERLINK(".\links\FLYBASE\AGAP008503-PB-FLYBASE.txt","FBpp0079675")</f>
        <v>FBpp0079675</v>
      </c>
      <c r="BW163" s="2" t="str">
        <f>HYPERLINK("http://flybase.org/reports/FBgn0032200#alliance_summary_container","3E-57")</f>
        <v>3E-57</v>
      </c>
      <c r="BX163" s="2">
        <v>156</v>
      </c>
      <c r="BY163" s="2">
        <v>53</v>
      </c>
      <c r="BZ163" s="2">
        <v>72</v>
      </c>
      <c r="CA163" s="2">
        <v>100</v>
      </c>
      <c r="CB163" s="9" t="str">
        <f>HYPERLINK(".\links\CDD\AGAP008503-PB-CDD.txt","FUN14, FUN14 family")</f>
        <v>FUN14, FUN14 family</v>
      </c>
      <c r="CC163" s="15">
        <v>3.0000000000000001E-17</v>
      </c>
      <c r="CD163" s="2">
        <v>140.9</v>
      </c>
      <c r="CE163" s="2" t="s">
        <v>1890</v>
      </c>
      <c r="CF163" s="2" t="s">
        <v>1891</v>
      </c>
      <c r="CG163" s="9" t="str">
        <f>HYPERLINK(".\links\KOG\AGAP008503-PB-KOG.txt","Predicted membrane protein")</f>
        <v>Predicted membrane protein</v>
      </c>
      <c r="CH163" s="15">
        <v>7.0000000000000003E-16</v>
      </c>
      <c r="CI163" s="2">
        <v>108.7</v>
      </c>
      <c r="CJ163" s="2" t="s">
        <v>1892</v>
      </c>
      <c r="CK163" s="2" t="s">
        <v>284</v>
      </c>
      <c r="CL163" s="9" t="str">
        <f>HYPERLINK(".\links\PFAM\AGAP008503-PB-PFAM.txt","FUN14, FUN14 family")</f>
        <v>FUN14, FUN14 family</v>
      </c>
      <c r="CM163" s="15">
        <v>6.9999999999999997E-18</v>
      </c>
      <c r="CN163" s="2">
        <v>140.9</v>
      </c>
      <c r="CO163" s="2" t="s">
        <v>1890</v>
      </c>
      <c r="CP163" s="9" t="str">
        <f>HYPERLINK(".\links\SMART\AGAP008503-PB-SMART.txt","POLXc, DNA polymerase X family")</f>
        <v>POLXc, DNA polymerase X family</v>
      </c>
      <c r="CQ163" s="15">
        <v>4.3999999999999997E-2</v>
      </c>
      <c r="CR163" s="2">
        <v>18.3</v>
      </c>
      <c r="CS163" s="2" t="s">
        <v>1893</v>
      </c>
      <c r="CT163" s="2" t="s">
        <v>1886</v>
      </c>
      <c r="CU163" s="2" t="s">
        <v>1886</v>
      </c>
      <c r="CV163" s="2" t="s">
        <v>1886</v>
      </c>
      <c r="CW163" s="2" t="str">
        <f>HYPERLINK(".\links\pep\AGAP008503-PB-pep.txt","AGAP008503-PB")</f>
        <v>AGAP008503-PB</v>
      </c>
      <c r="CX163" s="2" t="s">
        <v>95</v>
      </c>
      <c r="CY163" s="2">
        <v>174</v>
      </c>
      <c r="CZ163" s="2" t="s">
        <v>113</v>
      </c>
      <c r="DA163" s="2" t="s">
        <v>1894</v>
      </c>
      <c r="DB163" s="2">
        <v>0</v>
      </c>
      <c r="DC163" s="2">
        <v>0</v>
      </c>
      <c r="DD163" s="2" t="str">
        <f>HYPERLINK("https://www.kegg.jp/kegg-bin/search_pathway_text?map=aga&amp;keyword=AGAP008503&amp;mode=1&amp;viewImage=true","AGAP008503")</f>
        <v>AGAP008503</v>
      </c>
      <c r="DE163" s="2" t="s">
        <v>1884</v>
      </c>
      <c r="DF163" s="2" t="s">
        <v>93</v>
      </c>
      <c r="DG163" s="2" t="s">
        <v>94</v>
      </c>
      <c r="DH163" s="2" t="str">
        <f>HYPERLINK("https://vectorbase.org/vectorbase/app/record/gene/AGAP008503","AGAP008503-RB")</f>
        <v>AGAP008503-RB</v>
      </c>
      <c r="DI163" s="2" t="s">
        <v>115</v>
      </c>
      <c r="DJ163" s="2">
        <v>1146</v>
      </c>
      <c r="DK163" s="2" t="str">
        <f>HYPERLINK(".\links\netoglyc\AGAP008503-PB-netoglyc.txt","1")</f>
        <v>1</v>
      </c>
      <c r="DL163" s="2">
        <v>9.8000000000000007</v>
      </c>
      <c r="DM163" s="2">
        <v>10.9</v>
      </c>
      <c r="DN163" s="2">
        <v>0.6</v>
      </c>
      <c r="DO163" s="2" t="s">
        <v>104</v>
      </c>
      <c r="DP163" s="2" t="s">
        <v>102</v>
      </c>
      <c r="DQ163" s="2" t="str">
        <f>HYPERLINK(".\links\Sigp\AGAP008503-PB-SigP.txt","CYT")</f>
        <v>CYT</v>
      </c>
      <c r="DR163" s="2" t="s">
        <v>102</v>
      </c>
      <c r="DS163" s="2">
        <v>18.693000000000001</v>
      </c>
      <c r="DT163" s="2">
        <v>9.35</v>
      </c>
      <c r="DU163" s="2" t="s">
        <v>102</v>
      </c>
      <c r="DV163" s="2" t="s">
        <v>102</v>
      </c>
      <c r="DW163" s="2" t="s">
        <v>1888</v>
      </c>
      <c r="DX163" s="2">
        <v>174</v>
      </c>
      <c r="DY163" s="12">
        <v>0</v>
      </c>
      <c r="DZ163" s="2" t="s">
        <v>102</v>
      </c>
      <c r="EA163" s="2" t="s">
        <v>102</v>
      </c>
      <c r="EB163" s="2" t="s">
        <v>102</v>
      </c>
      <c r="EC163" s="2" t="str">
        <f>HYPERLINK(".\links\gpi\AGAP008503-PB-gpi.txt","N")</f>
        <v>N</v>
      </c>
      <c r="ED163" s="2">
        <v>0.51</v>
      </c>
      <c r="EF163" s="2">
        <v>2</v>
      </c>
      <c r="EG163" s="2" t="s">
        <v>102</v>
      </c>
      <c r="EH163" s="2" t="s">
        <v>102</v>
      </c>
      <c r="EI163" s="2">
        <v>9.7701149425287408</v>
      </c>
      <c r="EJ163" s="2">
        <v>0.57471264367816099</v>
      </c>
      <c r="EK163" s="2">
        <v>10.919540229885101</v>
      </c>
      <c r="EL163" s="2">
        <v>11.4942528735632</v>
      </c>
      <c r="EM163" s="2" t="s">
        <v>102</v>
      </c>
      <c r="EN163" s="2" t="s">
        <v>102</v>
      </c>
      <c r="EO163" s="2" t="s">
        <v>102</v>
      </c>
      <c r="EP163" s="2" t="s">
        <v>102</v>
      </c>
      <c r="EQ163" s="2" t="s">
        <v>102</v>
      </c>
      <c r="ER163" s="2" t="s">
        <v>102</v>
      </c>
      <c r="ES163" s="2" t="s">
        <v>102</v>
      </c>
      <c r="ET163" s="2" t="str">
        <f>HYPERLINK(".\links\REFSEQ-INVERTEBRATE\AGAP008503-PB-REFSEQ-INVERTEBRATE.txt","FUN14 domain-containing protein 1")</f>
        <v>FUN14 domain-containing protein 1</v>
      </c>
      <c r="EU163" s="2" t="str">
        <f>HYPERLINK("http://www.ncbi.nlm.nih.gov/sutils/blink.cgi?pid=XP_035910907.1","1E-121")</f>
        <v>1E-121</v>
      </c>
      <c r="EV163" s="2" t="str">
        <f>HYPERLINK("http://www.ncbi.nlm.nih.gov/protein/XP_035910907.1","XP_035910907.1")</f>
        <v>XP_035910907.1</v>
      </c>
      <c r="EW163" s="2">
        <v>99</v>
      </c>
      <c r="EX163" s="2">
        <v>99</v>
      </c>
      <c r="EY163" s="2">
        <v>100</v>
      </c>
      <c r="EZ163" s="2" t="s">
        <v>370</v>
      </c>
    </row>
    <row r="164" spans="1:156" x14ac:dyDescent="0.25">
      <c r="A164" s="2" t="s">
        <v>1895</v>
      </c>
      <c r="B164" s="2">
        <v>0.33602293863584498</v>
      </c>
      <c r="C164" s="2">
        <f t="shared" si="2"/>
        <v>1.2622721018906029</v>
      </c>
      <c r="D164" s="2">
        <v>8.9481774185401992</v>
      </c>
      <c r="E164" s="2">
        <v>8.9424269047117395</v>
      </c>
      <c r="F164" s="2">
        <v>2.7862229158530701E-3</v>
      </c>
      <c r="G164" s="2">
        <v>4.8684799354134702E-2</v>
      </c>
      <c r="H164" s="2" t="s">
        <v>1896</v>
      </c>
      <c r="I164" s="2" t="s">
        <v>102</v>
      </c>
      <c r="J164" s="2" t="str">
        <f>HYPERLINK("https://vectorbase.org/vectorbase/app/record/gene/AGAP012895","AGAP012895-RA")</f>
        <v>AGAP012895-RA</v>
      </c>
      <c r="K164" s="2" t="str">
        <f>HYPERLINK(".\links\pep\AGAP012895-PA-pep.txt","AGAP012895-PA")</f>
        <v>AGAP012895-PA</v>
      </c>
      <c r="L164" s="12" t="s">
        <v>95</v>
      </c>
      <c r="M164" s="2">
        <v>124</v>
      </c>
      <c r="N164" s="2">
        <v>0</v>
      </c>
      <c r="O164" s="2">
        <v>0</v>
      </c>
      <c r="P164" s="2" t="s">
        <v>1897</v>
      </c>
      <c r="Q164" s="9" t="s">
        <v>1898</v>
      </c>
      <c r="R164" s="2" t="s">
        <v>388</v>
      </c>
      <c r="S164" s="2" t="str">
        <f>HYPERLINK(".\links\CDD\AGAP012895-PA-CDD.txt","CDD")</f>
        <v>CDD</v>
      </c>
      <c r="T164" s="2">
        <v>2E-52</v>
      </c>
      <c r="U164" s="2">
        <v>94.7</v>
      </c>
      <c r="V164" s="2" t="s">
        <v>1899</v>
      </c>
      <c r="W164" s="10" t="s">
        <v>183</v>
      </c>
      <c r="X164" s="2" t="s">
        <v>388</v>
      </c>
      <c r="Y164" s="2" t="str">
        <f>HYPERLINK(".\links\COG\AGAP012895-PA-COG.txt","COG")</f>
        <v>COG</v>
      </c>
      <c r="Z164" s="15">
        <v>6.0000000000000002E-58</v>
      </c>
      <c r="AA164" s="2">
        <v>87.1</v>
      </c>
      <c r="AB164" s="13" t="s">
        <v>102</v>
      </c>
      <c r="AC164" s="13" t="str">
        <f>HYPERLINK(".\links\Sigp\AGAP012895-PA-SigP.txt","CYT")</f>
        <v>CYT</v>
      </c>
      <c r="AD164" s="2" t="s">
        <v>102</v>
      </c>
      <c r="AE164" s="2">
        <v>13.375999999999999</v>
      </c>
      <c r="AF164" s="2">
        <v>10.72</v>
      </c>
      <c r="AG164" s="2" t="s">
        <v>102</v>
      </c>
      <c r="AH164" s="2" t="s">
        <v>102</v>
      </c>
      <c r="AI164" s="2" t="s">
        <v>1900</v>
      </c>
      <c r="AJ164" s="13">
        <v>0</v>
      </c>
      <c r="AK164" s="2" t="s">
        <v>102</v>
      </c>
      <c r="AL164" s="2" t="s">
        <v>102</v>
      </c>
      <c r="AM164" s="2" t="s">
        <v>102</v>
      </c>
      <c r="AN164" s="13" t="str">
        <f>HYPERLINK(".\links\gpi\AGAP012895-PA-gpi.txt","N")</f>
        <v>N</v>
      </c>
      <c r="AO164" s="14" t="str">
        <f>HYPERLINK(".\links\netoglyc\AGAP012895-PA-netoglyc.txt","0")</f>
        <v>0</v>
      </c>
      <c r="AP164" s="13">
        <v>5.6</v>
      </c>
      <c r="AQ164" s="2">
        <v>11.3</v>
      </c>
      <c r="AR164" s="2">
        <v>4</v>
      </c>
      <c r="AS164" s="2" t="s">
        <v>104</v>
      </c>
      <c r="AT164" s="9" t="str">
        <f>HYPERLINK(".\links\NR-LIGHT\AGAP012895-PA-NR-LIGHT.txt","histone H2A-like")</f>
        <v>histone H2A-like</v>
      </c>
      <c r="AU164" s="2" t="str">
        <f>HYPERLINK("http://www.ncbi.nlm.nih.gov/sutils/blink.cgi?pid=XP_021712017.1","9E-063")</f>
        <v>9E-063</v>
      </c>
      <c r="AV164" s="2" t="str">
        <f>HYPERLINK("http://www.ncbi.nlm.nih.gov/protein/XP_021712017.1","XP_021712017.1")</f>
        <v>XP_021712017.1</v>
      </c>
      <c r="AW164" s="2">
        <v>100</v>
      </c>
      <c r="AX164" s="2">
        <v>100</v>
      </c>
      <c r="AY164" s="2">
        <v>75</v>
      </c>
      <c r="AZ164" s="2" t="s">
        <v>391</v>
      </c>
      <c r="BA164" s="9" t="str">
        <f>HYPERLINK(".\links\REFSEQ-INVERTEBRATE\AGAP012895-PA-REFSEQ-INVERTEBRATE.txt","histone H2A")</f>
        <v>histone H2A</v>
      </c>
      <c r="BB164" s="2" t="str">
        <f>HYPERLINK("http://www.ncbi.nlm.nih.gov/sutils/blink.cgi?pid=XP_020810624.1","8E-063")</f>
        <v>8E-063</v>
      </c>
      <c r="BC164" s="2" t="str">
        <f>HYPERLINK("http://www.ncbi.nlm.nih.gov/protein/XP_020810624.1","XP_020810624.1")</f>
        <v>XP_020810624.1</v>
      </c>
      <c r="BD164" s="2">
        <v>100</v>
      </c>
      <c r="BE164" s="2">
        <v>100</v>
      </c>
      <c r="BF164" s="2">
        <v>100</v>
      </c>
      <c r="BG164" s="2" t="s">
        <v>1901</v>
      </c>
      <c r="BH164" s="9" t="str">
        <f>HYPERLINK(".\links\REFSEQ-PROTOZOA\AGAP012895-PA-REFSEQ-PROTOZOA.txt","histone H2A")</f>
        <v>histone H2A</v>
      </c>
      <c r="BI164" s="2" t="str">
        <f>HYPERLINK("http://www.ncbi.nlm.nih.gov/sutils/blink.cgi?pid=XP_014151263.1","8E-054")</f>
        <v>8E-054</v>
      </c>
      <c r="BJ164" s="2" t="str">
        <f>HYPERLINK("http://www.ncbi.nlm.nih.gov/protein/XP_014151263.1","XP_014151263.1")</f>
        <v>XP_014151263.1</v>
      </c>
      <c r="BK164" s="2">
        <v>85</v>
      </c>
      <c r="BL164" s="2">
        <v>93</v>
      </c>
      <c r="BM164" s="2">
        <v>93</v>
      </c>
      <c r="BN164" s="2" t="s">
        <v>393</v>
      </c>
      <c r="BO164" s="9" t="str">
        <f>HYPERLINK(".\links\SWISSP\AGAP012895-PA-SWISSP.txt","Histone H2A")</f>
        <v>Histone H2A</v>
      </c>
      <c r="BP164" s="2" t="str">
        <f>HYPERLINK("http://www.uniprot.org/uniprot/P84057","8E-064")</f>
        <v>8E-064</v>
      </c>
      <c r="BQ164" s="2" t="str">
        <f>HYPERLINK("http://www.uniprot.org/uniprot/P84057#expression","P84057")</f>
        <v>P84057</v>
      </c>
      <c r="BR164" s="2">
        <v>100</v>
      </c>
      <c r="BS164" s="2">
        <v>100</v>
      </c>
      <c r="BT164" s="2">
        <v>100</v>
      </c>
      <c r="BU164" s="2" t="s">
        <v>394</v>
      </c>
      <c r="BV164" s="9" t="str">
        <f>HYPERLINK(".\links\FLYBASE\AGAP012895-PA-FLYBASE.txt","FBpp0091111")</f>
        <v>FBpp0091111</v>
      </c>
      <c r="BW164" s="2" t="str">
        <f>HYPERLINK("http://flybase.org/reports/FBgn0053865#alliance_summary_container","3E-85")</f>
        <v>3E-85</v>
      </c>
      <c r="BX164" s="2">
        <v>124</v>
      </c>
      <c r="BY164" s="2">
        <v>100</v>
      </c>
      <c r="BZ164" s="2">
        <v>100</v>
      </c>
      <c r="CA164" s="2">
        <v>100</v>
      </c>
      <c r="CB164" s="9" t="str">
        <f>HYPERLINK(".\links\CDD\AGAP012895-PA-CDD.txt","PTZ00017, histone H2A")</f>
        <v>PTZ00017, histone H2A</v>
      </c>
      <c r="CC164" s="15">
        <v>2E-52</v>
      </c>
      <c r="CD164" s="2">
        <v>94.8</v>
      </c>
      <c r="CE164" s="2" t="s">
        <v>1902</v>
      </c>
      <c r="CF164" s="2" t="s">
        <v>1903</v>
      </c>
      <c r="CG164" s="9" t="str">
        <f>HYPERLINK(".\links\KOG\AGAP012895-PA-KOG.txt","Histone 2A")</f>
        <v>Histone 2A</v>
      </c>
      <c r="CH164" s="15">
        <v>9.0000000000000001E-52</v>
      </c>
      <c r="CI164" s="2">
        <v>95.4</v>
      </c>
      <c r="CJ164" s="2" t="s">
        <v>1904</v>
      </c>
      <c r="CK164" s="2" t="s">
        <v>398</v>
      </c>
      <c r="CL164" s="9" t="str">
        <f>HYPERLINK(".\links\PFAM\AGAP012895-PA-PFAM.txt","Histone_H2A_C, C-terminus of histone H2A")</f>
        <v>Histone_H2A_C, C-terminus of histone H2A</v>
      </c>
      <c r="CM164" s="15">
        <v>4.0000000000000003E-15</v>
      </c>
      <c r="CN164" s="2">
        <v>100</v>
      </c>
      <c r="CO164" s="2" t="s">
        <v>1905</v>
      </c>
      <c r="CP164" s="9" t="str">
        <f>HYPERLINK(".\links\SMART\AGAP012895-PA-SMART.txt","H2A, Histone 2A")</f>
        <v>H2A, Histone 2A</v>
      </c>
      <c r="CQ164" s="15">
        <v>5E-52</v>
      </c>
      <c r="CR164" s="2">
        <v>100</v>
      </c>
      <c r="CS164" s="2" t="s">
        <v>1906</v>
      </c>
      <c r="CT164" s="2" t="s">
        <v>1899</v>
      </c>
      <c r="CU164" s="2" t="s">
        <v>1899</v>
      </c>
      <c r="CV164" s="2" t="s">
        <v>1899</v>
      </c>
      <c r="CW164" s="2" t="str">
        <f>HYPERLINK(".\links\pep\AGAP012895-PA-pep.txt","AGAP012895-PA")</f>
        <v>AGAP012895-PA</v>
      </c>
      <c r="CX164" s="2" t="s">
        <v>95</v>
      </c>
      <c r="CY164" s="2">
        <v>124</v>
      </c>
      <c r="CZ164" s="2" t="s">
        <v>113</v>
      </c>
      <c r="DA164" s="2">
        <v>0</v>
      </c>
      <c r="DB164" s="2">
        <v>0</v>
      </c>
      <c r="DD164" s="2" t="str">
        <f>HYPERLINK("https://www.kegg.jp/kegg-bin/search_pathway_text?map=aga&amp;keyword=AGAP012895&amp;mode=1&amp;viewImage=true","AGAP012895")</f>
        <v>AGAP012895</v>
      </c>
      <c r="DE164" s="2" t="s">
        <v>1895</v>
      </c>
      <c r="DF164" s="2" t="s">
        <v>1896</v>
      </c>
      <c r="DG164" s="2" t="s">
        <v>102</v>
      </c>
      <c r="DH164" s="2" t="str">
        <f>HYPERLINK("https://vectorbase.org/vectorbase/app/record/gene/AGAP012895","AGAP012895-RA")</f>
        <v>AGAP012895-RA</v>
      </c>
      <c r="DI164" s="2" t="s">
        <v>90</v>
      </c>
      <c r="DJ164" s="2">
        <v>630</v>
      </c>
      <c r="DK164" s="2" t="str">
        <f>HYPERLINK(".\links\netoglyc\AGAP012895-PA-netoglyc.txt","0")</f>
        <v>0</v>
      </c>
      <c r="DL164" s="2">
        <v>5.6</v>
      </c>
      <c r="DM164" s="2">
        <v>11.3</v>
      </c>
      <c r="DN164" s="2">
        <v>4</v>
      </c>
      <c r="DO164" s="2" t="s">
        <v>104</v>
      </c>
      <c r="DP164" s="2" t="s">
        <v>102</v>
      </c>
      <c r="DQ164" s="2" t="str">
        <f>HYPERLINK(".\links\Sigp\AGAP012895-PA-SigP.txt","CYT")</f>
        <v>CYT</v>
      </c>
      <c r="DR164" s="2" t="s">
        <v>102</v>
      </c>
      <c r="DS164" s="2">
        <v>13.375999999999999</v>
      </c>
      <c r="DT164" s="2">
        <v>10.72</v>
      </c>
      <c r="DU164" s="2" t="s">
        <v>102</v>
      </c>
      <c r="DV164" s="2" t="s">
        <v>102</v>
      </c>
      <c r="DW164" s="2" t="s">
        <v>1900</v>
      </c>
      <c r="DX164" s="2">
        <v>124</v>
      </c>
      <c r="DY164" s="12">
        <v>0</v>
      </c>
      <c r="DZ164" s="2" t="s">
        <v>102</v>
      </c>
      <c r="EA164" s="2" t="s">
        <v>102</v>
      </c>
      <c r="EB164" s="2" t="s">
        <v>102</v>
      </c>
      <c r="EC164" s="2" t="str">
        <f>HYPERLINK(".\links\gpi\AGAP012895-PA-gpi.txt","N")</f>
        <v>N</v>
      </c>
      <c r="ED164" s="2">
        <v>0.47</v>
      </c>
      <c r="EF164" s="2">
        <v>0</v>
      </c>
      <c r="EG164" s="2" t="s">
        <v>102</v>
      </c>
      <c r="EH164" s="2" t="s">
        <v>102</v>
      </c>
      <c r="EI164" s="2">
        <v>5.6451612903225801</v>
      </c>
      <c r="EJ164" s="2">
        <v>4.0322580645161299</v>
      </c>
      <c r="EK164" s="2">
        <v>11.290322580645199</v>
      </c>
      <c r="EL164" s="2">
        <v>15.322580645161301</v>
      </c>
      <c r="EM164" s="2" t="s">
        <v>102</v>
      </c>
      <c r="EN164" s="2">
        <v>3</v>
      </c>
      <c r="EO164" s="2">
        <v>3</v>
      </c>
      <c r="EP164" s="2" t="s">
        <v>102</v>
      </c>
      <c r="EQ164" s="2" t="s">
        <v>102</v>
      </c>
      <c r="ER164" s="2" t="s">
        <v>102</v>
      </c>
      <c r="ES164" s="2" t="s">
        <v>102</v>
      </c>
      <c r="ET164" s="2" t="str">
        <f>HYPERLINK(".\links\REFSEQ-INVERTEBRATE\AGAP012895-PA-REFSEQ-INVERTEBRATE.txt","histone H2A")</f>
        <v>histone H2A</v>
      </c>
      <c r="EU164" s="2" t="str">
        <f>HYPERLINK("http://www.ncbi.nlm.nih.gov/sutils/blink.cgi?pid=XP_026499492.1","5E-83")</f>
        <v>5E-83</v>
      </c>
      <c r="EV164" s="2" t="str">
        <f>HYPERLINK("http://www.ncbi.nlm.nih.gov/protein/XP_026499492.1","XP_026499492.1")</f>
        <v>XP_026499492.1</v>
      </c>
      <c r="EW164" s="2">
        <v>100</v>
      </c>
      <c r="EX164" s="2">
        <v>100</v>
      </c>
      <c r="EY164" s="2">
        <v>100</v>
      </c>
      <c r="EZ164" s="2" t="s">
        <v>401</v>
      </c>
    </row>
    <row r="165" spans="1:156" x14ac:dyDescent="0.25">
      <c r="A165" s="2" t="s">
        <v>1907</v>
      </c>
      <c r="B165" s="2">
        <v>0.335820608748369</v>
      </c>
      <c r="C165" s="2">
        <f t="shared" si="2"/>
        <v>1.2620950877212498</v>
      </c>
      <c r="D165" s="2">
        <v>6.0100082484498598</v>
      </c>
      <c r="E165" s="2">
        <v>9.6532976557272008</v>
      </c>
      <c r="F165" s="2">
        <v>1.89011970289235E-3</v>
      </c>
      <c r="G165" s="2">
        <v>4.2483670186033502E-2</v>
      </c>
      <c r="H165" s="2" t="s">
        <v>93</v>
      </c>
      <c r="I165" s="2" t="s">
        <v>94</v>
      </c>
      <c r="J165" s="2" t="str">
        <f>HYPERLINK("https://vectorbase.org/vectorbase/app/record/gene/AGAP002581","AGAP002581-RA")</f>
        <v>AGAP002581-RA</v>
      </c>
      <c r="K165" s="2" t="str">
        <f>HYPERLINK(".\links\pep\AGAP002581-PA-pep.txt","AGAP002581-PA")</f>
        <v>AGAP002581-PA</v>
      </c>
      <c r="L165" s="12" t="s">
        <v>95</v>
      </c>
      <c r="M165" s="2">
        <v>718</v>
      </c>
      <c r="N165" s="2">
        <v>0</v>
      </c>
      <c r="O165" s="2">
        <v>2</v>
      </c>
      <c r="P165" s="2" t="s">
        <v>102</v>
      </c>
      <c r="Q165" s="9" t="s">
        <v>1908</v>
      </c>
      <c r="R165" s="2" t="s">
        <v>388</v>
      </c>
      <c r="S165" s="2" t="str">
        <f>HYPERLINK(".\links\KOG\AGAP002581-PA-KOG.txt","KOG")</f>
        <v>KOG</v>
      </c>
      <c r="T165" s="2">
        <v>6E-37</v>
      </c>
      <c r="U165" s="2">
        <v>92.4</v>
      </c>
      <c r="V165" s="2" t="s">
        <v>1909</v>
      </c>
      <c r="W165" s="10" t="s">
        <v>1910</v>
      </c>
      <c r="X165" s="2" t="s">
        <v>388</v>
      </c>
      <c r="Y165" s="2" t="str">
        <f>HYPERLINK(".\links\UNIPROTKB\AGAP002581-PA-UNIPROTKB.txt","UNIPROTKB")</f>
        <v>UNIPROTKB</v>
      </c>
      <c r="Z165" s="15">
        <v>7.9999999999999998E-48</v>
      </c>
      <c r="AA165" s="2">
        <v>90.7</v>
      </c>
      <c r="AB165" s="13" t="s">
        <v>102</v>
      </c>
      <c r="AC165" s="13" t="str">
        <f>HYPERLINK(".\links\Sigp\AGAP002581-PA-SigP.txt","CYT")</f>
        <v>CYT</v>
      </c>
      <c r="AD165" s="2" t="s">
        <v>102</v>
      </c>
      <c r="AE165" s="2">
        <v>80.884</v>
      </c>
      <c r="AF165" s="2">
        <v>5.43</v>
      </c>
      <c r="AG165" s="2" t="s">
        <v>102</v>
      </c>
      <c r="AH165" s="2" t="s">
        <v>102</v>
      </c>
      <c r="AI165" s="2" t="s">
        <v>211</v>
      </c>
      <c r="AJ165" s="13">
        <v>0</v>
      </c>
      <c r="AK165" s="2" t="s">
        <v>102</v>
      </c>
      <c r="AL165" s="2" t="s">
        <v>102</v>
      </c>
      <c r="AM165" s="2" t="s">
        <v>102</v>
      </c>
      <c r="AN165" s="13" t="str">
        <f>HYPERLINK(".\links\gpi\AGAP002581-PA-gpi.txt","N")</f>
        <v>N</v>
      </c>
      <c r="AO165" s="14" t="str">
        <f>HYPERLINK(".\links\netoglyc\AGAP002581-PA-netoglyc.txt","1")</f>
        <v>1</v>
      </c>
      <c r="AP165" s="13">
        <v>12.8</v>
      </c>
      <c r="AQ165" s="2">
        <v>4.9000000000000004</v>
      </c>
      <c r="AR165" s="2">
        <v>4.9000000000000004</v>
      </c>
      <c r="AS165" s="2" t="s">
        <v>104</v>
      </c>
      <c r="AT165" s="9" t="str">
        <f>HYPERLINK(".\links\NR-LIGHT\AGAP002581-PA-NR-LIGHT.txt","AGAP002581-PA")</f>
        <v>AGAP002581-PA</v>
      </c>
      <c r="AU165" s="2" t="str">
        <f>HYPERLINK("http://www.ncbi.nlm.nih.gov/sutils/blink.cgi?pid=XP_312355.3","0.0")</f>
        <v>0.0</v>
      </c>
      <c r="AV165" s="2" t="str">
        <f>HYPERLINK("http://www.ncbi.nlm.nih.gov/protein/XP_312355.3","XP_312355.3")</f>
        <v>XP_312355.3</v>
      </c>
      <c r="AW165" s="2">
        <v>95</v>
      </c>
      <c r="AX165" s="2">
        <v>95</v>
      </c>
      <c r="AY165" s="2">
        <v>105</v>
      </c>
      <c r="AZ165" s="2" t="s">
        <v>105</v>
      </c>
      <c r="BA165" s="9" t="str">
        <f>HYPERLINK(".\links\REFSEQ-INVERTEBRATE\AGAP002581-PA-REFSEQ-INVERTEBRATE.txt","AGAP002581-PA")</f>
        <v>AGAP002581-PA</v>
      </c>
      <c r="BB165" s="2" t="str">
        <f>HYPERLINK("http://www.ncbi.nlm.nih.gov/sutils/blink.cgi?pid=XP_312355.3","0.0")</f>
        <v>0.0</v>
      </c>
      <c r="BC165" s="2" t="str">
        <f>HYPERLINK("http://www.ncbi.nlm.nih.gov/protein/XP_312355.3","XP_312355.3")</f>
        <v>XP_312355.3</v>
      </c>
      <c r="BD165" s="2">
        <v>95</v>
      </c>
      <c r="BE165" s="2">
        <v>95</v>
      </c>
      <c r="BF165" s="2">
        <v>105</v>
      </c>
      <c r="BG165" s="2" t="s">
        <v>105</v>
      </c>
      <c r="BH165" s="9" t="str">
        <f>HYPERLINK(".\links\REFSEQ-PROTOZOA\AGAP002581-PA-REFSEQ-PROTOZOA.txt","hypothetical protein CAOG_08824")</f>
        <v>hypothetical protein CAOG_08824</v>
      </c>
      <c r="BI165" s="2" t="str">
        <f>HYPERLINK("http://www.ncbi.nlm.nih.gov/sutils/blink.cgi?pid=XP_011270464.1","5E-041")</f>
        <v>5E-041</v>
      </c>
      <c r="BJ165" s="2" t="str">
        <f>HYPERLINK("http://www.ncbi.nlm.nih.gov/protein/XP_011270464.1","XP_011270464.1")</f>
        <v>XP_011270464.1</v>
      </c>
      <c r="BK165" s="2">
        <v>25</v>
      </c>
      <c r="BL165" s="2">
        <v>41</v>
      </c>
      <c r="BM165" s="2">
        <v>91</v>
      </c>
      <c r="BN165" s="2" t="s">
        <v>106</v>
      </c>
      <c r="BO165" s="9" t="str">
        <f>HYPERLINK(".\links\SWISSP\AGAP002581-PA-SWISSP.txt","DNA helicase MCM8")</f>
        <v>DNA helicase MCM8</v>
      </c>
      <c r="BP165" s="2" t="str">
        <f>HYPERLINK("http://www.uniprot.org/uniprot/I0IUP3","5E-047")</f>
        <v>5E-047</v>
      </c>
      <c r="BQ165" s="2" t="str">
        <f>HYPERLINK("http://www.uniprot.org/uniprot/I0IUP3#expression","I0IUP3")</f>
        <v>I0IUP3</v>
      </c>
      <c r="BR165" s="2">
        <v>25</v>
      </c>
      <c r="BS165" s="2">
        <v>42</v>
      </c>
      <c r="BT165" s="2">
        <v>94</v>
      </c>
      <c r="BU165" s="2" t="s">
        <v>483</v>
      </c>
      <c r="BV165" s="9" t="str">
        <f>HYPERLINK(".\links\FLYBASE\AGAP002581-PA-FLYBASE.txt","FBpp0306662")</f>
        <v>FBpp0306662</v>
      </c>
      <c r="BW165" s="2" t="str">
        <f>HYPERLINK("http://flybase.org/reports/FBgn0003227#alliance_summary_container","8E-49")</f>
        <v>8E-49</v>
      </c>
      <c r="BX165" s="2">
        <v>885</v>
      </c>
      <c r="BY165" s="2">
        <v>25</v>
      </c>
      <c r="BZ165" s="2">
        <v>42</v>
      </c>
      <c r="CA165" s="2">
        <v>91</v>
      </c>
      <c r="CB165" s="9" t="str">
        <f>HYPERLINK(".\links\CDD\AGAP002581-PA-CDD.txt","MCM2, Predicted ATPase involved in replication control, Cdc46/Mcm family")</f>
        <v>MCM2, Predicted ATPase involved in replication control, Cdc46/Mcm family</v>
      </c>
      <c r="CC165" s="15">
        <v>6.9999999999999999E-36</v>
      </c>
      <c r="CD165" s="2">
        <v>93.7</v>
      </c>
      <c r="CE165" s="2" t="s">
        <v>1911</v>
      </c>
      <c r="CF165" s="2" t="s">
        <v>1912</v>
      </c>
      <c r="CG165" s="9" t="str">
        <f>HYPERLINK(".\links\KOG\AGAP002581-PA-KOG.txt","MCM4 component")</f>
        <v>MCM4 component</v>
      </c>
      <c r="CH165" s="15">
        <v>2.0000000000000001E-37</v>
      </c>
      <c r="CI165" s="2">
        <v>76.400000000000006</v>
      </c>
      <c r="CJ165" s="2" t="s">
        <v>1913</v>
      </c>
      <c r="CK165" s="2" t="s">
        <v>427</v>
      </c>
      <c r="CL165" s="9" t="str">
        <f>HYPERLINK(".\links\PFAM\AGAP002581-PA-PFAM.txt","MCM, MCM2/3/5 family")</f>
        <v>MCM, MCM2/3/5 family</v>
      </c>
      <c r="CM165" s="15">
        <v>3E-24</v>
      </c>
      <c r="CN165" s="2">
        <v>105.8</v>
      </c>
      <c r="CO165" s="2" t="s">
        <v>1914</v>
      </c>
      <c r="CP165" s="9" t="str">
        <f>HYPERLINK(".\links\SMART\AGAP002581-PA-SMART.txt","MCM, minichromosome maintenance proteins")</f>
        <v>MCM, minichromosome maintenance proteins</v>
      </c>
      <c r="CQ165" s="15">
        <v>4.9999999999999997E-30</v>
      </c>
      <c r="CR165" s="2">
        <v>105.3</v>
      </c>
      <c r="CS165" s="2" t="s">
        <v>679</v>
      </c>
      <c r="CT165" s="2" t="s">
        <v>1909</v>
      </c>
      <c r="CU165" s="2" t="s">
        <v>1909</v>
      </c>
      <c r="CV165" s="2" t="s">
        <v>1909</v>
      </c>
      <c r="CW165" s="2" t="str">
        <f>HYPERLINK(".\links\pep\AGAP002581-PA-pep.txt","AGAP002581-PA")</f>
        <v>AGAP002581-PA</v>
      </c>
      <c r="CX165" s="2" t="s">
        <v>95</v>
      </c>
      <c r="CY165" s="2">
        <v>718</v>
      </c>
      <c r="CZ165" s="2" t="s">
        <v>113</v>
      </c>
      <c r="DA165" s="2" t="s">
        <v>1915</v>
      </c>
      <c r="DB165" s="2">
        <v>0</v>
      </c>
      <c r="DC165" s="2">
        <v>2</v>
      </c>
      <c r="DD165" s="2" t="str">
        <f>HYPERLINK("https://www.kegg.jp/kegg-bin/search_pathway_text?map=aga&amp;keyword=AGAP002581&amp;mode=1&amp;viewImage=true","AGAP002581")</f>
        <v>AGAP002581</v>
      </c>
      <c r="DE165" s="2" t="s">
        <v>1907</v>
      </c>
      <c r="DF165" s="2" t="s">
        <v>93</v>
      </c>
      <c r="DG165" s="2" t="s">
        <v>94</v>
      </c>
      <c r="DH165" s="2" t="str">
        <f>HYPERLINK("https://vectorbase.org/vectorbase/app/record/gene/AGAP002581","AGAP002581-RA")</f>
        <v>AGAP002581-RA</v>
      </c>
      <c r="DI165" s="2" t="s">
        <v>115</v>
      </c>
      <c r="DJ165" s="2">
        <v>2335</v>
      </c>
      <c r="DK165" s="2" t="str">
        <f>HYPERLINK(".\links\netoglyc\AGAP002581-PA-netoglyc.txt","1")</f>
        <v>1</v>
      </c>
      <c r="DL165" s="2">
        <v>12.8</v>
      </c>
      <c r="DM165" s="2">
        <v>4.9000000000000004</v>
      </c>
      <c r="DN165" s="2">
        <v>4.9000000000000004</v>
      </c>
      <c r="DO165" s="2" t="s">
        <v>104</v>
      </c>
      <c r="DP165" s="2" t="s">
        <v>102</v>
      </c>
      <c r="DQ165" s="2" t="str">
        <f>HYPERLINK(".\links\Sigp\AGAP002581-PA-SigP.txt","CYT")</f>
        <v>CYT</v>
      </c>
      <c r="DR165" s="2" t="s">
        <v>102</v>
      </c>
      <c r="DS165" s="2">
        <v>80.884</v>
      </c>
      <c r="DT165" s="2">
        <v>5.43</v>
      </c>
      <c r="DU165" s="2" t="s">
        <v>102</v>
      </c>
      <c r="DV165" s="2" t="s">
        <v>102</v>
      </c>
      <c r="DW165" s="2" t="s">
        <v>211</v>
      </c>
      <c r="DX165" s="2">
        <v>718</v>
      </c>
      <c r="DY165" s="12">
        <v>0</v>
      </c>
      <c r="DZ165" s="2" t="s">
        <v>102</v>
      </c>
      <c r="EA165" s="2" t="s">
        <v>102</v>
      </c>
      <c r="EB165" s="2" t="s">
        <v>102</v>
      </c>
      <c r="EC165" s="2" t="str">
        <f>HYPERLINK(".\links\gpi\AGAP002581-PA-gpi.txt","N")</f>
        <v>N</v>
      </c>
      <c r="ED165" s="2">
        <v>0.16</v>
      </c>
      <c r="EF165" s="2">
        <v>25</v>
      </c>
      <c r="EG165" s="2" t="s">
        <v>102</v>
      </c>
      <c r="EH165" s="2" t="s">
        <v>102</v>
      </c>
      <c r="EI165" s="2">
        <v>12.813370473537599</v>
      </c>
      <c r="EJ165" s="2">
        <v>4.8746518105849601</v>
      </c>
      <c r="EK165" s="2">
        <v>4.8746518105849601</v>
      </c>
      <c r="EL165" s="2">
        <v>9.7493036211699202</v>
      </c>
      <c r="EM165" s="2">
        <v>1</v>
      </c>
      <c r="EN165" s="2">
        <v>2</v>
      </c>
      <c r="EO165" s="2">
        <v>3</v>
      </c>
      <c r="EP165" s="2" t="s">
        <v>102</v>
      </c>
      <c r="EQ165" s="2" t="s">
        <v>102</v>
      </c>
      <c r="ER165" s="2" t="s">
        <v>102</v>
      </c>
      <c r="ES165" s="2" t="s">
        <v>102</v>
      </c>
      <c r="ET165" s="2" t="str">
        <f>HYPERLINK(".\links\REFSEQ-INVERTEBRATE\AGAP002581-PA-REFSEQ-INVERTEBRATE.txt","AGAP002581-PA")</f>
        <v>AGAP002581-PA</v>
      </c>
      <c r="EU165" s="2" t="str">
        <f>HYPERLINK("http://www.ncbi.nlm.nih.gov/sutils/blink.cgi?pid=XP_312355.3","0.0")</f>
        <v>0.0</v>
      </c>
      <c r="EV165" s="2" t="str">
        <f>HYPERLINK("http://www.ncbi.nlm.nih.gov/protein/XP_312355.3","XP_312355.3")</f>
        <v>XP_312355.3</v>
      </c>
      <c r="EW165" s="2">
        <v>95</v>
      </c>
      <c r="EX165" s="2">
        <v>95</v>
      </c>
      <c r="EY165" s="2">
        <v>105</v>
      </c>
      <c r="EZ165" s="2" t="s">
        <v>105</v>
      </c>
    </row>
    <row r="166" spans="1:156" x14ac:dyDescent="0.25">
      <c r="A166" s="2" t="s">
        <v>1916</v>
      </c>
      <c r="B166" s="2">
        <v>0.33553196552056802</v>
      </c>
      <c r="C166" s="2">
        <f t="shared" si="2"/>
        <v>1.2618426027889948</v>
      </c>
      <c r="D166" s="2">
        <v>5.8404037572486702</v>
      </c>
      <c r="E166" s="2">
        <v>15.124338800934501</v>
      </c>
      <c r="F166" s="2">
        <v>1.00657168873305E-4</v>
      </c>
      <c r="G166" s="2">
        <v>1.07823521657219E-2</v>
      </c>
      <c r="H166" s="2" t="s">
        <v>93</v>
      </c>
      <c r="I166" s="2" t="s">
        <v>94</v>
      </c>
      <c r="J166" s="2" t="str">
        <f>HYPERLINK("https://vectorbase.org/vectorbase/app/record/gene/AGAP013527","AGAP013527-RA")</f>
        <v>AGAP013527-RA</v>
      </c>
      <c r="K166" s="2" t="str">
        <f>HYPERLINK(".\links\pep\AGAP013527-PA-pep.txt","AGAP013527-PA")</f>
        <v>AGAP013527-PA</v>
      </c>
      <c r="L166" s="12" t="s">
        <v>95</v>
      </c>
      <c r="M166" s="2">
        <v>405</v>
      </c>
      <c r="N166" s="2">
        <v>0</v>
      </c>
      <c r="O166" s="2">
        <v>1</v>
      </c>
      <c r="P166" s="2" t="s">
        <v>102</v>
      </c>
      <c r="Q166" s="9" t="s">
        <v>1917</v>
      </c>
      <c r="R166" s="2" t="s">
        <v>196</v>
      </c>
      <c r="S166" s="2" t="str">
        <f>HYPERLINK(".\links\REFSEQ-INVERTEBRATE\AGAP013527-PA-REFSEQ-INVERTEBRATE.txt","REFSEQ-INVERTEBRATE")</f>
        <v>REFSEQ-INVERTEBRATE</v>
      </c>
      <c r="T166" s="2">
        <v>0</v>
      </c>
      <c r="U166" s="2">
        <v>100</v>
      </c>
      <c r="V166" s="2" t="s">
        <v>1917</v>
      </c>
      <c r="W166" s="10" t="s">
        <v>1918</v>
      </c>
      <c r="X166" s="2" t="s">
        <v>196</v>
      </c>
      <c r="Y166" s="2" t="str">
        <f>HYPERLINK(".\links\ARTHORPODA\AGAP013527-PA-ARTHORPODA.txt","ARTHORPODA")</f>
        <v>ARTHORPODA</v>
      </c>
      <c r="Z166" s="2">
        <v>0</v>
      </c>
      <c r="AA166" s="2">
        <v>100</v>
      </c>
      <c r="AB166" s="13" t="str">
        <f>HYPERLINK(".\links\pep\AGAP013527-PA-sulf.txt","1")</f>
        <v>1</v>
      </c>
      <c r="AC166" s="13" t="str">
        <f>HYPERLINK(".\links\Sigp\AGAP013527-PA-SigP.txt","CYT")</f>
        <v>CYT</v>
      </c>
      <c r="AD166" s="2" t="s">
        <v>102</v>
      </c>
      <c r="AE166" s="2">
        <v>45.837000000000003</v>
      </c>
      <c r="AF166" s="2">
        <v>7.22</v>
      </c>
      <c r="AG166" s="2" t="s">
        <v>102</v>
      </c>
      <c r="AH166" s="2" t="s">
        <v>102</v>
      </c>
      <c r="AI166" s="2" t="s">
        <v>823</v>
      </c>
      <c r="AJ166" s="13">
        <v>0</v>
      </c>
      <c r="AK166" s="2" t="s">
        <v>102</v>
      </c>
      <c r="AL166" s="2" t="s">
        <v>102</v>
      </c>
      <c r="AM166" s="2" t="s">
        <v>102</v>
      </c>
      <c r="AN166" s="13" t="str">
        <f>HYPERLINK(".\links\gpi\AGAP013527-PA-gpi.txt","N")</f>
        <v>N</v>
      </c>
      <c r="AO166" s="14" t="str">
        <f>HYPERLINK(".\links\netoglyc\AGAP013527-PA-netoglyc.txt","1")</f>
        <v>1</v>
      </c>
      <c r="AP166" s="13">
        <v>12.6</v>
      </c>
      <c r="AQ166" s="2">
        <v>4</v>
      </c>
      <c r="AR166" s="2">
        <v>5.2</v>
      </c>
      <c r="AS166" s="2" t="s">
        <v>104</v>
      </c>
      <c r="AT166" s="9" t="str">
        <f>HYPERLINK(".\links\NR-LIGHT\AGAP013527-PA-NR-LIGHT.txt","AGAP013527-PA")</f>
        <v>AGAP013527-PA</v>
      </c>
      <c r="AU166" s="2" t="str">
        <f>HYPERLINK("http://www.ncbi.nlm.nih.gov/sutils/blink.cgi?pid=XP_003435757.1","0.0")</f>
        <v>0.0</v>
      </c>
      <c r="AV166" s="2" t="str">
        <f>HYPERLINK("http://www.ncbi.nlm.nih.gov/protein/XP_003435757.1","XP_003435757.1")</f>
        <v>XP_003435757.1</v>
      </c>
      <c r="AW166" s="2">
        <v>100</v>
      </c>
      <c r="AX166" s="2">
        <v>100</v>
      </c>
      <c r="AY166" s="2">
        <v>100</v>
      </c>
      <c r="AZ166" s="2" t="s">
        <v>105</v>
      </c>
      <c r="BA166" s="9" t="str">
        <f>HYPERLINK(".\links\REFSEQ-INVERTEBRATE\AGAP013527-PA-REFSEQ-INVERTEBRATE.txt","AGAP013527-PA")</f>
        <v>AGAP013527-PA</v>
      </c>
      <c r="BB166" s="2" t="str">
        <f>HYPERLINK("http://www.ncbi.nlm.nih.gov/sutils/blink.cgi?pid=XP_003435757.1","0.0")</f>
        <v>0.0</v>
      </c>
      <c r="BC166" s="2" t="str">
        <f>HYPERLINK("http://www.ncbi.nlm.nih.gov/protein/XP_003435757.1","XP_003435757.1")</f>
        <v>XP_003435757.1</v>
      </c>
      <c r="BD166" s="2">
        <v>100</v>
      </c>
      <c r="BE166" s="2">
        <v>100</v>
      </c>
      <c r="BF166" s="2">
        <v>100</v>
      </c>
      <c r="BG166" s="2" t="s">
        <v>105</v>
      </c>
      <c r="BH166" s="9" t="str">
        <f>HYPERLINK(".\links\REFSEQ-PROTOZOA\AGAP013527-PA-REFSEQ-PROTOZOA.txt","hypothetical protein TGME49_265840")</f>
        <v>hypothetical protein TGME49_265840</v>
      </c>
      <c r="BI166" s="2" t="str">
        <f>HYPERLINK("http://www.ncbi.nlm.nih.gov/sutils/blink.cgi?pid=XP_002368693.2","0.008")</f>
        <v>0.008</v>
      </c>
      <c r="BJ166" s="2" t="str">
        <f>HYPERLINK("http://www.ncbi.nlm.nih.gov/protein/XP_002368693.2","XP_002368693.2")</f>
        <v>XP_002368693.2</v>
      </c>
      <c r="BK166" s="2">
        <v>23</v>
      </c>
      <c r="BL166" s="2">
        <v>43</v>
      </c>
      <c r="BM166" s="2">
        <v>16</v>
      </c>
      <c r="BN166" s="2" t="s">
        <v>741</v>
      </c>
      <c r="BO166" s="9" t="str">
        <f>HYPERLINK(".\links\SWISSP\AGAP013527-PA-SWISSP.txt","Putative uncharacterized transmembrane protein DDB_G0290641")</f>
        <v>Putative uncharacterized transmembrane protein DDB_G0290641</v>
      </c>
      <c r="BP166" s="2" t="str">
        <f>HYPERLINK("http://www.uniprot.org/uniprot/Q54FZ8","0.37")</f>
        <v>0.37</v>
      </c>
      <c r="BQ166" s="2" t="str">
        <f>HYPERLINK("http://www.uniprot.org/uniprot/Q54FZ8#expression","Q54FZ8")</f>
        <v>Q54FZ8</v>
      </c>
      <c r="BR166" s="2">
        <v>23</v>
      </c>
      <c r="BS166" s="2">
        <v>53</v>
      </c>
      <c r="BT166" s="2">
        <v>2</v>
      </c>
      <c r="BU166" s="2" t="s">
        <v>1919</v>
      </c>
      <c r="BV166" s="9" t="str">
        <f>HYPERLINK(".\links\FLYBASE\AGAP013527-PA-FLYBASE.txt","FBpp0291095")</f>
        <v>FBpp0291095</v>
      </c>
      <c r="BW166" s="2" t="str">
        <f>HYPERLINK("http://flybase.org/reports/FBgn0029754#alliance_summary_container","0.49")</f>
        <v>0.49</v>
      </c>
      <c r="BX166" s="2">
        <v>513</v>
      </c>
      <c r="BY166" s="2">
        <v>34</v>
      </c>
      <c r="BZ166" s="2">
        <v>56</v>
      </c>
      <c r="CA166" s="2">
        <v>9</v>
      </c>
      <c r="CB166" s="9" t="str">
        <f>HYPERLINK(".\links\CDD\AGAP013527-PA-CDD.txt","Bunya_G1, Bunyavirus glycoprotein G1")</f>
        <v>Bunya_G1, Bunyavirus glycoprotein G1</v>
      </c>
      <c r="CC166" s="15">
        <v>0.25</v>
      </c>
      <c r="CD166" s="2">
        <v>11.5</v>
      </c>
      <c r="CE166" s="2" t="s">
        <v>1920</v>
      </c>
      <c r="CF166" s="2" t="s">
        <v>1921</v>
      </c>
      <c r="CG166" s="9" t="str">
        <f>HYPERLINK(".\links\KOG\AGAP013527-PA-KOG.txt","contain amidotransferase and phosphosugar isomerase domains")</f>
        <v>contain amidotransferase and phosphosugar isomerase domains</v>
      </c>
      <c r="CH166" s="15">
        <v>0.77</v>
      </c>
      <c r="CI166" s="2">
        <v>11.9</v>
      </c>
      <c r="CJ166" s="2" t="s">
        <v>1922</v>
      </c>
      <c r="CK166" s="2" t="s">
        <v>1472</v>
      </c>
      <c r="CL166" s="9" t="str">
        <f>HYPERLINK(".\links\PFAM\AGAP013527-PA-PFAM.txt","Bunya_G1, Bunyavirus glycoprotein G1")</f>
        <v>Bunya_G1, Bunyavirus glycoprotein G1</v>
      </c>
      <c r="CM166" s="15">
        <v>5.1999999999999998E-2</v>
      </c>
      <c r="CN166" s="2">
        <v>11.5</v>
      </c>
      <c r="CO166" s="2" t="s">
        <v>1920</v>
      </c>
      <c r="CP166" s="9" t="str">
        <f>HYPERLINK(".\links\SMART\AGAP013527-PA-SMART.txt","TUDOR, Tudor domain")</f>
        <v>TUDOR, Tudor domain</v>
      </c>
      <c r="CQ166" s="15">
        <v>3.5999999999999997E-2</v>
      </c>
      <c r="CR166" s="2">
        <v>103.5</v>
      </c>
      <c r="CS166" s="2" t="s">
        <v>1923</v>
      </c>
      <c r="CT166" s="2" t="s">
        <v>1917</v>
      </c>
      <c r="CU166" s="2" t="s">
        <v>1917</v>
      </c>
      <c r="CV166" s="2" t="s">
        <v>1917</v>
      </c>
      <c r="CW166" s="2" t="str">
        <f>HYPERLINK(".\links\pep\AGAP013527-PA-pep.txt","AGAP013527-PA")</f>
        <v>AGAP013527-PA</v>
      </c>
      <c r="CX166" s="2" t="s">
        <v>95</v>
      </c>
      <c r="CY166" s="2">
        <v>405</v>
      </c>
      <c r="CZ166" s="2" t="s">
        <v>113</v>
      </c>
      <c r="DA166" s="2" t="s">
        <v>1924</v>
      </c>
      <c r="DB166" s="2">
        <v>0</v>
      </c>
      <c r="DC166" s="2">
        <v>1</v>
      </c>
      <c r="DD166" s="2" t="str">
        <f>HYPERLINK("https://www.kegg.jp/kegg-bin/search_pathway_text?map=aga&amp;keyword=AGAP013527&amp;mode=1&amp;viewImage=true","AGAP013527")</f>
        <v>AGAP013527</v>
      </c>
      <c r="DE166" s="2" t="s">
        <v>1916</v>
      </c>
      <c r="DF166" s="2" t="s">
        <v>93</v>
      </c>
      <c r="DG166" s="2" t="s">
        <v>94</v>
      </c>
      <c r="DH166" s="2" t="str">
        <f>HYPERLINK("https://vectorbase.org/vectorbase/app/record/gene/AGAP013527","AGAP013527-RA")</f>
        <v>AGAP013527-RA</v>
      </c>
      <c r="DI166" s="2" t="s">
        <v>115</v>
      </c>
      <c r="DJ166" s="2">
        <v>1507</v>
      </c>
      <c r="DK166" s="2" t="str">
        <f>HYPERLINK(".\links\netoglyc\AGAP013527-PA-netoglyc.txt","1")</f>
        <v>1</v>
      </c>
      <c r="DL166" s="2">
        <v>12.6</v>
      </c>
      <c r="DM166" s="2">
        <v>4</v>
      </c>
      <c r="DN166" s="2">
        <v>5.2</v>
      </c>
      <c r="DO166" s="2" t="s">
        <v>104</v>
      </c>
      <c r="DP166" s="2" t="s">
        <v>102</v>
      </c>
      <c r="DQ166" s="2" t="str">
        <f>HYPERLINK(".\links\Sigp\AGAP013527-PA-SigP.txt","CYT")</f>
        <v>CYT</v>
      </c>
      <c r="DR166" s="2" t="s">
        <v>102</v>
      </c>
      <c r="DS166" s="2">
        <v>45.837000000000003</v>
      </c>
      <c r="DT166" s="2">
        <v>7.22</v>
      </c>
      <c r="DU166" s="2" t="s">
        <v>102</v>
      </c>
      <c r="DV166" s="2" t="s">
        <v>102</v>
      </c>
      <c r="DW166" s="2" t="s">
        <v>823</v>
      </c>
      <c r="DX166" s="2">
        <v>405</v>
      </c>
      <c r="DY166" s="12">
        <v>0</v>
      </c>
      <c r="DZ166" s="2" t="s">
        <v>102</v>
      </c>
      <c r="EA166" s="2" t="s">
        <v>102</v>
      </c>
      <c r="EB166" s="2" t="s">
        <v>102</v>
      </c>
      <c r="EC166" s="2" t="str">
        <f>HYPERLINK(".\links\gpi\AGAP013527-PA-gpi.txt","Y-NoSP")</f>
        <v>Y-NoSP</v>
      </c>
      <c r="ED166" s="2">
        <v>0.18</v>
      </c>
      <c r="EF166" s="2">
        <v>9</v>
      </c>
      <c r="EG166" s="2" t="str">
        <f>HYPERLINK(".\links\pep\AGAP013527-PA-sulf.txt","1")</f>
        <v>1</v>
      </c>
      <c r="EH166" s="2" t="s">
        <v>102</v>
      </c>
      <c r="EI166" s="2">
        <v>12.592592592592601</v>
      </c>
      <c r="EJ166" s="2">
        <v>5.1851851851851896</v>
      </c>
      <c r="EK166" s="2">
        <v>3.9506172839506202</v>
      </c>
      <c r="EL166" s="2">
        <v>9.1358024691358004</v>
      </c>
      <c r="EM166" s="2">
        <v>1</v>
      </c>
      <c r="EN166" s="2">
        <v>1</v>
      </c>
      <c r="EO166" s="2">
        <v>1</v>
      </c>
      <c r="EP166" s="2" t="s">
        <v>102</v>
      </c>
      <c r="EQ166" s="2" t="s">
        <v>102</v>
      </c>
      <c r="ER166" s="2" t="s">
        <v>102</v>
      </c>
      <c r="ES166" s="2" t="s">
        <v>102</v>
      </c>
      <c r="ET166" s="2" t="str">
        <f>HYPERLINK(".\links\REFSEQ-INVERTEBRATE\AGAP013527-PA-REFSEQ-INVERTEBRATE.txt","AGAP013527-PA")</f>
        <v>AGAP013527-PA</v>
      </c>
      <c r="EU166" s="2" t="str">
        <f>HYPERLINK("http://www.ncbi.nlm.nih.gov/sutils/blink.cgi?pid=XP_003435757.1","0.0")</f>
        <v>0.0</v>
      </c>
      <c r="EV166" s="2" t="str">
        <f>HYPERLINK("http://www.ncbi.nlm.nih.gov/protein/XP_003435757.1","XP_003435757.1")</f>
        <v>XP_003435757.1</v>
      </c>
      <c r="EW166" s="2">
        <v>100</v>
      </c>
      <c r="EX166" s="2">
        <v>100</v>
      </c>
      <c r="EY166" s="2">
        <v>100</v>
      </c>
      <c r="EZ166" s="2" t="s">
        <v>105</v>
      </c>
    </row>
    <row r="167" spans="1:156" x14ac:dyDescent="0.25">
      <c r="A167" s="2" t="s">
        <v>1925</v>
      </c>
      <c r="B167" s="2">
        <v>0.33487028353849102</v>
      </c>
      <c r="C167" s="2">
        <f t="shared" si="2"/>
        <v>1.2612640002078948</v>
      </c>
      <c r="D167" s="2">
        <v>5.6375673790280798</v>
      </c>
      <c r="E167" s="2">
        <v>9.3266564846745794</v>
      </c>
      <c r="F167" s="2">
        <v>2.2584406398734598E-3</v>
      </c>
      <c r="G167" s="2">
        <v>4.5460305349704903E-2</v>
      </c>
      <c r="H167" s="2" t="s">
        <v>1926</v>
      </c>
      <c r="I167" s="2" t="s">
        <v>94</v>
      </c>
      <c r="J167" s="2" t="str">
        <f>HYPERLINK("https://vectorbase.org/vectorbase/app/record/gene/AGAP012705","AGAP012705-RA")</f>
        <v>AGAP012705-RA</v>
      </c>
      <c r="K167" s="2" t="str">
        <f>HYPERLINK(".\links\pep\AGAP012705-PA-pep.txt","AGAP012705-PA")</f>
        <v>AGAP012705-PA</v>
      </c>
      <c r="L167" s="12" t="s">
        <v>95</v>
      </c>
      <c r="M167" s="2">
        <v>100</v>
      </c>
      <c r="N167" s="2">
        <v>0</v>
      </c>
      <c r="O167" s="2">
        <v>0</v>
      </c>
      <c r="P167" s="2" t="s">
        <v>1927</v>
      </c>
      <c r="Q167" s="9" t="s">
        <v>1928</v>
      </c>
      <c r="R167" s="2" t="s">
        <v>196</v>
      </c>
      <c r="S167" s="2" t="str">
        <f>HYPERLINK(".\links\REFSEQ-INVERTEBRATE\AGAP012705-PA-REFSEQ-INVERTEBRATE.txt","REFSEQ-INVERTEBRATE")</f>
        <v>REFSEQ-INVERTEBRATE</v>
      </c>
      <c r="T167" s="2">
        <v>2E-52</v>
      </c>
      <c r="U167" s="2">
        <v>100</v>
      </c>
      <c r="V167" s="2" t="s">
        <v>1928</v>
      </c>
      <c r="W167" s="10" t="s">
        <v>1929</v>
      </c>
      <c r="X167" s="2" t="s">
        <v>447</v>
      </c>
      <c r="Y167" s="2" t="str">
        <f>HYPERLINK(".\links\PFAM\AGAP012705-PA-PFAM.txt","PFAM")</f>
        <v>PFAM</v>
      </c>
      <c r="Z167" s="15">
        <v>8.0000000000000004E-33</v>
      </c>
      <c r="AA167" s="2">
        <v>78</v>
      </c>
      <c r="AB167" s="13" t="s">
        <v>102</v>
      </c>
      <c r="AC167" s="13" t="str">
        <f>HYPERLINK(".\links\Sigp\AGAP012705-PA-SigP.txt","CYT")</f>
        <v>CYT</v>
      </c>
      <c r="AD167" s="2" t="s">
        <v>102</v>
      </c>
      <c r="AE167" s="2">
        <v>11.119</v>
      </c>
      <c r="AF167" s="2">
        <v>10.41</v>
      </c>
      <c r="AG167" s="2" t="s">
        <v>102</v>
      </c>
      <c r="AH167" s="2" t="s">
        <v>102</v>
      </c>
      <c r="AI167" s="2" t="s">
        <v>211</v>
      </c>
      <c r="AJ167" s="13">
        <v>0</v>
      </c>
      <c r="AK167" s="2" t="s">
        <v>102</v>
      </c>
      <c r="AL167" s="2" t="s">
        <v>102</v>
      </c>
      <c r="AM167" s="2" t="s">
        <v>102</v>
      </c>
      <c r="AN167" s="13" t="str">
        <f>HYPERLINK(".\links\gpi\AGAP012705-PA-gpi.txt","N")</f>
        <v>N</v>
      </c>
      <c r="AO167" s="14" t="str">
        <f>HYPERLINK(".\links\netoglyc\AGAP012705-PA-netoglyc.txt","1")</f>
        <v>1</v>
      </c>
      <c r="AP167" s="13">
        <v>10</v>
      </c>
      <c r="AQ167" s="2">
        <v>7</v>
      </c>
      <c r="AR167" s="2">
        <v>10</v>
      </c>
      <c r="AS167" s="2" t="s">
        <v>104</v>
      </c>
      <c r="AT167" s="9" t="str">
        <f>HYPERLINK(".\links\NR-LIGHT\AGAP012705-PA-NR-LIGHT.txt","AGAP012705-PA")</f>
        <v>AGAP012705-PA</v>
      </c>
      <c r="AU167" s="2" t="str">
        <f>HYPERLINK("http://www.ncbi.nlm.nih.gov/sutils/blink.cgi?pid=XP_307312.2","2E-052")</f>
        <v>2E-052</v>
      </c>
      <c r="AV167" s="2" t="str">
        <f>HYPERLINK("http://www.ncbi.nlm.nih.gov/protein/XP_307312.2","XP_307312.2")</f>
        <v>XP_307312.2</v>
      </c>
      <c r="AW167" s="2">
        <v>100</v>
      </c>
      <c r="AX167" s="2">
        <v>100</v>
      </c>
      <c r="AY167" s="2">
        <v>100</v>
      </c>
      <c r="AZ167" s="2" t="s">
        <v>105</v>
      </c>
      <c r="BA167" s="9" t="str">
        <f>HYPERLINK(".\links\REFSEQ-INVERTEBRATE\AGAP012705-PA-REFSEQ-INVERTEBRATE.txt","AGAP012705-PA")</f>
        <v>AGAP012705-PA</v>
      </c>
      <c r="BB167" s="2" t="str">
        <f>HYPERLINK("http://www.ncbi.nlm.nih.gov/sutils/blink.cgi?pid=XP_307312.2","2E-052")</f>
        <v>2E-052</v>
      </c>
      <c r="BC167" s="2" t="str">
        <f>HYPERLINK("http://www.ncbi.nlm.nih.gov/protein/XP_307312.2","XP_307312.2")</f>
        <v>XP_307312.2</v>
      </c>
      <c r="BD167" s="2">
        <v>100</v>
      </c>
      <c r="BE167" s="2">
        <v>100</v>
      </c>
      <c r="BF167" s="2">
        <v>100</v>
      </c>
      <c r="BG167" s="2" t="s">
        <v>105</v>
      </c>
      <c r="BH167" s="9" t="str">
        <f>HYPERLINK(".\links\REFSEQ-PROTOZOA\AGAP012705-PA-REFSEQ-PROTOZOA.txt","hypothetical protein")</f>
        <v>hypothetical protein</v>
      </c>
      <c r="BI167" s="2" t="str">
        <f>HYPERLINK("http://www.ncbi.nlm.nih.gov/sutils/blink.cgi?pid=XP_001746528.1","8E-006")</f>
        <v>8E-006</v>
      </c>
      <c r="BJ167" s="2" t="str">
        <f>HYPERLINK("http://www.ncbi.nlm.nih.gov/protein/XP_001746528.1","XP_001746528.1")</f>
        <v>XP_001746528.1</v>
      </c>
      <c r="BK167" s="2">
        <v>51</v>
      </c>
      <c r="BL167" s="2">
        <v>67</v>
      </c>
      <c r="BM167" s="2">
        <v>41</v>
      </c>
      <c r="BN167" s="2" t="s">
        <v>248</v>
      </c>
      <c r="BO167" s="9" t="str">
        <f>HYPERLINK(".\links\SWISSP\AGAP012705-PA-SWISSP.txt","NADH dehydrogenase [ubiquinone] 1 alpha subcomplex subunit 7")</f>
        <v>NADH dehydrogenase [ubiquinone] 1 alpha subcomplex subunit 7</v>
      </c>
      <c r="BP167" s="2" t="str">
        <f>HYPERLINK("http://www.uniprot.org/uniprot/Q9Z1P6","2E-012")</f>
        <v>2E-012</v>
      </c>
      <c r="BQ167" s="2" t="str">
        <f>HYPERLINK("http://www.uniprot.org/uniprot/Q9Z1P6#expression","Q9Z1P6")</f>
        <v>Q9Z1P6</v>
      </c>
      <c r="BR167" s="2">
        <v>53</v>
      </c>
      <c r="BS167" s="2">
        <v>69</v>
      </c>
      <c r="BT167" s="2">
        <v>70</v>
      </c>
      <c r="BU167" s="2" t="s">
        <v>662</v>
      </c>
      <c r="BV167" s="9" t="str">
        <f>HYPERLINK(".\links\FLYBASE\AGAP012705-PA-FLYBASE.txt","FBpp0309795")</f>
        <v>FBpp0309795</v>
      </c>
      <c r="BW167" s="2" t="str">
        <f>HYPERLINK("http://flybase.org/reports/FBgn0025839#alliance_summary_container","4E-40")</f>
        <v>4E-40</v>
      </c>
      <c r="BX167" s="2">
        <v>103</v>
      </c>
      <c r="BY167" s="2">
        <v>61</v>
      </c>
      <c r="BZ167" s="2">
        <v>74</v>
      </c>
      <c r="CA167" s="2">
        <v>99</v>
      </c>
      <c r="CB167" s="9" t="str">
        <f>HYPERLINK(".\links\CDD\AGAP012705-PA-CDD.txt","CI-B14_5a, NADH:ubiquinone oxidoreductase subunit B14")</f>
        <v>CI-B14_5a, NADH:ubiquinone oxidoreductase subunit B14</v>
      </c>
      <c r="CC167" s="15">
        <v>3E-34</v>
      </c>
      <c r="CD167" s="2">
        <v>98.9</v>
      </c>
      <c r="CE167" s="2" t="s">
        <v>1930</v>
      </c>
      <c r="CF167" s="2" t="s">
        <v>1931</v>
      </c>
      <c r="CG167" s="9" t="str">
        <f>HYPERLINK(".\links\KOG\AGAP012705-PA-KOG.txt","NDUFA7/B14")</f>
        <v>NDUFA7/B14</v>
      </c>
      <c r="CH167" s="15">
        <v>2.0000000000000001E-18</v>
      </c>
      <c r="CI167" s="2">
        <v>80.3</v>
      </c>
      <c r="CJ167" s="2" t="s">
        <v>1932</v>
      </c>
      <c r="CK167" s="2" t="s">
        <v>1449</v>
      </c>
      <c r="CL167" s="9" t="str">
        <f>HYPERLINK(".\links\PFAM\AGAP012705-PA-PFAM.txt","CI-B14_5a, NADH:ubiquinone oxidoreductase subunit B14")</f>
        <v>CI-B14_5a, NADH:ubiquinone oxidoreductase subunit B14</v>
      </c>
      <c r="CM167" s="15">
        <v>8.0000000000000001E-35</v>
      </c>
      <c r="CN167" s="2">
        <v>98.9</v>
      </c>
      <c r="CO167" s="2" t="s">
        <v>1930</v>
      </c>
      <c r="CP167" s="9" t="str">
        <f>HYPERLINK(".\links\SMART\AGAP012705-PA-SMART.txt","TFIIE, Transcription initiation factor IIE")</f>
        <v>TFIIE, Transcription initiation factor IIE</v>
      </c>
      <c r="CQ167" s="15">
        <v>1.7</v>
      </c>
      <c r="CR167" s="2">
        <v>9.5</v>
      </c>
      <c r="CS167" s="2" t="s">
        <v>1933</v>
      </c>
      <c r="CT167" s="2" t="s">
        <v>1928</v>
      </c>
      <c r="CU167" s="2" t="s">
        <v>1928</v>
      </c>
      <c r="CV167" s="2" t="s">
        <v>1928</v>
      </c>
      <c r="CW167" s="2" t="str">
        <f>HYPERLINK(".\links\pep\AGAP012705-PA-pep.txt","AGAP012705-PA")</f>
        <v>AGAP012705-PA</v>
      </c>
      <c r="CX167" s="2" t="s">
        <v>95</v>
      </c>
      <c r="CY167" s="2">
        <v>100</v>
      </c>
      <c r="CZ167" s="2" t="s">
        <v>113</v>
      </c>
      <c r="DA167" s="2" t="s">
        <v>1934</v>
      </c>
      <c r="DB167" s="2">
        <v>0</v>
      </c>
      <c r="DC167" s="2">
        <v>0</v>
      </c>
      <c r="DD167" s="2" t="str">
        <f>HYPERLINK("https://www.kegg.jp/kegg-bin/search_pathway_text?map=aga&amp;keyword=AGAP012705&amp;mode=1&amp;viewImage=true","AGAP012705")</f>
        <v>AGAP012705</v>
      </c>
      <c r="DE167" s="2" t="s">
        <v>1925</v>
      </c>
      <c r="DF167" s="2" t="s">
        <v>1926</v>
      </c>
      <c r="DG167" s="2" t="s">
        <v>94</v>
      </c>
      <c r="DH167" s="2" t="str">
        <f>HYPERLINK("https://vectorbase.org/vectorbase/app/record/gene/AGAP012705","AGAP012705-RA")</f>
        <v>AGAP012705-RA</v>
      </c>
      <c r="DI167" s="2" t="s">
        <v>115</v>
      </c>
      <c r="DJ167" s="2">
        <v>530</v>
      </c>
      <c r="DK167" s="2" t="str">
        <f>HYPERLINK(".\links\netoglyc\AGAP012705-PA-netoglyc.txt","1")</f>
        <v>1</v>
      </c>
      <c r="DL167" s="2">
        <v>10</v>
      </c>
      <c r="DM167" s="2">
        <v>7</v>
      </c>
      <c r="DN167" s="2">
        <v>10</v>
      </c>
      <c r="DO167" s="2" t="s">
        <v>104</v>
      </c>
      <c r="DP167" s="2" t="s">
        <v>102</v>
      </c>
      <c r="DQ167" s="2" t="str">
        <f>HYPERLINK(".\links\Sigp\AGAP012705-PA-SigP.txt","CYT")</f>
        <v>CYT</v>
      </c>
      <c r="DR167" s="2" t="s">
        <v>102</v>
      </c>
      <c r="DS167" s="2">
        <v>11.119</v>
      </c>
      <c r="DT167" s="2">
        <v>10.41</v>
      </c>
      <c r="DU167" s="2" t="s">
        <v>102</v>
      </c>
      <c r="DV167" s="2" t="s">
        <v>102</v>
      </c>
      <c r="DW167" s="2" t="s">
        <v>211</v>
      </c>
      <c r="DX167" s="2">
        <v>100</v>
      </c>
      <c r="DY167" s="12">
        <v>0</v>
      </c>
      <c r="DZ167" s="2" t="s">
        <v>102</v>
      </c>
      <c r="EA167" s="2" t="s">
        <v>102</v>
      </c>
      <c r="EB167" s="2" t="s">
        <v>102</v>
      </c>
      <c r="EC167" s="2" t="str">
        <f>HYPERLINK(".\links\gpi\AGAP012705-PA-gpi.txt","Y-NoSP")</f>
        <v>Y-NoSP</v>
      </c>
      <c r="ED167" s="2">
        <v>0.33</v>
      </c>
      <c r="EF167" s="2">
        <v>0</v>
      </c>
      <c r="EG167" s="2" t="s">
        <v>102</v>
      </c>
      <c r="EH167" s="2" t="s">
        <v>102</v>
      </c>
      <c r="EI167" s="2">
        <v>10</v>
      </c>
      <c r="EJ167" s="2">
        <v>10</v>
      </c>
      <c r="EK167" s="2">
        <v>7</v>
      </c>
      <c r="EL167" s="2">
        <v>17</v>
      </c>
      <c r="EM167" s="2" t="s">
        <v>102</v>
      </c>
      <c r="EN167" s="2">
        <v>1</v>
      </c>
      <c r="EO167" s="2">
        <v>2</v>
      </c>
      <c r="EP167" s="2" t="s">
        <v>102</v>
      </c>
      <c r="EQ167" s="2" t="s">
        <v>102</v>
      </c>
      <c r="ER167" s="2" t="s">
        <v>102</v>
      </c>
      <c r="ES167" s="2" t="s">
        <v>102</v>
      </c>
      <c r="ET167" s="2" t="str">
        <f>HYPERLINK(".\links\REFSEQ-INVERTEBRATE\AGAP012705-PA-REFSEQ-INVERTEBRATE.txt","AGAP012705-PA")</f>
        <v>AGAP012705-PA</v>
      </c>
      <c r="EU167" s="2" t="str">
        <f>HYPERLINK("http://www.ncbi.nlm.nih.gov/sutils/blink.cgi?pid=XP_307312.2","1E-68")</f>
        <v>1E-68</v>
      </c>
      <c r="EV167" s="2" t="str">
        <f>HYPERLINK("http://www.ncbi.nlm.nih.gov/protein/XP_307312.2","XP_307312.2")</f>
        <v>XP_307312.2</v>
      </c>
      <c r="EW167" s="2">
        <v>100</v>
      </c>
      <c r="EX167" s="2">
        <v>100</v>
      </c>
      <c r="EY167" s="2">
        <v>100</v>
      </c>
      <c r="EZ167" s="2" t="s">
        <v>105</v>
      </c>
    </row>
    <row r="168" spans="1:156" x14ac:dyDescent="0.25">
      <c r="A168" s="2" t="s">
        <v>1935</v>
      </c>
      <c r="B168" s="2">
        <v>0.33477808516671798</v>
      </c>
      <c r="C168" s="2">
        <f t="shared" si="2"/>
        <v>1.2611833991326737</v>
      </c>
      <c r="D168" s="2">
        <v>8.3286229726942604</v>
      </c>
      <c r="E168" s="2">
        <v>11.7510376834699</v>
      </c>
      <c r="F168" s="2">
        <v>6.0809326144003301E-4</v>
      </c>
      <c r="G168" s="2">
        <v>2.77845500904421E-2</v>
      </c>
      <c r="H168" s="2" t="s">
        <v>1936</v>
      </c>
      <c r="I168" s="2" t="s">
        <v>88</v>
      </c>
      <c r="J168" s="8" t="s">
        <v>1937</v>
      </c>
      <c r="Q168" s="9"/>
      <c r="W168" s="10"/>
      <c r="AB168" s="9"/>
      <c r="AC168" s="9"/>
      <c r="AJ168" s="9"/>
      <c r="AN168" s="9"/>
      <c r="AO168" s="11"/>
      <c r="AP168" s="9"/>
      <c r="AT168" s="9"/>
      <c r="BA168" s="9"/>
      <c r="BH168" s="9"/>
      <c r="BO168" s="9"/>
      <c r="BV168" s="9"/>
      <c r="CB168" s="9"/>
      <c r="CG168" s="9"/>
      <c r="CL168" s="9"/>
      <c r="CP168" s="9"/>
      <c r="DE168" s="2" t="s">
        <v>1935</v>
      </c>
      <c r="DF168" s="2" t="s">
        <v>1936</v>
      </c>
      <c r="DG168" s="2" t="s">
        <v>88</v>
      </c>
      <c r="DH168" s="8" t="s">
        <v>1937</v>
      </c>
      <c r="DI168" s="2" t="s">
        <v>135</v>
      </c>
      <c r="DJ168" s="2">
        <v>3232</v>
      </c>
      <c r="DQ168" s="2" t="s">
        <v>141</v>
      </c>
      <c r="DS168" s="2">
        <v>73448</v>
      </c>
      <c r="DT168" s="2">
        <v>8.1999999999999993</v>
      </c>
      <c r="DX168" s="2">
        <v>676</v>
      </c>
      <c r="DY168" s="12"/>
    </row>
    <row r="169" spans="1:156" x14ac:dyDescent="0.25">
      <c r="A169" s="2" t="s">
        <v>1938</v>
      </c>
      <c r="B169" s="2">
        <v>0.33460055474149297</v>
      </c>
      <c r="C169" s="2">
        <f t="shared" si="2"/>
        <v>1.2610282141188793</v>
      </c>
      <c r="D169" s="2">
        <v>7.7039326481346802</v>
      </c>
      <c r="E169" s="2">
        <v>17.747867047885201</v>
      </c>
      <c r="F169" s="2">
        <v>2.5220009416221701E-5</v>
      </c>
      <c r="G169" s="2">
        <v>6.4268648387488898E-3</v>
      </c>
      <c r="H169" s="2" t="s">
        <v>93</v>
      </c>
      <c r="I169" s="2" t="s">
        <v>94</v>
      </c>
      <c r="J169" s="2" t="str">
        <f>HYPERLINK("https://vectorbase.org/vectorbase/app/record/gene/AGAP010263","AGAP010263-RA")</f>
        <v>AGAP010263-RA</v>
      </c>
      <c r="K169" s="2" t="str">
        <f>HYPERLINK(".\links\pep\AGAP010263-PA-pep.txt","AGAP010263-PA")</f>
        <v>AGAP010263-PA</v>
      </c>
      <c r="L169" s="12" t="s">
        <v>95</v>
      </c>
      <c r="M169" s="2">
        <v>1844</v>
      </c>
      <c r="N169" s="2">
        <v>0</v>
      </c>
      <c r="O169" s="2">
        <v>0</v>
      </c>
      <c r="P169" s="2" t="s">
        <v>102</v>
      </c>
      <c r="Q169" s="9" t="s">
        <v>1939</v>
      </c>
      <c r="R169" s="2" t="s">
        <v>388</v>
      </c>
      <c r="S169" s="2" t="str">
        <f>HYPERLINK(".\links\KOG\AGAP010263-PA-KOG.txt","KOG")</f>
        <v>KOG</v>
      </c>
      <c r="T169" s="2">
        <v>4.9999999999999998E-76</v>
      </c>
      <c r="U169" s="2">
        <v>59.6</v>
      </c>
      <c r="V169" s="2" t="s">
        <v>1940</v>
      </c>
      <c r="W169" s="10" t="s">
        <v>1941</v>
      </c>
      <c r="X169" s="2" t="s">
        <v>388</v>
      </c>
      <c r="Y169" s="2" t="str">
        <f>HYPERLINK(".\links\KOG\AGAP010263-PA-KOG.txt","KOG")</f>
        <v>KOG</v>
      </c>
      <c r="Z169" s="15">
        <v>2E-51</v>
      </c>
      <c r="AA169" s="2">
        <v>33.1</v>
      </c>
      <c r="AB169" s="13" t="str">
        <f>HYPERLINK(".\links\pep\AGAP010263-PA-sulf.txt","2")</f>
        <v>2</v>
      </c>
      <c r="AC169" s="13" t="str">
        <f>HYPERLINK(".\links\Sigp\AGAP010263-PA-SigP.txt","CYT")</f>
        <v>CYT</v>
      </c>
      <c r="AD169" s="2" t="s">
        <v>102</v>
      </c>
      <c r="AE169" s="2">
        <v>209.40700000000001</v>
      </c>
      <c r="AF169" s="2">
        <v>6.25</v>
      </c>
      <c r="AG169" s="2" t="s">
        <v>102</v>
      </c>
      <c r="AH169" s="2" t="s">
        <v>102</v>
      </c>
      <c r="AI169" s="2" t="s">
        <v>1942</v>
      </c>
      <c r="AJ169" s="13">
        <v>0</v>
      </c>
      <c r="AK169" s="2" t="s">
        <v>102</v>
      </c>
      <c r="AL169" s="2" t="s">
        <v>102</v>
      </c>
      <c r="AM169" s="2" t="s">
        <v>102</v>
      </c>
      <c r="AN169" s="13" t="str">
        <f>HYPERLINK(".\links\gpi\AGAP010263-PA-gpi.txt","N")</f>
        <v>N</v>
      </c>
      <c r="AO169" s="14" t="str">
        <f>HYPERLINK(".\links\netoglyc\AGAP010263-PA-netoglyc.txt","0")</f>
        <v>0</v>
      </c>
      <c r="AP169" s="13">
        <v>14.6</v>
      </c>
      <c r="AQ169" s="2">
        <v>3.9</v>
      </c>
      <c r="AR169" s="2">
        <v>2.4</v>
      </c>
      <c r="AS169" s="2" t="s">
        <v>104</v>
      </c>
      <c r="AT169" s="9" t="str">
        <f>HYPERLINK(".\links\NR-LIGHT\AGAP010263-PA-NR-LIGHT.txt","hypothetical protein ZHAS_00013439")</f>
        <v>hypothetical protein ZHAS_00013439</v>
      </c>
      <c r="AU169" s="2" t="str">
        <f>HYPERLINK("http://www.ncbi.nlm.nih.gov/sutils/blink.cgi?pid=KFB45501.1","0.0")</f>
        <v>0.0</v>
      </c>
      <c r="AV169" s="2" t="str">
        <f>HYPERLINK("http://www.ncbi.nlm.nih.gov/protein/KFB45501.1","KFB45501.1")</f>
        <v>KFB45501.1</v>
      </c>
      <c r="AW169" s="2">
        <v>80</v>
      </c>
      <c r="AX169" s="2">
        <v>89</v>
      </c>
      <c r="AY169" s="2">
        <v>98</v>
      </c>
      <c r="AZ169" s="2" t="s">
        <v>1522</v>
      </c>
      <c r="BA169" s="9" t="str">
        <f>HYPERLINK(".\links\REFSEQ-INVERTEBRATE\AGAP010263-PA-REFSEQ-INVERTEBRATE.txt","thyroid adenoma-associated protein homolog")</f>
        <v>thyroid adenoma-associated protein homolog</v>
      </c>
      <c r="BB169" s="2" t="str">
        <f>HYPERLINK("http://www.ncbi.nlm.nih.gov/sutils/blink.cgi?pid=XP_019541135.1","0.0")</f>
        <v>0.0</v>
      </c>
      <c r="BC169" s="2" t="str">
        <f>HYPERLINK("http://www.ncbi.nlm.nih.gov/protein/XP_019541135.1","XP_019541135.1")</f>
        <v>XP_019541135.1</v>
      </c>
      <c r="BD169" s="2">
        <v>57</v>
      </c>
      <c r="BE169" s="2">
        <v>75</v>
      </c>
      <c r="BF169" s="2">
        <v>103</v>
      </c>
      <c r="BG169" s="2" t="s">
        <v>361</v>
      </c>
      <c r="BH169" s="9" t="str">
        <f>HYPERLINK(".\links\REFSEQ-PROTOZOA\AGAP010263-PA-REFSEQ-PROTOZOA.txt","hypothetical protein PPL_01478")</f>
        <v>hypothetical protein PPL_01478</v>
      </c>
      <c r="BI169" s="2" t="str">
        <f>HYPERLINK("http://www.ncbi.nlm.nih.gov/sutils/blink.cgi?pid=XP_020437629.1","8E-060")</f>
        <v>8E-060</v>
      </c>
      <c r="BJ169" s="2" t="str">
        <f>HYPERLINK("http://www.ncbi.nlm.nih.gov/protein/XP_020437629.1","XP_020437629.1")</f>
        <v>XP_020437629.1</v>
      </c>
      <c r="BK169" s="2">
        <v>24</v>
      </c>
      <c r="BL169" s="2">
        <v>42</v>
      </c>
      <c r="BM169" s="2">
        <v>42</v>
      </c>
      <c r="BN169" s="2" t="s">
        <v>762</v>
      </c>
      <c r="BO169" s="9" t="str">
        <f>HYPERLINK(".\links\SWISSP\AGAP010263-PA-SWISSP.txt","Thyroid adenoma-associated protein homolog")</f>
        <v>Thyroid adenoma-associated protein homolog</v>
      </c>
      <c r="BP169" s="2" t="str">
        <f>HYPERLINK("http://www.uniprot.org/uniprot/Q9VWB9","1E-140")</f>
        <v>1E-140</v>
      </c>
      <c r="BQ169" s="2" t="str">
        <f>HYPERLINK("http://www.uniprot.org/uniprot/Q9VWB9#expression","Q9VWB9")</f>
        <v>Q9VWB9</v>
      </c>
      <c r="BR169" s="2">
        <v>28</v>
      </c>
      <c r="BS169" s="2">
        <v>49</v>
      </c>
      <c r="BT169" s="2">
        <v>81</v>
      </c>
      <c r="BU169" s="2" t="s">
        <v>107</v>
      </c>
      <c r="BV169" s="9" t="str">
        <f>HYPERLINK(".\links\FLYBASE\AGAP010263-PA-FLYBASE.txt","FBpp0288416")</f>
        <v>FBpp0288416</v>
      </c>
      <c r="BW169" s="2" t="str">
        <f>HYPERLINK("http://flybase.org/reports/FBgn0031077#alliance_summary_container","1E-140")</f>
        <v>1E-140</v>
      </c>
      <c r="BX169" s="2">
        <v>1746</v>
      </c>
      <c r="BY169" s="2">
        <v>28</v>
      </c>
      <c r="BZ169" s="2">
        <v>49</v>
      </c>
      <c r="CA169" s="2">
        <v>79</v>
      </c>
      <c r="CB169" s="9" t="str">
        <f>HYPERLINK(".\links\CDD\AGAP010263-PA-CDD.txt","DUF2428, Putative death-receptor fusion protein (DUF2428)")</f>
        <v>DUF2428, Putative death-receptor fusion protein (DUF2428)</v>
      </c>
      <c r="CC169" s="15">
        <v>2.0000000000000001E-61</v>
      </c>
      <c r="CD169" s="2">
        <v>125.3</v>
      </c>
      <c r="CE169" s="2" t="s">
        <v>1943</v>
      </c>
      <c r="CF169" s="2" t="s">
        <v>1944</v>
      </c>
      <c r="CG169" s="9" t="str">
        <f>HYPERLINK(".\links\KOG\AGAP010263-PA-KOG.txt","Cell cycle-associated protein")</f>
        <v>Cell cycle-associated protein</v>
      </c>
      <c r="CH169" s="15">
        <v>4.9999999999999998E-76</v>
      </c>
      <c r="CI169" s="2">
        <v>59.6</v>
      </c>
      <c r="CJ169" s="2" t="s">
        <v>1945</v>
      </c>
      <c r="CK169" s="2" t="s">
        <v>700</v>
      </c>
      <c r="CL169" s="9" t="str">
        <f>HYPERLINK(".\links\PFAM\AGAP010263-PA-PFAM.txt","DUF2428, Putative death-receptor fusion protein (DUF2428)")</f>
        <v>DUF2428, Putative death-receptor fusion protein (DUF2428)</v>
      </c>
      <c r="CM169" s="15">
        <v>4.0000000000000002E-62</v>
      </c>
      <c r="CN169" s="2">
        <v>125.3</v>
      </c>
      <c r="CO169" s="2" t="s">
        <v>1943</v>
      </c>
      <c r="CP169" s="9" t="str">
        <f>HYPERLINK(".\links\SMART\AGAP010263-PA-SMART.txt","LamNT, Laminin N-terminal domain (domain VI)")</f>
        <v>LamNT, Laminin N-terminal domain (domain VI)</v>
      </c>
      <c r="CQ169" s="15">
        <v>0.22</v>
      </c>
      <c r="CR169" s="2">
        <v>24.8</v>
      </c>
      <c r="CS169" s="2" t="s">
        <v>1946</v>
      </c>
      <c r="CT169" s="2" t="s">
        <v>1940</v>
      </c>
      <c r="CU169" s="2" t="s">
        <v>1940</v>
      </c>
      <c r="CV169" s="2" t="s">
        <v>1940</v>
      </c>
      <c r="CW169" s="2" t="str">
        <f>HYPERLINK(".\links\pep\AGAP010263-PA-pep.txt","AGAP010263-PA")</f>
        <v>AGAP010263-PA</v>
      </c>
      <c r="CX169" s="2" t="s">
        <v>95</v>
      </c>
      <c r="CY169" s="2">
        <v>1844</v>
      </c>
      <c r="CZ169" s="2" t="s">
        <v>113</v>
      </c>
      <c r="DA169" s="2" t="s">
        <v>1947</v>
      </c>
      <c r="DB169" s="2">
        <v>0</v>
      </c>
      <c r="DC169" s="2">
        <v>0</v>
      </c>
      <c r="DD169" s="2" t="str">
        <f>HYPERLINK("https://www.kegg.jp/kegg-bin/search_pathway_text?map=aga&amp;keyword=AGAP010263&amp;mode=1&amp;viewImage=true","AGAP010263")</f>
        <v>AGAP010263</v>
      </c>
      <c r="DE169" s="2" t="s">
        <v>1938</v>
      </c>
      <c r="DF169" s="2" t="s">
        <v>93</v>
      </c>
      <c r="DG169" s="2" t="s">
        <v>94</v>
      </c>
      <c r="DH169" s="2" t="str">
        <f>HYPERLINK("https://vectorbase.org/vectorbase/app/record/gene/AGAP010263","AGAP010263-RA")</f>
        <v>AGAP010263-RA</v>
      </c>
      <c r="DI169" s="2" t="s">
        <v>118</v>
      </c>
      <c r="DJ169" s="2">
        <v>5909</v>
      </c>
      <c r="DK169" s="2" t="str">
        <f>HYPERLINK(".\links\netoglyc\AGAP010263-PA-netoglyc.txt","0")</f>
        <v>0</v>
      </c>
      <c r="DL169" s="2">
        <v>14.6</v>
      </c>
      <c r="DM169" s="2">
        <v>3.9</v>
      </c>
      <c r="DN169" s="2">
        <v>2.4</v>
      </c>
      <c r="DO169" s="2" t="s">
        <v>104</v>
      </c>
      <c r="DP169" s="2" t="s">
        <v>102</v>
      </c>
      <c r="DQ169" s="2" t="str">
        <f>HYPERLINK(".\links\Sigp\AGAP010263-PA-SigP.txt","CYT")</f>
        <v>CYT</v>
      </c>
      <c r="DR169" s="2" t="s">
        <v>102</v>
      </c>
      <c r="DS169" s="2">
        <v>209.45400000000001</v>
      </c>
      <c r="DT169" s="2">
        <v>6.25</v>
      </c>
      <c r="DU169" s="2" t="s">
        <v>102</v>
      </c>
      <c r="DV169" s="2" t="s">
        <v>102</v>
      </c>
      <c r="DW169" s="2" t="s">
        <v>1942</v>
      </c>
      <c r="DX169" s="2">
        <v>1844</v>
      </c>
      <c r="DY169" s="12">
        <v>0</v>
      </c>
      <c r="DZ169" s="2" t="s">
        <v>102</v>
      </c>
      <c r="EA169" s="2" t="s">
        <v>102</v>
      </c>
      <c r="EB169" s="2" t="s">
        <v>102</v>
      </c>
      <c r="EC169" s="2" t="str">
        <f>HYPERLINK(".\links\gpi\AGAP010263-PA-gpi.txt","N")</f>
        <v>N</v>
      </c>
      <c r="ED169" s="2">
        <v>0.25</v>
      </c>
      <c r="EF169" s="2">
        <v>48</v>
      </c>
      <c r="EG169" s="2" t="str">
        <f>HYPERLINK(".\links\pep\AGAP010263-PA-sulf.txt","2")</f>
        <v>2</v>
      </c>
      <c r="EH169" s="2" t="s">
        <v>102</v>
      </c>
      <c r="EI169" s="2">
        <v>14.6420824295011</v>
      </c>
      <c r="EJ169" s="2">
        <v>2.4403470715835098</v>
      </c>
      <c r="EK169" s="2">
        <v>3.9045553145336198</v>
      </c>
      <c r="EL169" s="2">
        <v>6.3449023861171403</v>
      </c>
      <c r="EM169" s="2" t="s">
        <v>102</v>
      </c>
      <c r="EN169" s="2">
        <v>4</v>
      </c>
      <c r="EO169" s="2">
        <v>4</v>
      </c>
      <c r="EP169" s="2" t="s">
        <v>102</v>
      </c>
      <c r="EQ169" s="2" t="s">
        <v>102</v>
      </c>
      <c r="ER169" s="2" t="s">
        <v>102</v>
      </c>
      <c r="ES169" s="2" t="s">
        <v>102</v>
      </c>
      <c r="ET169" s="2" t="str">
        <f>HYPERLINK(".\links\REFSEQ-INVERTEBRATE\AGAP010263-PA-REFSEQ-INVERTEBRATE.txt","thyroid adenoma-associated protein homolog")</f>
        <v>thyroid adenoma-associated protein homolog</v>
      </c>
      <c r="EU169" s="2" t="str">
        <f>HYPERLINK("http://www.ncbi.nlm.nih.gov/sutils/blink.cgi?pid=XP_035909375.1","0.0")</f>
        <v>0.0</v>
      </c>
      <c r="EV169" s="2" t="str">
        <f>HYPERLINK("http://www.ncbi.nlm.nih.gov/protein/XP_035909375.1","XP_035909375.1")</f>
        <v>XP_035909375.1</v>
      </c>
      <c r="EW169" s="2">
        <v>87</v>
      </c>
      <c r="EX169" s="2">
        <v>93</v>
      </c>
      <c r="EY169" s="2">
        <v>100</v>
      </c>
      <c r="EZ169" s="2" t="s">
        <v>370</v>
      </c>
    </row>
    <row r="170" spans="1:156" x14ac:dyDescent="0.25">
      <c r="A170" s="2" t="s">
        <v>1948</v>
      </c>
      <c r="B170" s="2">
        <v>0.33409044773081098</v>
      </c>
      <c r="C170" s="2">
        <f t="shared" si="2"/>
        <v>1.2605824195425539</v>
      </c>
      <c r="D170" s="2">
        <v>6.9456505227836303</v>
      </c>
      <c r="E170" s="2">
        <v>11.776917157913401</v>
      </c>
      <c r="F170" s="2">
        <v>5.9969717698731104E-4</v>
      </c>
      <c r="G170" s="2">
        <v>2.76392410462655E-2</v>
      </c>
      <c r="H170" s="2" t="s">
        <v>1949</v>
      </c>
      <c r="I170" s="2" t="s">
        <v>94</v>
      </c>
      <c r="J170" s="2" t="str">
        <f>HYPERLINK("https://vectorbase.org/vectorbase/app/record/gene/AGAP010386","AGAP010386-RA")</f>
        <v>AGAP010386-RA</v>
      </c>
      <c r="K170" s="2" t="str">
        <f>HYPERLINK(".\links\pep\AGAP010386-PA-pep.txt","AGAP010386-PA")</f>
        <v>AGAP010386-PA</v>
      </c>
      <c r="L170" s="12" t="s">
        <v>95</v>
      </c>
      <c r="M170" s="2">
        <v>374</v>
      </c>
      <c r="N170" s="2">
        <v>0</v>
      </c>
      <c r="O170" s="2">
        <v>1</v>
      </c>
      <c r="P170" s="2" t="s">
        <v>1950</v>
      </c>
      <c r="Q170" s="9" t="s">
        <v>1951</v>
      </c>
      <c r="R170" s="2" t="s">
        <v>1079</v>
      </c>
      <c r="S170" s="2" t="str">
        <f>HYPERLINK(".\links\KOG\AGAP010386-PA-KOG.txt","KOG")</f>
        <v>KOG</v>
      </c>
      <c r="T170" s="2">
        <v>0</v>
      </c>
      <c r="U170" s="2">
        <v>99.4</v>
      </c>
      <c r="V170" s="2" t="s">
        <v>1952</v>
      </c>
      <c r="W170" s="10" t="s">
        <v>1953</v>
      </c>
      <c r="X170" s="2" t="s">
        <v>1079</v>
      </c>
      <c r="Y170" s="2" t="str">
        <f>HYPERLINK(".\links\KOG\AGAP010386-PA-KOG.txt","KOG")</f>
        <v>KOG</v>
      </c>
      <c r="Z170" s="15">
        <v>3.0000000000000001E-93</v>
      </c>
      <c r="AA170" s="2">
        <v>98.6</v>
      </c>
      <c r="AB170" s="13" t="s">
        <v>102</v>
      </c>
      <c r="AC170" s="13" t="str">
        <f>HYPERLINK(".\links\Sigp\AGAP010386-PA-SigP.txt","CYT")</f>
        <v>CYT</v>
      </c>
      <c r="AD170" s="2" t="s">
        <v>102</v>
      </c>
      <c r="AE170" s="2">
        <v>42.720999999999997</v>
      </c>
      <c r="AF170" s="2">
        <v>9.51</v>
      </c>
      <c r="AG170" s="2" t="s">
        <v>102</v>
      </c>
      <c r="AH170" s="2" t="s">
        <v>102</v>
      </c>
      <c r="AI170" s="2" t="s">
        <v>1954</v>
      </c>
      <c r="AJ170" s="13" t="str">
        <f>HYPERLINK(".\links\tmhmm\AGAP010386-PA-tmhmm.txt","6")</f>
        <v>6</v>
      </c>
      <c r="AK170" s="2">
        <v>34.5</v>
      </c>
      <c r="AL170" s="2">
        <v>12</v>
      </c>
      <c r="AM170" s="2">
        <v>53.5</v>
      </c>
      <c r="AN170" s="13" t="str">
        <f>HYPERLINK(".\links\gpi\AGAP010386-PA-gpi.txt","N")</f>
        <v>N</v>
      </c>
      <c r="AO170" s="14" t="str">
        <f>HYPERLINK(".\links\netoglyc\AGAP010386-PA-netoglyc.txt","0")</f>
        <v>0</v>
      </c>
      <c r="AP170" s="13">
        <v>10.4</v>
      </c>
      <c r="AQ170" s="2">
        <v>5.0999999999999996</v>
      </c>
      <c r="AR170" s="2">
        <v>2.9</v>
      </c>
      <c r="AS170" s="2" t="s">
        <v>104</v>
      </c>
      <c r="AT170" s="9" t="str">
        <f>HYPERLINK(".\links\NR-LIGHT\AGAP010386-PA-NR-LIGHT.txt","AGAP010386-PA")</f>
        <v>AGAP010386-PA</v>
      </c>
      <c r="AU170" s="2" t="str">
        <f>HYPERLINK("http://www.ncbi.nlm.nih.gov/sutils/blink.cgi?pid=XP_311560.3","0.0")</f>
        <v>0.0</v>
      </c>
      <c r="AV170" s="2" t="str">
        <f>HYPERLINK("http://www.ncbi.nlm.nih.gov/protein/XP_311560.3","XP_311560.3")</f>
        <v>XP_311560.3</v>
      </c>
      <c r="AW170" s="2">
        <v>100</v>
      </c>
      <c r="AX170" s="2">
        <v>100</v>
      </c>
      <c r="AY170" s="2">
        <v>100</v>
      </c>
      <c r="AZ170" s="2" t="s">
        <v>105</v>
      </c>
      <c r="BA170" s="9" t="str">
        <f>HYPERLINK(".\links\REFSEQ-INVERTEBRATE\AGAP010386-PA-REFSEQ-INVERTEBRATE.txt","AGAP010386-PA")</f>
        <v>AGAP010386-PA</v>
      </c>
      <c r="BB170" s="2" t="str">
        <f>HYPERLINK("http://www.ncbi.nlm.nih.gov/sutils/blink.cgi?pid=XP_311560.3","0.0")</f>
        <v>0.0</v>
      </c>
      <c r="BC170" s="2" t="str">
        <f>HYPERLINK("http://www.ncbi.nlm.nih.gov/protein/XP_311560.3","XP_311560.3")</f>
        <v>XP_311560.3</v>
      </c>
      <c r="BD170" s="2">
        <v>100</v>
      </c>
      <c r="BE170" s="2">
        <v>100</v>
      </c>
      <c r="BF170" s="2">
        <v>100</v>
      </c>
      <c r="BG170" s="2" t="s">
        <v>105</v>
      </c>
      <c r="BH170" s="9" t="str">
        <f>HYPERLINK(".\links\REFSEQ-PROTOZOA\AGAP010386-PA-REFSEQ-PROTOZOA.txt","hypothetical protein CAOG_05021")</f>
        <v>hypothetical protein CAOG_05021</v>
      </c>
      <c r="BI170" s="2" t="str">
        <f>HYPERLINK("http://www.ncbi.nlm.nih.gov/sutils/blink.cgi?pid=XP_004346706.2","2E-018")</f>
        <v>2E-018</v>
      </c>
      <c r="BJ170" s="2" t="str">
        <f>HYPERLINK("http://www.ncbi.nlm.nih.gov/protein/XP_004346706.2","XP_004346706.2")</f>
        <v>XP_004346706.2</v>
      </c>
      <c r="BK170" s="2">
        <v>21</v>
      </c>
      <c r="BL170" s="2">
        <v>40</v>
      </c>
      <c r="BM170" s="2">
        <v>91</v>
      </c>
      <c r="BN170" s="2" t="s">
        <v>106</v>
      </c>
      <c r="BO170" s="9" t="str">
        <f>HYPERLINK(".\links\SWISSP\AGAP010386-PA-SWISSP.txt","Translocating chain-associated membrane protein 1")</f>
        <v>Translocating chain-associated membrane protein 1</v>
      </c>
      <c r="BP170" s="2" t="str">
        <f>HYPERLINK("http://www.uniprot.org/uniprot/Q9GKZ4","4E-068")</f>
        <v>4E-068</v>
      </c>
      <c r="BQ170" s="2" t="str">
        <f>HYPERLINK("http://www.uniprot.org/uniprot/Q9GKZ4#expression","Q9GKZ4")</f>
        <v>Q9GKZ4</v>
      </c>
      <c r="BR170" s="2">
        <v>40</v>
      </c>
      <c r="BS170" s="2">
        <v>58</v>
      </c>
      <c r="BT170" s="2">
        <v>98</v>
      </c>
      <c r="BU170" s="2" t="s">
        <v>1284</v>
      </c>
      <c r="BV170" s="9" t="str">
        <f>HYPERLINK(".\links\FLYBASE\AGAP010386-PA-FLYBASE.txt","FBpp0304840")</f>
        <v>FBpp0304840</v>
      </c>
      <c r="BW170" s="2" t="str">
        <f>HYPERLINK("http://flybase.org/reports/FBgn0040340#alliance_summary_container","1E-162")</f>
        <v>1E-162</v>
      </c>
      <c r="BX170" s="2">
        <v>368</v>
      </c>
      <c r="BY170" s="2">
        <v>59</v>
      </c>
      <c r="BZ170" s="2">
        <v>76</v>
      </c>
      <c r="CA170" s="2">
        <v>98</v>
      </c>
      <c r="CB170" s="9" t="str">
        <f>HYPERLINK(".\links\CDD\AGAP010386-PA-CDD.txt","TLC, TRAM, LAG1 and CLN8 homology domains")</f>
        <v>TLC, TRAM, LAG1 and CLN8 homology domains</v>
      </c>
      <c r="CC170" s="15">
        <v>5.9999999999999999E-19</v>
      </c>
      <c r="CD170" s="2">
        <v>96.1</v>
      </c>
      <c r="CE170" s="2" t="s">
        <v>1955</v>
      </c>
      <c r="CF170" s="2" t="s">
        <v>1956</v>
      </c>
      <c r="CG170" s="9" t="str">
        <f>HYPERLINK(".\links\KOG\AGAP010386-PA-KOG.txt","Protein transporter of the TRAM (translocating chain-associating membrane) superfamily")</f>
        <v>Protein transporter of the TRAM (translocating chain-associating membrane) superfamily</v>
      </c>
      <c r="CH170" s="15">
        <v>1.0000000000000001E-110</v>
      </c>
      <c r="CI170" s="2">
        <v>99.5</v>
      </c>
      <c r="CJ170" s="2" t="s">
        <v>1957</v>
      </c>
      <c r="CK170" s="2" t="s">
        <v>154</v>
      </c>
      <c r="CL170" s="9" t="str">
        <f>HYPERLINK(".\links\PFAM\AGAP010386-PA-PFAM.txt","TRAM_LAG1_CLN8, TLC domain")</f>
        <v>TRAM_LAG1_CLN8, TLC domain</v>
      </c>
      <c r="CM170" s="15">
        <v>9.9999999999999998E-20</v>
      </c>
      <c r="CN170" s="2">
        <v>99.5</v>
      </c>
      <c r="CO170" s="2" t="s">
        <v>1958</v>
      </c>
      <c r="CP170" s="9" t="str">
        <f>HYPERLINK(".\links\SMART\AGAP010386-PA-SMART.txt","TLC, TRAM, LAG1 and CLN8 homology domains")</f>
        <v>TLC, TRAM, LAG1 and CLN8 homology domains</v>
      </c>
      <c r="CQ170" s="15">
        <v>5.9999999999999998E-21</v>
      </c>
      <c r="CR170" s="2">
        <v>96.1</v>
      </c>
      <c r="CS170" s="2" t="s">
        <v>1955</v>
      </c>
      <c r="CT170" s="2" t="s">
        <v>1952</v>
      </c>
      <c r="CU170" s="2" t="s">
        <v>1952</v>
      </c>
      <c r="CV170" s="2" t="s">
        <v>1952</v>
      </c>
      <c r="CW170" s="2" t="str">
        <f>HYPERLINK(".\links\pep\AGAP010386-PA-pep.txt","AGAP010386-PA")</f>
        <v>AGAP010386-PA</v>
      </c>
      <c r="CX170" s="2" t="s">
        <v>95</v>
      </c>
      <c r="CY170" s="2">
        <v>374</v>
      </c>
      <c r="CZ170" s="2" t="s">
        <v>113</v>
      </c>
      <c r="DA170" s="2" t="s">
        <v>1959</v>
      </c>
      <c r="DB170" s="2">
        <v>0</v>
      </c>
      <c r="DC170" s="2">
        <v>1</v>
      </c>
      <c r="DD170" s="2" t="str">
        <f>HYPERLINK("https://www.kegg.jp/kegg-bin/search_pathway_text?map=aga&amp;keyword=AGAP010386&amp;mode=1&amp;viewImage=true","AGAP010386")</f>
        <v>AGAP010386</v>
      </c>
      <c r="DE170" s="2" t="s">
        <v>1948</v>
      </c>
      <c r="DF170" s="2" t="s">
        <v>1949</v>
      </c>
      <c r="DG170" s="2" t="s">
        <v>94</v>
      </c>
      <c r="DH170" s="2" t="str">
        <f>HYPERLINK("https://vectorbase.org/vectorbase/app/record/gene/AGAP010386","AGAP010386-RA")</f>
        <v>AGAP010386-RA</v>
      </c>
      <c r="DI170" s="2" t="s">
        <v>135</v>
      </c>
      <c r="DJ170" s="2">
        <v>1866</v>
      </c>
      <c r="DK170" s="2" t="str">
        <f>HYPERLINK(".\links\netoglyc\AGAP010386-PA-netoglyc.txt","0")</f>
        <v>0</v>
      </c>
      <c r="DL170" s="2">
        <v>10.4</v>
      </c>
      <c r="DM170" s="2">
        <v>5.0999999999999996</v>
      </c>
      <c r="DN170" s="2">
        <v>2.9</v>
      </c>
      <c r="DO170" s="2" t="s">
        <v>104</v>
      </c>
      <c r="DP170" s="2" t="s">
        <v>1960</v>
      </c>
      <c r="DQ170" s="2" t="str">
        <f>HYPERLINK(".\links\Sigp\AGAP010386-PA-SigP.txt","CYT")</f>
        <v>CYT</v>
      </c>
      <c r="DR170" s="2" t="s">
        <v>102</v>
      </c>
      <c r="DS170" s="2">
        <v>42.720999999999997</v>
      </c>
      <c r="DT170" s="2">
        <v>9.51</v>
      </c>
      <c r="DU170" s="2" t="s">
        <v>102</v>
      </c>
      <c r="DV170" s="2" t="s">
        <v>102</v>
      </c>
      <c r="DW170" s="2" t="s">
        <v>1954</v>
      </c>
      <c r="DX170" s="2">
        <v>374</v>
      </c>
      <c r="DY170" s="12" t="str">
        <f>HYPERLINK(".\links\tmhmm\AGAP010386-PA-tmhmm.txt","6")</f>
        <v>6</v>
      </c>
      <c r="DZ170" s="2">
        <v>34.5</v>
      </c>
      <c r="EA170" s="2">
        <v>12</v>
      </c>
      <c r="EB170" s="2">
        <v>53.5</v>
      </c>
      <c r="EC170" s="2" t="str">
        <f>HYPERLINK(".\links\gpi\AGAP010386-PA-gpi.txt","Y-NoSP")</f>
        <v>Y-NoSP</v>
      </c>
      <c r="ED170" s="2">
        <v>0.31</v>
      </c>
      <c r="EF170" s="2">
        <v>4</v>
      </c>
      <c r="EG170" s="2" t="s">
        <v>102</v>
      </c>
      <c r="EH170" s="2" t="s">
        <v>102</v>
      </c>
      <c r="EI170" s="2">
        <v>10.427807486631</v>
      </c>
      <c r="EJ170" s="2">
        <v>2.9411764705882399</v>
      </c>
      <c r="EK170" s="2">
        <v>5.0802139037433198</v>
      </c>
      <c r="EL170" s="2">
        <v>8.0213903743315491</v>
      </c>
      <c r="EM170" s="2" t="s">
        <v>102</v>
      </c>
      <c r="EN170" s="2" t="s">
        <v>102</v>
      </c>
      <c r="EO170" s="2" t="s">
        <v>102</v>
      </c>
      <c r="EP170" s="2" t="s">
        <v>102</v>
      </c>
      <c r="EQ170" s="2" t="s">
        <v>102</v>
      </c>
      <c r="ER170" s="2" t="s">
        <v>102</v>
      </c>
      <c r="ES170" s="2" t="s">
        <v>102</v>
      </c>
      <c r="ET170" s="2" t="str">
        <f>HYPERLINK(".\links\REFSEQ-INVERTEBRATE\AGAP010386-PA-REFSEQ-INVERTEBRATE.txt","AGAP010386-PA")</f>
        <v>AGAP010386-PA</v>
      </c>
      <c r="EU170" s="2" t="str">
        <f>HYPERLINK("http://www.ncbi.nlm.nih.gov/sutils/blink.cgi?pid=XP_311560.3","0.0")</f>
        <v>0.0</v>
      </c>
      <c r="EV170" s="2" t="str">
        <f>HYPERLINK("http://www.ncbi.nlm.nih.gov/protein/XP_311560.3","XP_311560.3")</f>
        <v>XP_311560.3</v>
      </c>
      <c r="EW170" s="2">
        <v>100</v>
      </c>
      <c r="EX170" s="2">
        <v>100</v>
      </c>
      <c r="EY170" s="2">
        <v>100</v>
      </c>
      <c r="EZ170" s="2" t="s">
        <v>105</v>
      </c>
    </row>
    <row r="171" spans="1:156" x14ac:dyDescent="0.25">
      <c r="A171" s="2" t="s">
        <v>1961</v>
      </c>
      <c r="B171" s="2">
        <v>0.333414851021898</v>
      </c>
      <c r="C171" s="2">
        <f t="shared" si="2"/>
        <v>1.2599922421777454</v>
      </c>
      <c r="D171" s="2">
        <v>6.6803264478354603</v>
      </c>
      <c r="E171" s="2">
        <v>11.013573210977601</v>
      </c>
      <c r="F171" s="2">
        <v>9.0447119793483205E-4</v>
      </c>
      <c r="G171" s="2">
        <v>3.06863845079768E-2</v>
      </c>
      <c r="H171" s="2" t="s">
        <v>93</v>
      </c>
      <c r="I171" s="2" t="s">
        <v>94</v>
      </c>
      <c r="J171" s="2" t="str">
        <f>HYPERLINK("https://vectorbase.org/vectorbase/app/record/gene/AGAP004626","AGAP004626-RA")</f>
        <v>AGAP004626-RA</v>
      </c>
      <c r="K171" s="2" t="str">
        <f>HYPERLINK(".\links\pep\AGAP004626-PA-pep.txt","AGAP004626-PA")</f>
        <v>AGAP004626-PA</v>
      </c>
      <c r="L171" s="12" t="s">
        <v>95</v>
      </c>
      <c r="M171" s="2">
        <v>235</v>
      </c>
      <c r="N171" s="2">
        <v>0</v>
      </c>
      <c r="O171" s="2">
        <v>2</v>
      </c>
      <c r="P171" s="2" t="s">
        <v>102</v>
      </c>
      <c r="Q171" s="9" t="s">
        <v>1962</v>
      </c>
      <c r="R171" s="2" t="s">
        <v>358</v>
      </c>
      <c r="S171" s="2" t="str">
        <f>HYPERLINK(".\links\NR-LIGHT\AGAP004626-PA-NR-LIGHT.txt","NR-LIGHT")</f>
        <v>NR-LIGHT</v>
      </c>
      <c r="T171" s="2">
        <v>0</v>
      </c>
      <c r="U171" s="2">
        <v>99.5</v>
      </c>
      <c r="V171" s="2" t="s">
        <v>1963</v>
      </c>
      <c r="W171" s="10" t="s">
        <v>1964</v>
      </c>
      <c r="X171" s="2" t="s">
        <v>101</v>
      </c>
      <c r="Y171" s="2" t="str">
        <f>HYPERLINK(".\links\UNIPROTKB\AGAP004626-PA-UNIPROTKB.txt","UNIPROTKB")</f>
        <v>UNIPROTKB</v>
      </c>
      <c r="Z171" s="15">
        <v>8.9999999999999997E-53</v>
      </c>
      <c r="AA171" s="2">
        <v>75.900000000000006</v>
      </c>
      <c r="AB171" s="13" t="str">
        <f>HYPERLINK(".\links\pep\AGAP004626-PA-sulf.txt","1")</f>
        <v>1</v>
      </c>
      <c r="AC171" s="13" t="str">
        <f>HYPERLINK(".\links\Sigp\AGAP004626-PA-SigP.txt","SIG")</f>
        <v>SIG</v>
      </c>
      <c r="AD171" s="2" t="s">
        <v>228</v>
      </c>
      <c r="AE171" s="2">
        <v>26.789000000000001</v>
      </c>
      <c r="AF171" s="2">
        <v>8.81</v>
      </c>
      <c r="AG171" s="2">
        <v>24.559000000000001</v>
      </c>
      <c r="AH171" s="2">
        <v>7.95</v>
      </c>
      <c r="AI171" s="2" t="s">
        <v>1965</v>
      </c>
      <c r="AJ171" s="13" t="str">
        <f>HYPERLINK(".\links\tmhmm\AGAP004626-PA-tmhmm.txt","1")</f>
        <v>1</v>
      </c>
      <c r="AK171" s="2">
        <v>9.4</v>
      </c>
      <c r="AL171" s="2">
        <v>63.4</v>
      </c>
      <c r="AM171" s="2">
        <v>27.2</v>
      </c>
      <c r="AN171" s="13" t="str">
        <f>HYPERLINK(".\links\gpi\AGAP004626-PA-gpi.txt","N")</f>
        <v>N</v>
      </c>
      <c r="AO171" s="14" t="str">
        <f>HYPERLINK(".\links\netoglyc\AGAP004626-PA-netoglyc.txt","0")</f>
        <v>0</v>
      </c>
      <c r="AP171" s="13">
        <v>10.199999999999999</v>
      </c>
      <c r="AQ171" s="2">
        <v>6</v>
      </c>
      <c r="AR171" s="2">
        <v>6.8</v>
      </c>
      <c r="AS171" s="2" t="s">
        <v>104</v>
      </c>
      <c r="AT171" s="9" t="str">
        <f>HYPERLINK(".\links\NR-LIGHT\AGAP004626-PA-NR-LIGHT.txt","AGAP004626-PA")</f>
        <v>AGAP004626-PA</v>
      </c>
      <c r="AU171" s="2" t="str">
        <f>HYPERLINK("http://www.ncbi.nlm.nih.gov/sutils/blink.cgi?pid=XP_315192.4","1E-131")</f>
        <v>1E-131</v>
      </c>
      <c r="AV171" s="2" t="str">
        <f>HYPERLINK("http://www.ncbi.nlm.nih.gov/protein/XP_315192.4","XP_315192.4")</f>
        <v>XP_315192.4</v>
      </c>
      <c r="AW171" s="2">
        <v>100</v>
      </c>
      <c r="AX171" s="2">
        <v>100</v>
      </c>
      <c r="AY171" s="2">
        <v>100</v>
      </c>
      <c r="AZ171" s="2" t="s">
        <v>105</v>
      </c>
      <c r="BA171" s="9" t="str">
        <f>HYPERLINK(".\links\REFSEQ-INVERTEBRATE\AGAP004626-PA-REFSEQ-INVERTEBRATE.txt","AGAP004626-PA")</f>
        <v>AGAP004626-PA</v>
      </c>
      <c r="BB171" s="2" t="str">
        <f>HYPERLINK("http://www.ncbi.nlm.nih.gov/sutils/blink.cgi?pid=XP_315192.4","1E-131")</f>
        <v>1E-131</v>
      </c>
      <c r="BC171" s="2" t="str">
        <f>HYPERLINK("http://www.ncbi.nlm.nih.gov/protein/XP_315192.4","XP_315192.4")</f>
        <v>XP_315192.4</v>
      </c>
      <c r="BD171" s="2">
        <v>100</v>
      </c>
      <c r="BE171" s="2">
        <v>100</v>
      </c>
      <c r="BF171" s="2">
        <v>100</v>
      </c>
      <c r="BG171" s="2" t="s">
        <v>105</v>
      </c>
      <c r="BH171" s="9" t="str">
        <f>HYPERLINK(".\links\REFSEQ-PROTOZOA\AGAP004626-PA-REFSEQ-PROTOZOA.txt","hypothetical protein CAOG_04337")</f>
        <v>hypothetical protein CAOG_04337</v>
      </c>
      <c r="BI171" s="2" t="str">
        <f>HYPERLINK("http://www.ncbi.nlm.nih.gov/sutils/blink.cgi?pid=XP_004348165.1","2E-025")</f>
        <v>2E-025</v>
      </c>
      <c r="BJ171" s="2" t="str">
        <f>HYPERLINK("http://www.ncbi.nlm.nih.gov/protein/XP_004348165.1","XP_004348165.1")</f>
        <v>XP_004348165.1</v>
      </c>
      <c r="BK171" s="2">
        <v>36</v>
      </c>
      <c r="BL171" s="2">
        <v>55</v>
      </c>
      <c r="BM171" s="2">
        <v>77</v>
      </c>
      <c r="BN171" s="2" t="s">
        <v>106</v>
      </c>
      <c r="BO171" s="9" t="str">
        <f>HYPERLINK(".\links\SWISSP\AGAP004626-PA-SWISSP.txt","ER membrane protein complex subunit 7 homolog")</f>
        <v>ER membrane protein complex subunit 7 homolog</v>
      </c>
      <c r="BP171" s="2" t="str">
        <f>HYPERLINK("http://www.uniprot.org/uniprot/Q8WQG1","5E-045")</f>
        <v>5E-045</v>
      </c>
      <c r="BQ171" s="2" t="str">
        <f>HYPERLINK("http://www.uniprot.org/uniprot/Q8WQG1#expression","Q8WQG1")</f>
        <v>Q8WQG1</v>
      </c>
      <c r="BR171" s="2">
        <v>43</v>
      </c>
      <c r="BS171" s="2">
        <v>65</v>
      </c>
      <c r="BT171" s="2">
        <v>100</v>
      </c>
      <c r="BU171" s="2" t="s">
        <v>1445</v>
      </c>
      <c r="BV171" s="9" t="str">
        <f>HYPERLINK(".\links\FLYBASE\AGAP004626-PA-FLYBASE.txt","FBpp0086399")</f>
        <v>FBpp0086399</v>
      </c>
      <c r="BW171" s="2" t="str">
        <f>HYPERLINK("http://flybase.org/reports/FBgn0034066#alliance_summary_container","7E-69")</f>
        <v>7E-69</v>
      </c>
      <c r="BX171" s="2">
        <v>245</v>
      </c>
      <c r="BY171" s="2">
        <v>53</v>
      </c>
      <c r="BZ171" s="2">
        <v>67</v>
      </c>
      <c r="CA171" s="2">
        <v>100</v>
      </c>
      <c r="CB171" s="9" t="str">
        <f>HYPERLINK(".\links\CDD\AGAP004626-PA-CDD.txt","DUF2012, Protein of unknown function (DUF2012)")</f>
        <v>DUF2012, Protein of unknown function (DUF2012)</v>
      </c>
      <c r="CC171" s="15">
        <v>1.9999999999999999E-28</v>
      </c>
      <c r="CD171" s="2">
        <v>100</v>
      </c>
      <c r="CE171" s="2" t="s">
        <v>1966</v>
      </c>
      <c r="CF171" s="2" t="s">
        <v>1967</v>
      </c>
      <c r="CG171" s="9" t="str">
        <f>HYPERLINK(".\links\KOG\AGAP004626-PA-KOG.txt","Predicted membrane protein")</f>
        <v>Predicted membrane protein</v>
      </c>
      <c r="CH171" s="15">
        <v>2E-51</v>
      </c>
      <c r="CI171" s="2">
        <v>88.1</v>
      </c>
      <c r="CJ171" s="2" t="s">
        <v>1968</v>
      </c>
      <c r="CK171" s="2" t="s">
        <v>284</v>
      </c>
      <c r="CL171" s="9" t="str">
        <f>HYPERLINK(".\links\PFAM\AGAP004626-PA-PFAM.txt","DUF2012, Protein of unknown function (DUF2012)")</f>
        <v>DUF2012, Protein of unknown function (DUF2012)</v>
      </c>
      <c r="CM171" s="15">
        <v>4.9999999999999999E-29</v>
      </c>
      <c r="CN171" s="2">
        <v>100</v>
      </c>
      <c r="CO171" s="2" t="s">
        <v>1966</v>
      </c>
      <c r="CP171" s="9" t="str">
        <f>HYPERLINK(".\links\SMART\AGAP004626-PA-SMART.txt","NIDO, Extracellular domain of unknown function in nidogen (entactin) and hypothetical proteins")</f>
        <v>NIDO, Extracellular domain of unknown function in nidogen (entactin) and hypothetical proteins</v>
      </c>
      <c r="CQ171" s="15">
        <v>0.49</v>
      </c>
      <c r="CR171" s="2">
        <v>26.3</v>
      </c>
      <c r="CS171" s="2" t="s">
        <v>1969</v>
      </c>
      <c r="CT171" s="2" t="s">
        <v>1963</v>
      </c>
      <c r="CU171" s="2" t="s">
        <v>1963</v>
      </c>
      <c r="CV171" s="2" t="s">
        <v>1963</v>
      </c>
      <c r="CW171" s="2" t="str">
        <f>HYPERLINK(".\links\pep\AGAP004626-PA-pep.txt","AGAP004626-PA")</f>
        <v>AGAP004626-PA</v>
      </c>
      <c r="CX171" s="2" t="s">
        <v>95</v>
      </c>
      <c r="CY171" s="2">
        <v>235</v>
      </c>
      <c r="CZ171" s="2" t="s">
        <v>113</v>
      </c>
      <c r="DA171" s="2" t="s">
        <v>1970</v>
      </c>
      <c r="DB171" s="2">
        <v>0</v>
      </c>
      <c r="DC171" s="2">
        <v>2</v>
      </c>
      <c r="DD171" s="2" t="str">
        <f>HYPERLINK("https://www.kegg.jp/kegg-bin/search_pathway_text?map=aga&amp;keyword=AGAP004626&amp;mode=1&amp;viewImage=true","AGAP004626")</f>
        <v>AGAP004626</v>
      </c>
      <c r="DE171" s="2" t="s">
        <v>1961</v>
      </c>
      <c r="DF171" s="2" t="s">
        <v>93</v>
      </c>
      <c r="DG171" s="2" t="s">
        <v>94</v>
      </c>
      <c r="DH171" s="2" t="str">
        <f>HYPERLINK("https://vectorbase.org/vectorbase/app/record/gene/AGAP004626","AGAP004626-RA")</f>
        <v>AGAP004626-RA</v>
      </c>
      <c r="DI171" s="2" t="s">
        <v>115</v>
      </c>
      <c r="DJ171" s="2">
        <v>842</v>
      </c>
      <c r="DK171" s="2" t="str">
        <f>HYPERLINK(".\links\netoglyc\AGAP004626-PA-netoglyc.txt","0")</f>
        <v>0</v>
      </c>
      <c r="DL171" s="2">
        <v>10.199999999999999</v>
      </c>
      <c r="DM171" s="2">
        <v>6</v>
      </c>
      <c r="DN171" s="2">
        <v>6.8</v>
      </c>
      <c r="DO171" s="2" t="s">
        <v>104</v>
      </c>
      <c r="DP171" s="2" t="s">
        <v>102</v>
      </c>
      <c r="DQ171" s="2" t="str">
        <f>HYPERLINK(".\links\Sigp\AGAP004626-PA-SigP.txt","SIG")</f>
        <v>SIG</v>
      </c>
      <c r="DR171" s="2" t="s">
        <v>228</v>
      </c>
      <c r="DS171" s="2">
        <v>26.789000000000001</v>
      </c>
      <c r="DT171" s="2">
        <v>8.81</v>
      </c>
      <c r="DU171" s="2">
        <v>24.559000000000001</v>
      </c>
      <c r="DV171" s="2">
        <v>7.95</v>
      </c>
      <c r="DW171" s="2" t="s">
        <v>1965</v>
      </c>
      <c r="DX171" s="2">
        <v>235</v>
      </c>
      <c r="DY171" s="12" t="str">
        <f>HYPERLINK(".\links\tmhmm\AGAP004626-PA-tmhmm.txt","1")</f>
        <v>1</v>
      </c>
      <c r="DZ171" s="2">
        <v>9.4</v>
      </c>
      <c r="EA171" s="2">
        <v>63.4</v>
      </c>
      <c r="EB171" s="2">
        <v>27.2</v>
      </c>
      <c r="EC171" s="2" t="str">
        <f>HYPERLINK(".\links\gpi\AGAP004626-PA-gpi.txt","Y-NoSP")</f>
        <v>Y-NoSP</v>
      </c>
      <c r="ED171" s="2">
        <v>0.27</v>
      </c>
      <c r="EF171" s="2">
        <v>0</v>
      </c>
      <c r="EG171" s="2" t="str">
        <f>HYPERLINK(".\links\pep\AGAP004626-PA-sulf.txt","1")</f>
        <v>1</v>
      </c>
      <c r="EH171" s="2" t="s">
        <v>102</v>
      </c>
      <c r="EI171" s="2">
        <v>10.2127659574468</v>
      </c>
      <c r="EJ171" s="2">
        <v>6.8085106382978697</v>
      </c>
      <c r="EK171" s="2">
        <v>5.9574468085106398</v>
      </c>
      <c r="EL171" s="2">
        <v>12.7659574468085</v>
      </c>
      <c r="EM171" s="2" t="s">
        <v>102</v>
      </c>
      <c r="EN171" s="2">
        <v>2</v>
      </c>
      <c r="EO171" s="2">
        <v>2</v>
      </c>
      <c r="EP171" s="2" t="s">
        <v>102</v>
      </c>
      <c r="EQ171" s="2" t="s">
        <v>102</v>
      </c>
      <c r="ER171" s="2" t="s">
        <v>102</v>
      </c>
      <c r="ES171" s="2" t="s">
        <v>102</v>
      </c>
      <c r="ET171" s="2" t="str">
        <f>HYPERLINK(".\links\REFSEQ-INVERTEBRATE\AGAP004626-PA-REFSEQ-INVERTEBRATE.txt","AGAP004626-PA")</f>
        <v>AGAP004626-PA</v>
      </c>
      <c r="EU171" s="2" t="str">
        <f>HYPERLINK("http://www.ncbi.nlm.nih.gov/sutils/blink.cgi?pid=XP_315192.4","1E-173")</f>
        <v>1E-173</v>
      </c>
      <c r="EV171" s="2" t="str">
        <f>HYPERLINK("http://www.ncbi.nlm.nih.gov/protein/XP_315192.4","XP_315192.4")</f>
        <v>XP_315192.4</v>
      </c>
      <c r="EW171" s="2">
        <v>100</v>
      </c>
      <c r="EX171" s="2">
        <v>100</v>
      </c>
      <c r="EY171" s="2">
        <v>100</v>
      </c>
      <c r="EZ171" s="2" t="s">
        <v>105</v>
      </c>
    </row>
    <row r="172" spans="1:156" x14ac:dyDescent="0.25">
      <c r="A172" s="2" t="s">
        <v>1971</v>
      </c>
      <c r="B172" s="2">
        <v>0.332936722568205</v>
      </c>
      <c r="C172" s="2">
        <f t="shared" si="2"/>
        <v>1.2595747330657432</v>
      </c>
      <c r="D172" s="2">
        <v>8.6104506766995197</v>
      </c>
      <c r="E172" s="2">
        <v>11.775411599041</v>
      </c>
      <c r="F172" s="2">
        <v>6.0018240323701896E-4</v>
      </c>
      <c r="G172" s="2">
        <v>2.76392410462655E-2</v>
      </c>
      <c r="H172" s="2" t="s">
        <v>1972</v>
      </c>
      <c r="I172" s="2" t="s">
        <v>94</v>
      </c>
      <c r="J172" s="2" t="str">
        <f>HYPERLINK("https://vectorbase.org/vectorbase/app/record/gene/AGAP004502","AGAP004502-RB")</f>
        <v>AGAP004502-RB</v>
      </c>
      <c r="K172" s="2" t="str">
        <f>HYPERLINK(".\links\pep\AGAP004502-PB-pep.txt","AGAP004502-PB")</f>
        <v>AGAP004502-PB</v>
      </c>
      <c r="L172" s="12" t="s">
        <v>95</v>
      </c>
      <c r="M172" s="2">
        <v>445</v>
      </c>
      <c r="N172" s="2">
        <v>0</v>
      </c>
      <c r="O172" s="2">
        <v>2</v>
      </c>
      <c r="P172" s="2" t="s">
        <v>1973</v>
      </c>
      <c r="Q172" s="9" t="s">
        <v>1974</v>
      </c>
      <c r="R172" s="2" t="s">
        <v>355</v>
      </c>
      <c r="S172" s="2" t="str">
        <f>HYPERLINK(".\links\KOG\AGAP004502-PB-KOG.txt","KOG")</f>
        <v>KOG</v>
      </c>
      <c r="T172" s="2">
        <v>0</v>
      </c>
      <c r="U172" s="2">
        <v>102.7</v>
      </c>
      <c r="V172" s="2" t="s">
        <v>1975</v>
      </c>
      <c r="W172" s="10" t="s">
        <v>1976</v>
      </c>
      <c r="X172" s="2" t="s">
        <v>355</v>
      </c>
      <c r="Y172" s="2" t="str">
        <f>HYPERLINK(".\links\COG\AGAP004502-PB-COG.txt","COG")</f>
        <v>COG</v>
      </c>
      <c r="Z172" s="2">
        <v>0</v>
      </c>
      <c r="AA172" s="2">
        <v>96.5</v>
      </c>
      <c r="AB172" s="13" t="str">
        <f>HYPERLINK(".\links\pep\AGAP004502-PB-sulf.txt","2")</f>
        <v>2</v>
      </c>
      <c r="AC172" s="13" t="str">
        <f>HYPERLINK(".\links\Sigp\AGAP004502-PB-SigP.txt","CYT")</f>
        <v>CYT</v>
      </c>
      <c r="AD172" s="2" t="s">
        <v>102</v>
      </c>
      <c r="AE172" s="2">
        <v>51.305999999999997</v>
      </c>
      <c r="AF172" s="2">
        <v>5.91</v>
      </c>
      <c r="AG172" s="2" t="s">
        <v>102</v>
      </c>
      <c r="AH172" s="2" t="s">
        <v>102</v>
      </c>
      <c r="AI172" s="2" t="s">
        <v>910</v>
      </c>
      <c r="AJ172" s="13">
        <v>0</v>
      </c>
      <c r="AK172" s="2" t="s">
        <v>102</v>
      </c>
      <c r="AL172" s="2" t="s">
        <v>102</v>
      </c>
      <c r="AM172" s="2" t="s">
        <v>102</v>
      </c>
      <c r="AN172" s="13" t="str">
        <f>HYPERLINK(".\links\gpi\AGAP004502-PB-gpi.txt","N")</f>
        <v>N</v>
      </c>
      <c r="AO172" s="14" t="str">
        <f>HYPERLINK(".\links\netoglyc\AGAP004502-PB-netoglyc.txt","0")</f>
        <v>0</v>
      </c>
      <c r="AP172" s="13">
        <v>15.1</v>
      </c>
      <c r="AQ172" s="2">
        <v>3.6</v>
      </c>
      <c r="AR172" s="2">
        <v>3.4</v>
      </c>
      <c r="AS172" s="2" t="s">
        <v>104</v>
      </c>
      <c r="AT172" s="9" t="str">
        <f>HYPERLINK(".\links\NR-LIGHT\AGAP004502-PB-NR-LIGHT.txt","AGAP004502-PA")</f>
        <v>AGAP004502-PA</v>
      </c>
      <c r="AU172" s="2" t="str">
        <f>HYPERLINK("http://www.ncbi.nlm.nih.gov/sutils/blink.cgi?pid=XP_313800.4","0.0")</f>
        <v>0.0</v>
      </c>
      <c r="AV172" s="2" t="str">
        <f>HYPERLINK("http://www.ncbi.nlm.nih.gov/protein/XP_313800.4","XP_313800.4")</f>
        <v>XP_313800.4</v>
      </c>
      <c r="AW172" s="2">
        <v>100</v>
      </c>
      <c r="AX172" s="2">
        <v>100</v>
      </c>
      <c r="AY172" s="2">
        <v>100</v>
      </c>
      <c r="AZ172" s="2" t="s">
        <v>105</v>
      </c>
      <c r="BA172" s="9" t="str">
        <f>HYPERLINK(".\links\REFSEQ-INVERTEBRATE\AGAP004502-PB-REFSEQ-INVERTEBRATE.txt","AGAP004502-PA")</f>
        <v>AGAP004502-PA</v>
      </c>
      <c r="BB172" s="2" t="str">
        <f>HYPERLINK("http://www.ncbi.nlm.nih.gov/sutils/blink.cgi?pid=XP_313800.4","0.0")</f>
        <v>0.0</v>
      </c>
      <c r="BC172" s="2" t="str">
        <f>HYPERLINK("http://www.ncbi.nlm.nih.gov/protein/XP_313800.4","XP_313800.4")</f>
        <v>XP_313800.4</v>
      </c>
      <c r="BD172" s="2">
        <v>100</v>
      </c>
      <c r="BE172" s="2">
        <v>100</v>
      </c>
      <c r="BF172" s="2">
        <v>100</v>
      </c>
      <c r="BG172" s="2" t="s">
        <v>105</v>
      </c>
      <c r="BH172" s="9" t="str">
        <f>HYPERLINK(".\links\REFSEQ-PROTOZOA\AGAP004502-PB-REFSEQ-PROTOZOA.txt","protein phosphatase-2A subunit-alpha")</f>
        <v>protein phosphatase-2A subunit-alpha</v>
      </c>
      <c r="BI172" s="2" t="str">
        <f>HYPERLINK("http://www.ncbi.nlm.nih.gov/sutils/blink.cgi?pid=XP_004347496.2","1E-159")</f>
        <v>1E-159</v>
      </c>
      <c r="BJ172" s="2" t="str">
        <f>HYPERLINK("http://www.ncbi.nlm.nih.gov/protein/XP_004347496.2","XP_004347496.2")</f>
        <v>XP_004347496.2</v>
      </c>
      <c r="BK172" s="2">
        <v>62</v>
      </c>
      <c r="BL172" s="2">
        <v>76</v>
      </c>
      <c r="BM172" s="2">
        <v>100</v>
      </c>
      <c r="BN172" s="2" t="s">
        <v>106</v>
      </c>
      <c r="BO172" s="9" t="str">
        <f>HYPERLINK(".\links\SWISSP\AGAP004502-PB-SWISSP.txt","Protein phosphatase PP2A 55 kDa regulatory subunit")</f>
        <v>Protein phosphatase PP2A 55 kDa regulatory subunit</v>
      </c>
      <c r="BP172" s="2" t="str">
        <f>HYPERLINK("http://www.uniprot.org/uniprot/P36872","0.0")</f>
        <v>0.0</v>
      </c>
      <c r="BQ172" s="2" t="str">
        <f>HYPERLINK("http://www.uniprot.org/uniprot/P36872#expression","P36872")</f>
        <v>P36872</v>
      </c>
      <c r="BR172" s="2">
        <v>88</v>
      </c>
      <c r="BS172" s="2">
        <v>94</v>
      </c>
      <c r="BT172" s="2">
        <v>89</v>
      </c>
      <c r="BU172" s="2" t="s">
        <v>107</v>
      </c>
      <c r="BV172" s="9" t="str">
        <f>HYPERLINK(".\links\FLYBASE\AGAP004502-PB-FLYBASE.txt","FBpp0081671")</f>
        <v>FBpp0081671</v>
      </c>
      <c r="BW172" s="2" t="str">
        <f>HYPERLINK("http://flybase.org/reports/FBgn0004889#alliance_summary_container","0.0")</f>
        <v>0.0</v>
      </c>
      <c r="BX172" s="2">
        <v>443</v>
      </c>
      <c r="BY172" s="2">
        <v>88</v>
      </c>
      <c r="BZ172" s="2">
        <v>94</v>
      </c>
      <c r="CA172" s="2">
        <v>100</v>
      </c>
      <c r="CB172" s="9" t="str">
        <f>HYPERLINK(".\links\CDD\AGAP004502-PB-CDD.txt","CDC55, Serine/threonine protein phosphatase 2A, regulatory subunit")</f>
        <v>CDC55, Serine/threonine protein phosphatase 2A, regulatory subunit</v>
      </c>
      <c r="CC172" s="15">
        <v>9.9999999999999999E-132</v>
      </c>
      <c r="CD172" s="2">
        <v>101.3</v>
      </c>
      <c r="CE172" s="2" t="s">
        <v>1977</v>
      </c>
      <c r="CF172" s="2" t="s">
        <v>1978</v>
      </c>
      <c r="CG172" s="9" t="str">
        <f>HYPERLINK(".\links\KOG\AGAP004502-PB-KOG.txt","regulatory subunit")</f>
        <v>regulatory subunit</v>
      </c>
      <c r="CH172" s="15">
        <v>0</v>
      </c>
      <c r="CI172" s="2">
        <v>102.8</v>
      </c>
      <c r="CJ172" s="2" t="s">
        <v>1979</v>
      </c>
      <c r="CK172" s="2" t="s">
        <v>173</v>
      </c>
      <c r="CL172" s="9" t="str">
        <f>HYPERLINK(".\links\PFAM\AGAP004502-PB-PFAM.txt","WD40, WD domain, G-beta repeat")</f>
        <v>WD40, WD domain, G-beta repeat</v>
      </c>
      <c r="CM172" s="15">
        <v>1.3</v>
      </c>
      <c r="CN172" s="2">
        <v>69.2</v>
      </c>
      <c r="CO172" s="2" t="s">
        <v>1871</v>
      </c>
      <c r="CP172" s="9" t="str">
        <f>HYPERLINK(".\links\SMART\AGAP004502-PB-SMART.txt","WD40, WD40 repeats")</f>
        <v>WD40, WD40 repeats</v>
      </c>
      <c r="CQ172" s="15">
        <v>2.3E-2</v>
      </c>
      <c r="CR172" s="2">
        <v>67.5</v>
      </c>
      <c r="CS172" s="2" t="s">
        <v>1720</v>
      </c>
      <c r="CT172" s="2" t="s">
        <v>1975</v>
      </c>
      <c r="CU172" s="2" t="s">
        <v>1975</v>
      </c>
      <c r="CV172" s="2" t="s">
        <v>1975</v>
      </c>
      <c r="CW172" s="2" t="str">
        <f>HYPERLINK(".\links\pep\AGAP004502-PB-pep.txt","AGAP004502-PB")</f>
        <v>AGAP004502-PB</v>
      </c>
      <c r="CX172" s="2" t="s">
        <v>95</v>
      </c>
      <c r="CY172" s="2">
        <v>445</v>
      </c>
      <c r="CZ172" s="2" t="s">
        <v>113</v>
      </c>
      <c r="DA172" s="2" t="s">
        <v>1980</v>
      </c>
      <c r="DB172" s="2">
        <v>0</v>
      </c>
      <c r="DC172" s="2">
        <v>2</v>
      </c>
      <c r="DD172" s="2" t="str">
        <f>HYPERLINK("https://www.kegg.jp/kegg-bin/search_pathway_text?map=aga&amp;keyword=AGAP004502&amp;mode=1&amp;viewImage=true","AGAP004502")</f>
        <v>AGAP004502</v>
      </c>
      <c r="DE172" s="2" t="s">
        <v>1971</v>
      </c>
      <c r="DF172" s="2" t="s">
        <v>1972</v>
      </c>
      <c r="DG172" s="2" t="s">
        <v>94</v>
      </c>
      <c r="DH172" s="2" t="str">
        <f>HYPERLINK("https://vectorbase.org/vectorbase/app/record/gene/AGAP004502","AGAP004502-RB")</f>
        <v>AGAP004502-RB</v>
      </c>
      <c r="DI172" s="2" t="s">
        <v>115</v>
      </c>
      <c r="DJ172" s="2">
        <v>5146</v>
      </c>
      <c r="DK172" s="2" t="str">
        <f>HYPERLINK(".\links\netoglyc\AGAP004502-PB-netoglyc.txt","0")</f>
        <v>0</v>
      </c>
      <c r="DL172" s="2">
        <v>15.1</v>
      </c>
      <c r="DM172" s="2">
        <v>3.6</v>
      </c>
      <c r="DN172" s="2">
        <v>3.4</v>
      </c>
      <c r="DO172" s="2" t="s">
        <v>104</v>
      </c>
      <c r="DP172" s="2" t="s">
        <v>102</v>
      </c>
      <c r="DQ172" s="2" t="str">
        <f>HYPERLINK(".\links\Sigp\AGAP004502-PB-SigP.txt","CYT")</f>
        <v>CYT</v>
      </c>
      <c r="DR172" s="2" t="s">
        <v>102</v>
      </c>
      <c r="DS172" s="2">
        <v>51.305999999999997</v>
      </c>
      <c r="DT172" s="2">
        <v>5.91</v>
      </c>
      <c r="DU172" s="2" t="s">
        <v>102</v>
      </c>
      <c r="DV172" s="2" t="s">
        <v>102</v>
      </c>
      <c r="DW172" s="2" t="s">
        <v>910</v>
      </c>
      <c r="DX172" s="2">
        <v>445</v>
      </c>
      <c r="DY172" s="12">
        <v>0</v>
      </c>
      <c r="DZ172" s="2" t="s">
        <v>102</v>
      </c>
      <c r="EA172" s="2" t="s">
        <v>102</v>
      </c>
      <c r="EB172" s="2" t="s">
        <v>102</v>
      </c>
      <c r="EC172" s="2" t="str">
        <f>HYPERLINK(".\links\gpi\AGAP004502-PB-gpi.txt","N")</f>
        <v>N</v>
      </c>
      <c r="ED172" s="2">
        <v>0.3</v>
      </c>
      <c r="EF172" s="2">
        <v>11</v>
      </c>
      <c r="EG172" s="2" t="str">
        <f>HYPERLINK(".\links\pep\AGAP004502-PB-sulf.txt","2")</f>
        <v>2</v>
      </c>
      <c r="EH172" s="2" t="s">
        <v>102</v>
      </c>
      <c r="EI172" s="2">
        <v>15.056179775280899</v>
      </c>
      <c r="EJ172" s="2">
        <v>3.3707865168539302</v>
      </c>
      <c r="EK172" s="2">
        <v>3.5955056179775302</v>
      </c>
      <c r="EL172" s="2">
        <v>6.9662921348314599</v>
      </c>
      <c r="EM172" s="2" t="s">
        <v>102</v>
      </c>
      <c r="EN172" s="2">
        <v>3</v>
      </c>
      <c r="EO172" s="2">
        <v>3</v>
      </c>
      <c r="EP172" s="2" t="s">
        <v>102</v>
      </c>
      <c r="EQ172" s="2" t="s">
        <v>102</v>
      </c>
      <c r="ER172" s="2" t="s">
        <v>102</v>
      </c>
      <c r="ES172" s="2" t="s">
        <v>102</v>
      </c>
      <c r="ET172" s="2" t="str">
        <f>HYPERLINK(".\links\REFSEQ-INVERTEBRATE\AGAP004502-PB-REFSEQ-INVERTEBRATE.txt","AGAP004502-PA")</f>
        <v>AGAP004502-PA</v>
      </c>
      <c r="EU172" s="2" t="str">
        <f>HYPERLINK("http://www.ncbi.nlm.nih.gov/sutils/blink.cgi?pid=XP_313800.4","0.0")</f>
        <v>0.0</v>
      </c>
      <c r="EV172" s="2" t="str">
        <f>HYPERLINK("http://www.ncbi.nlm.nih.gov/protein/XP_313800.4","XP_313800.4")</f>
        <v>XP_313800.4</v>
      </c>
      <c r="EW172" s="2">
        <v>100</v>
      </c>
      <c r="EX172" s="2">
        <v>100</v>
      </c>
      <c r="EY172" s="2">
        <v>100</v>
      </c>
      <c r="EZ172" s="2" t="s">
        <v>105</v>
      </c>
    </row>
    <row r="173" spans="1:156" x14ac:dyDescent="0.25">
      <c r="A173" s="2" t="s">
        <v>1981</v>
      </c>
      <c r="B173" s="2">
        <v>0.33241397839769199</v>
      </c>
      <c r="C173" s="2">
        <f t="shared" si="2"/>
        <v>1.2591184231343324</v>
      </c>
      <c r="D173" s="2">
        <v>6.3809550051400699</v>
      </c>
      <c r="E173" s="2">
        <v>14.3376441983199</v>
      </c>
      <c r="F173" s="2">
        <v>1.5277906885084901E-4</v>
      </c>
      <c r="G173" s="2">
        <v>1.3564303815541599E-2</v>
      </c>
      <c r="H173" s="2" t="s">
        <v>1982</v>
      </c>
      <c r="I173" s="2" t="s">
        <v>102</v>
      </c>
      <c r="J173" s="2" t="str">
        <f>HYPERLINK("https://vectorbase.org/vectorbase/app/record/gene/AGAP007742","AGAP007742-RA")</f>
        <v>AGAP007742-RA</v>
      </c>
      <c r="K173" s="2" t="str">
        <f>HYPERLINK(".\links\pep\AGAP007742-PA-pep.txt","AGAP007742-PA")</f>
        <v>AGAP007742-PA</v>
      </c>
      <c r="L173" s="12" t="s">
        <v>95</v>
      </c>
      <c r="M173" s="2">
        <v>784</v>
      </c>
      <c r="N173" s="2">
        <v>0</v>
      </c>
      <c r="O173" s="2">
        <v>4</v>
      </c>
      <c r="P173" s="2" t="s">
        <v>1983</v>
      </c>
      <c r="Q173" s="9" t="s">
        <v>1984</v>
      </c>
      <c r="R173" s="2" t="s">
        <v>822</v>
      </c>
      <c r="S173" s="2" t="str">
        <f>HYPERLINK(".\links\KOG\AGAP007742-PA-KOG.txt","KOG")</f>
        <v>KOG</v>
      </c>
      <c r="T173" s="2">
        <v>0</v>
      </c>
      <c r="U173" s="2">
        <v>101.4</v>
      </c>
      <c r="V173" s="2" t="s">
        <v>1985</v>
      </c>
      <c r="W173" s="10" t="s">
        <v>183</v>
      </c>
      <c r="X173" s="2" t="s">
        <v>196</v>
      </c>
      <c r="Y173" s="2" t="str">
        <f>HYPERLINK(".\links\KOG\AGAP007742-PA-KOG.txt","KOG")</f>
        <v>KOG</v>
      </c>
      <c r="Z173" s="2">
        <v>0</v>
      </c>
      <c r="AA173" s="2">
        <v>97.6</v>
      </c>
      <c r="AB173" s="13" t="str">
        <f>HYPERLINK(".\links\pep\AGAP007742-PA-sulf.txt","1")</f>
        <v>1</v>
      </c>
      <c r="AC173" s="13" t="str">
        <f>HYPERLINK(".\links\Sigp\AGAP007742-PA-SigP.txt","CYT")</f>
        <v>CYT</v>
      </c>
      <c r="AD173" s="2" t="s">
        <v>102</v>
      </c>
      <c r="AE173" s="2">
        <v>88.125</v>
      </c>
      <c r="AF173" s="2">
        <v>7.59</v>
      </c>
      <c r="AG173" s="2" t="s">
        <v>102</v>
      </c>
      <c r="AH173" s="2" t="s">
        <v>102</v>
      </c>
      <c r="AI173" s="2" t="s">
        <v>1986</v>
      </c>
      <c r="AJ173" s="13">
        <v>0</v>
      </c>
      <c r="AK173" s="2" t="s">
        <v>102</v>
      </c>
      <c r="AL173" s="2" t="s">
        <v>102</v>
      </c>
      <c r="AM173" s="2" t="s">
        <v>102</v>
      </c>
      <c r="AN173" s="13" t="str">
        <f>HYPERLINK(".\links\gpi\AGAP007742-PA-gpi.txt","N")</f>
        <v>N</v>
      </c>
      <c r="AO173" s="14" t="str">
        <f>HYPERLINK(".\links\netoglyc\AGAP007742-PA-netoglyc.txt","0")</f>
        <v>0</v>
      </c>
      <c r="AP173" s="13">
        <v>13</v>
      </c>
      <c r="AQ173" s="2">
        <v>5.2</v>
      </c>
      <c r="AR173" s="2">
        <v>2.7</v>
      </c>
      <c r="AS173" s="2" t="s">
        <v>104</v>
      </c>
      <c r="AT173" s="9" t="str">
        <f>HYPERLINK(".\links\NR-LIGHT\AGAP007742-PA-NR-LIGHT.txt","AGAP007742-PA")</f>
        <v>AGAP007742-PA</v>
      </c>
      <c r="AU173" s="2" t="str">
        <f>HYPERLINK("http://www.ncbi.nlm.nih.gov/sutils/blink.cgi?pid=XP_317778.3","0.0")</f>
        <v>0.0</v>
      </c>
      <c r="AV173" s="2" t="str">
        <f>HYPERLINK("http://www.ncbi.nlm.nih.gov/protein/XP_317778.3","XP_317778.3")</f>
        <v>XP_317778.3</v>
      </c>
      <c r="AW173" s="2">
        <v>100</v>
      </c>
      <c r="AX173" s="2">
        <v>100</v>
      </c>
      <c r="AY173" s="2">
        <v>100</v>
      </c>
      <c r="AZ173" s="2" t="s">
        <v>105</v>
      </c>
      <c r="BA173" s="9" t="str">
        <f>HYPERLINK(".\links\REFSEQ-INVERTEBRATE\AGAP007742-PA-REFSEQ-INVERTEBRATE.txt","AGAP007742-PA")</f>
        <v>AGAP007742-PA</v>
      </c>
      <c r="BB173" s="2" t="str">
        <f>HYPERLINK("http://www.ncbi.nlm.nih.gov/sutils/blink.cgi?pid=XP_317778.3","0.0")</f>
        <v>0.0</v>
      </c>
      <c r="BC173" s="2" t="str">
        <f>HYPERLINK("http://www.ncbi.nlm.nih.gov/protein/XP_317778.3","XP_317778.3")</f>
        <v>XP_317778.3</v>
      </c>
      <c r="BD173" s="2">
        <v>100</v>
      </c>
      <c r="BE173" s="2">
        <v>100</v>
      </c>
      <c r="BF173" s="2">
        <v>100</v>
      </c>
      <c r="BG173" s="2" t="s">
        <v>105</v>
      </c>
      <c r="BH173" s="9" t="str">
        <f>HYPERLINK(".\links\REFSEQ-PROTOZOA\AGAP007742-PA-REFSEQ-PROTOZOA.txt","hypothetical protein CAOG_04387")</f>
        <v>hypothetical protein CAOG_04387</v>
      </c>
      <c r="BI173" s="2" t="str">
        <f>HYPERLINK("http://www.ncbi.nlm.nih.gov/sutils/blink.cgi?pid=XP_004348215.2","4E-083")</f>
        <v>4E-083</v>
      </c>
      <c r="BJ173" s="2" t="str">
        <f>HYPERLINK("http://www.ncbi.nlm.nih.gov/protein/XP_004348215.2","XP_004348215.2")</f>
        <v>XP_004348215.2</v>
      </c>
      <c r="BK173" s="2">
        <v>31</v>
      </c>
      <c r="BL173" s="2">
        <v>49</v>
      </c>
      <c r="BM173" s="2">
        <v>89</v>
      </c>
      <c r="BN173" s="2" t="s">
        <v>106</v>
      </c>
      <c r="BO173" s="9" t="str">
        <f>HYPERLINK(".\links\SWISSP\AGAP007742-PA-SWISSP.txt","E3 UFM1-protein ligase 1 homolog")</f>
        <v>E3 UFM1-protein ligase 1 homolog</v>
      </c>
      <c r="BP173" s="2" t="str">
        <f>HYPERLINK("http://www.uniprot.org/uniprot/Q7Q373","0.0")</f>
        <v>0.0</v>
      </c>
      <c r="BQ173" s="2" t="str">
        <f>HYPERLINK("http://www.uniprot.org/uniprot/Q7Q373#expression","Q7Q373")</f>
        <v>Q7Q373</v>
      </c>
      <c r="BR173" s="2">
        <v>100</v>
      </c>
      <c r="BS173" s="2">
        <v>100</v>
      </c>
      <c r="BT173" s="2">
        <v>100</v>
      </c>
      <c r="BU173" s="2" t="s">
        <v>249</v>
      </c>
      <c r="BV173" s="9" t="str">
        <f>HYPERLINK(".\links\FLYBASE\AGAP007742-PA-FLYBASE.txt","FBpp0293859")</f>
        <v>FBpp0293859</v>
      </c>
      <c r="BW173" s="2" t="str">
        <f>HYPERLINK("http://flybase.org/reports/FBgn0037467#alliance_summary_container","0.0")</f>
        <v>0.0</v>
      </c>
      <c r="BX173" s="2">
        <v>782</v>
      </c>
      <c r="BY173" s="2">
        <v>47</v>
      </c>
      <c r="BZ173" s="2">
        <v>67</v>
      </c>
      <c r="CA173" s="2">
        <v>102</v>
      </c>
      <c r="CB173" s="9" t="str">
        <f>HYPERLINK(".\links\CDD\AGAP007742-PA-CDD.txt","DUF2042, Uncharacterized conserved protein (DUF2042)")</f>
        <v>DUF2042, Uncharacterized conserved protein (DUF2042)</v>
      </c>
      <c r="CC173" s="15">
        <v>9.9999999999999993E-103</v>
      </c>
      <c r="CD173" s="2">
        <v>101.5</v>
      </c>
      <c r="CE173" s="2" t="s">
        <v>1987</v>
      </c>
      <c r="CF173" s="2" t="s">
        <v>1988</v>
      </c>
      <c r="CG173" s="9" t="str">
        <f>HYPERLINK(".\links\KOG\AGAP007742-PA-KOG.txt","Uncharacterized conserved protein")</f>
        <v>Uncharacterized conserved protein</v>
      </c>
      <c r="CH173" s="15">
        <v>9.9999999999999995E-179</v>
      </c>
      <c r="CI173" s="2">
        <v>101.4</v>
      </c>
      <c r="CJ173" s="2" t="s">
        <v>1989</v>
      </c>
      <c r="CK173" s="2" t="s">
        <v>284</v>
      </c>
      <c r="CL173" s="9" t="str">
        <f>HYPERLINK(".\links\PFAM\AGAP007742-PA-PFAM.txt","DUF2042, Uncharacterized conserved protein (DUF2042)")</f>
        <v>DUF2042, Uncharacterized conserved protein (DUF2042)</v>
      </c>
      <c r="CM173" s="15">
        <v>9.9999999999999993E-103</v>
      </c>
      <c r="CN173" s="2">
        <v>101.5</v>
      </c>
      <c r="CO173" s="2" t="s">
        <v>1987</v>
      </c>
      <c r="CP173" s="9" t="str">
        <f>HYPERLINK(".\links\SMART\AGAP007742-PA-SMART.txt","PP2Cc, Serine/threonine phosphatases, family 2C, catalytic domain")</f>
        <v>PP2Cc, Serine/threonine phosphatases, family 2C, catalytic domain</v>
      </c>
      <c r="CQ173" s="15">
        <v>0.15</v>
      </c>
      <c r="CR173" s="2">
        <v>29</v>
      </c>
      <c r="CS173" s="2" t="s">
        <v>1990</v>
      </c>
      <c r="CT173" s="2" t="s">
        <v>1985</v>
      </c>
      <c r="CU173" s="2" t="s">
        <v>1985</v>
      </c>
      <c r="CV173" s="2" t="s">
        <v>1985</v>
      </c>
      <c r="CW173" s="2" t="str">
        <f>HYPERLINK(".\links\pep\AGAP007742-PA-pep.txt","AGAP007742-PA")</f>
        <v>AGAP007742-PA</v>
      </c>
      <c r="CX173" s="2" t="s">
        <v>95</v>
      </c>
      <c r="CY173" s="2">
        <v>784</v>
      </c>
      <c r="CZ173" s="2" t="s">
        <v>113</v>
      </c>
      <c r="DA173" s="2">
        <v>0</v>
      </c>
      <c r="DB173" s="2">
        <v>4</v>
      </c>
      <c r="DD173" s="2" t="str">
        <f>HYPERLINK("https://www.kegg.jp/kegg-bin/search_pathway_text?map=aga&amp;keyword=AGAP007742&amp;mode=1&amp;viewImage=true","AGAP007742")</f>
        <v>AGAP007742</v>
      </c>
      <c r="DE173" s="2" t="s">
        <v>1981</v>
      </c>
      <c r="DF173" s="2" t="s">
        <v>1982</v>
      </c>
      <c r="DG173" s="2" t="s">
        <v>102</v>
      </c>
      <c r="DH173" s="2" t="str">
        <f>HYPERLINK("https://vectorbase.org/vectorbase/app/record/gene/AGAP007742","AGAP007742-RA")</f>
        <v>AGAP007742-RA</v>
      </c>
      <c r="DI173" s="2" t="s">
        <v>90</v>
      </c>
      <c r="DJ173" s="2">
        <v>2599</v>
      </c>
      <c r="DK173" s="2" t="str">
        <f>HYPERLINK(".\links\netoglyc\AGAP007742-PA-netoglyc.txt","0")</f>
        <v>0</v>
      </c>
      <c r="DL173" s="2">
        <v>13</v>
      </c>
      <c r="DM173" s="2">
        <v>5.2</v>
      </c>
      <c r="DN173" s="2">
        <v>2.7</v>
      </c>
      <c r="DO173" s="2" t="s">
        <v>104</v>
      </c>
      <c r="DP173" s="2" t="s">
        <v>102</v>
      </c>
      <c r="DQ173" s="2" t="str">
        <f>HYPERLINK(".\links\Sigp\AGAP007742-PA-SigP.txt","CYT")</f>
        <v>CYT</v>
      </c>
      <c r="DR173" s="2" t="s">
        <v>102</v>
      </c>
      <c r="DS173" s="2">
        <v>88.125</v>
      </c>
      <c r="DT173" s="2">
        <v>7.59</v>
      </c>
      <c r="DU173" s="2" t="s">
        <v>102</v>
      </c>
      <c r="DV173" s="2" t="s">
        <v>102</v>
      </c>
      <c r="DW173" s="2" t="s">
        <v>1986</v>
      </c>
      <c r="DX173" s="2">
        <v>784</v>
      </c>
      <c r="DY173" s="12">
        <v>0</v>
      </c>
      <c r="DZ173" s="2" t="s">
        <v>102</v>
      </c>
      <c r="EA173" s="2" t="s">
        <v>102</v>
      </c>
      <c r="EB173" s="2" t="s">
        <v>102</v>
      </c>
      <c r="EC173" s="2" t="str">
        <f>HYPERLINK(".\links\gpi\AGAP007742-PA-gpi.txt","N")</f>
        <v>N</v>
      </c>
      <c r="ED173" s="2">
        <v>0.24</v>
      </c>
      <c r="EF173" s="2">
        <v>12</v>
      </c>
      <c r="EG173" s="2" t="str">
        <f>HYPERLINK(".\links\pep\AGAP007742-PA-sulf.txt","1")</f>
        <v>1</v>
      </c>
      <c r="EH173" s="2" t="s">
        <v>102</v>
      </c>
      <c r="EI173" s="2">
        <v>13.0102040816327</v>
      </c>
      <c r="EJ173" s="2">
        <v>2.6785714285714302</v>
      </c>
      <c r="EK173" s="2">
        <v>5.2295918367346896</v>
      </c>
      <c r="EL173" s="2">
        <v>7.9081632653061202</v>
      </c>
      <c r="EM173" s="2" t="s">
        <v>102</v>
      </c>
      <c r="EN173" s="2">
        <v>5</v>
      </c>
      <c r="EO173" s="2">
        <v>5</v>
      </c>
      <c r="EP173" s="2" t="s">
        <v>102</v>
      </c>
      <c r="EQ173" s="2" t="s">
        <v>102</v>
      </c>
      <c r="ER173" s="2" t="s">
        <v>102</v>
      </c>
      <c r="ES173" s="2" t="s">
        <v>102</v>
      </c>
      <c r="ET173" s="2" t="str">
        <f>HYPERLINK(".\links\REFSEQ-INVERTEBRATE\AGAP007742-PA-REFSEQ-INVERTEBRATE.txt","AGAP007742-PA")</f>
        <v>AGAP007742-PA</v>
      </c>
      <c r="EU173" s="2" t="str">
        <f>HYPERLINK("http://www.ncbi.nlm.nih.gov/sutils/blink.cgi?pid=XP_317778.3","0.0")</f>
        <v>0.0</v>
      </c>
      <c r="EV173" s="2" t="str">
        <f>HYPERLINK("http://www.ncbi.nlm.nih.gov/protein/XP_317778.3","XP_317778.3")</f>
        <v>XP_317778.3</v>
      </c>
      <c r="EW173" s="2">
        <v>100</v>
      </c>
      <c r="EX173" s="2">
        <v>100</v>
      </c>
      <c r="EY173" s="2">
        <v>100</v>
      </c>
      <c r="EZ173" s="2" t="s">
        <v>105</v>
      </c>
    </row>
    <row r="174" spans="1:156" x14ac:dyDescent="0.25">
      <c r="A174" s="2" t="s">
        <v>1991</v>
      </c>
      <c r="B174" s="2">
        <v>0.33181591223794998</v>
      </c>
      <c r="C174" s="2">
        <f t="shared" si="2"/>
        <v>1.2585965664456689</v>
      </c>
      <c r="D174" s="2">
        <v>7.3728666039011497</v>
      </c>
      <c r="E174" s="2">
        <v>11.701938466417801</v>
      </c>
      <c r="F174" s="2">
        <v>6.24350213378901E-4</v>
      </c>
      <c r="G174" s="2">
        <v>2.7841499334158699E-2</v>
      </c>
      <c r="H174" s="2" t="s">
        <v>1992</v>
      </c>
      <c r="I174" s="2" t="s">
        <v>94</v>
      </c>
      <c r="J174" s="2" t="str">
        <f>HYPERLINK("https://vectorbase.org/vectorbase/app/record/gene/AGAP007953","AGAP007953-RA")</f>
        <v>AGAP007953-RA</v>
      </c>
      <c r="K174" s="2" t="str">
        <f>HYPERLINK(".\links\pep\AGAP007953-PA-pep.txt","AGAP007953-PA")</f>
        <v>AGAP007953-PA</v>
      </c>
      <c r="L174" s="12" t="s">
        <v>95</v>
      </c>
      <c r="M174" s="2">
        <v>1089</v>
      </c>
      <c r="N174" s="2">
        <v>0</v>
      </c>
      <c r="O174" s="2">
        <v>1</v>
      </c>
      <c r="P174" s="2" t="s">
        <v>1993</v>
      </c>
      <c r="Q174" s="9" t="s">
        <v>1994</v>
      </c>
      <c r="R174" s="2" t="s">
        <v>388</v>
      </c>
      <c r="S174" s="2" t="str">
        <f>HYPERLINK(".\links\CDD\AGAP007953-PA-CDD.txt","CDD")</f>
        <v>CDD</v>
      </c>
      <c r="T174" s="2">
        <v>3.0000000000000001E-74</v>
      </c>
      <c r="U174" s="2">
        <v>53.2</v>
      </c>
      <c r="V174" s="2" t="s">
        <v>1995</v>
      </c>
      <c r="W174" s="10" t="s">
        <v>1996</v>
      </c>
      <c r="X174" s="2" t="s">
        <v>420</v>
      </c>
      <c r="Y174" s="2" t="str">
        <f>HYPERLINK(".\links\CDD\AGAP007953-PA-CDD.txt","CDD")</f>
        <v>CDD</v>
      </c>
      <c r="Z174" s="15">
        <v>7.0000000000000001E-63</v>
      </c>
      <c r="AA174" s="2">
        <v>101.1</v>
      </c>
      <c r="AB174" s="13" t="str">
        <f>HYPERLINK(".\links\pep\AGAP007953-PA-sulf.txt","2")</f>
        <v>2</v>
      </c>
      <c r="AC174" s="13" t="str">
        <f>HYPERLINK(".\links\Sigp\AGAP007953-PA-SigP.txt","CYT")</f>
        <v>CYT</v>
      </c>
      <c r="AD174" s="2" t="s">
        <v>102</v>
      </c>
      <c r="AE174" s="2">
        <v>123.696</v>
      </c>
      <c r="AF174" s="2">
        <v>8.39</v>
      </c>
      <c r="AG174" s="2" t="s">
        <v>102</v>
      </c>
      <c r="AH174" s="2" t="s">
        <v>102</v>
      </c>
      <c r="AI174" s="2" t="s">
        <v>1997</v>
      </c>
      <c r="AJ174" s="13">
        <v>0</v>
      </c>
      <c r="AK174" s="2" t="s">
        <v>102</v>
      </c>
      <c r="AL174" s="2" t="s">
        <v>102</v>
      </c>
      <c r="AM174" s="2" t="s">
        <v>102</v>
      </c>
      <c r="AN174" s="13" t="str">
        <f>HYPERLINK(".\links\gpi\AGAP007953-PA-gpi.txt","N")</f>
        <v>N</v>
      </c>
      <c r="AO174" s="14" t="str">
        <f>HYPERLINK(".\links\netoglyc\AGAP007953-PA-netoglyc.txt","2")</f>
        <v>2</v>
      </c>
      <c r="AP174" s="13">
        <v>14.1</v>
      </c>
      <c r="AQ174" s="2">
        <v>4.3</v>
      </c>
      <c r="AR174" s="2">
        <v>3.9</v>
      </c>
      <c r="AS174" s="2" t="s">
        <v>104</v>
      </c>
      <c r="AT174" s="9" t="str">
        <f>HYPERLINK(".\links\NR-LIGHT\AGAP007953-PA-NR-LIGHT.txt","AGAP007953-PA, partial")</f>
        <v>AGAP007953-PA, partial</v>
      </c>
      <c r="AU174" s="2" t="str">
        <f>HYPERLINK("http://www.ncbi.nlm.nih.gov/sutils/blink.cgi?pid=XP_555531.3","0.0")</f>
        <v>0.0</v>
      </c>
      <c r="AV174" s="2" t="str">
        <f>HYPERLINK("http://www.ncbi.nlm.nih.gov/protein/XP_555531.3","XP_555531.3")</f>
        <v>XP_555531.3</v>
      </c>
      <c r="AW174" s="2">
        <v>97</v>
      </c>
      <c r="AX174" s="2">
        <v>97</v>
      </c>
      <c r="AY174" s="2">
        <v>103</v>
      </c>
      <c r="AZ174" s="2" t="s">
        <v>105</v>
      </c>
      <c r="BA174" s="9" t="str">
        <f>HYPERLINK(".\links\REFSEQ-INVERTEBRATE\AGAP007953-PA-REFSEQ-INVERTEBRATE.txt","AGAP007953-PA, partial")</f>
        <v>AGAP007953-PA, partial</v>
      </c>
      <c r="BB174" s="2" t="str">
        <f>HYPERLINK("http://www.ncbi.nlm.nih.gov/sutils/blink.cgi?pid=XP_555531.3","0.0")</f>
        <v>0.0</v>
      </c>
      <c r="BC174" s="2" t="str">
        <f>HYPERLINK("http://www.ncbi.nlm.nih.gov/protein/XP_555531.3","XP_555531.3")</f>
        <v>XP_555531.3</v>
      </c>
      <c r="BD174" s="2">
        <v>97</v>
      </c>
      <c r="BE174" s="2">
        <v>97</v>
      </c>
      <c r="BF174" s="2">
        <v>103</v>
      </c>
      <c r="BG174" s="2" t="s">
        <v>105</v>
      </c>
      <c r="BH174" s="9" t="str">
        <f>HYPERLINK(".\links\REFSEQ-PROTOZOA\AGAP007953-PA-REFSEQ-PROTOZOA.txt","hypothetical protein PTSG_06173")</f>
        <v>hypothetical protein PTSG_06173</v>
      </c>
      <c r="BI174" s="2" t="str">
        <f>HYPERLINK("http://www.ncbi.nlm.nih.gov/sutils/blink.cgi?pid=XP_004993066.1","1E-135")</f>
        <v>1E-135</v>
      </c>
      <c r="BJ174" s="2" t="str">
        <f>HYPERLINK("http://www.ncbi.nlm.nih.gov/protein/XP_004993066.1","XP_004993066.1")</f>
        <v>XP_004993066.1</v>
      </c>
      <c r="BK174" s="2">
        <v>29</v>
      </c>
      <c r="BL174" s="2">
        <v>49</v>
      </c>
      <c r="BM174" s="2">
        <v>82</v>
      </c>
      <c r="BN174" s="2" t="s">
        <v>435</v>
      </c>
      <c r="BO174" s="9" t="str">
        <f>HYPERLINK(".\links\SWISSP\AGAP007953-PA-SWISSP.txt","Probable ATP-dependent RNA helicase YTHDC2")</f>
        <v>Probable ATP-dependent RNA helicase YTHDC2</v>
      </c>
      <c r="BP174" s="2" t="str">
        <f>HYPERLINK("http://www.uniprot.org/uniprot/B2RR83","0.0")</f>
        <v>0.0</v>
      </c>
      <c r="BQ174" s="2" t="str">
        <f>HYPERLINK("http://www.uniprot.org/uniprot/B2RR83#expression","B2RR83")</f>
        <v>B2RR83</v>
      </c>
      <c r="BR174" s="2">
        <v>36</v>
      </c>
      <c r="BS174" s="2">
        <v>56</v>
      </c>
      <c r="BT174" s="2">
        <v>79</v>
      </c>
      <c r="BU174" s="2" t="s">
        <v>662</v>
      </c>
      <c r="BV174" s="9" t="str">
        <f>HYPERLINK(".\links\FLYBASE\AGAP007953-PA-FLYBASE.txt","FBpp0308827")</f>
        <v>FBpp0308827</v>
      </c>
      <c r="BW174" s="2" t="str">
        <f>HYPERLINK("http://flybase.org/reports/FBgn0030833#alliance_summary_container","9E-77")</f>
        <v>9E-77</v>
      </c>
      <c r="BX174" s="2">
        <v>976</v>
      </c>
      <c r="BY174" s="2">
        <v>32</v>
      </c>
      <c r="BZ174" s="2">
        <v>51</v>
      </c>
      <c r="CA174" s="2">
        <v>62</v>
      </c>
      <c r="CB174" s="9" t="str">
        <f>HYPERLINK(".\links\CDD\AGAP007953-PA-CDD.txt","HrpA, HrpA-like helicases")</f>
        <v>HrpA, HrpA-like helicases</v>
      </c>
      <c r="CC174" s="15">
        <v>3.0000000000000001E-74</v>
      </c>
      <c r="CD174" s="2">
        <v>53.3</v>
      </c>
      <c r="CE174" s="2" t="s">
        <v>1998</v>
      </c>
      <c r="CF174" s="2" t="s">
        <v>1999</v>
      </c>
      <c r="CG174" s="9" t="str">
        <f>HYPERLINK(".\links\KOG\AGAP007953-PA-KOG.txt","ATP-dependent RNA helicase A")</f>
        <v>ATP-dependent RNA helicase A</v>
      </c>
      <c r="CH174" s="15">
        <v>9.9999999999999999E-119</v>
      </c>
      <c r="CI174" s="2">
        <v>61.9</v>
      </c>
      <c r="CJ174" s="2" t="s">
        <v>2000</v>
      </c>
      <c r="CK174" s="2" t="s">
        <v>722</v>
      </c>
      <c r="CL174" s="9" t="str">
        <f>HYPERLINK(".\links\PFAM\AGAP007953-PA-PFAM.txt","HA2, Helicase associated domain (HA2)")</f>
        <v>HA2, Helicase associated domain (HA2)</v>
      </c>
      <c r="CM174" s="15">
        <v>9.9999999999999995E-21</v>
      </c>
      <c r="CN174" s="2">
        <v>77.7</v>
      </c>
      <c r="CO174" s="2" t="s">
        <v>2001</v>
      </c>
      <c r="CP174" s="9" t="str">
        <f>HYPERLINK(".\links\SMART\AGAP007953-PA-SMART.txt","DEXDc, DEAD-like helicases superfamily")</f>
        <v>DEXDc, DEAD-like helicases superfamily</v>
      </c>
      <c r="CQ174" s="15">
        <v>1.9999999999999998E-21</v>
      </c>
      <c r="CR174" s="2">
        <v>92.5</v>
      </c>
      <c r="CS174" s="2" t="s">
        <v>429</v>
      </c>
      <c r="CT174" s="2" t="s">
        <v>1995</v>
      </c>
      <c r="CU174" s="2" t="s">
        <v>1995</v>
      </c>
      <c r="CV174" s="2" t="s">
        <v>1995</v>
      </c>
      <c r="CW174" s="2" t="str">
        <f>HYPERLINK(".\links\pep\AGAP007953-PA-pep.txt","AGAP007953-PA")</f>
        <v>AGAP007953-PA</v>
      </c>
      <c r="CX174" s="2" t="s">
        <v>95</v>
      </c>
      <c r="CY174" s="2">
        <v>1089</v>
      </c>
      <c r="CZ174" s="2" t="s">
        <v>113</v>
      </c>
      <c r="DA174" s="2" t="s">
        <v>2002</v>
      </c>
      <c r="DB174" s="2">
        <v>0</v>
      </c>
      <c r="DC174" s="2">
        <v>1</v>
      </c>
      <c r="DD174" s="2" t="str">
        <f>HYPERLINK("https://www.kegg.jp/kegg-bin/search_pathway_text?map=aga&amp;keyword=AGAP007953&amp;mode=1&amp;viewImage=true","AGAP007953")</f>
        <v>AGAP007953</v>
      </c>
      <c r="DE174" s="2" t="s">
        <v>1991</v>
      </c>
      <c r="DF174" s="2" t="s">
        <v>1992</v>
      </c>
      <c r="DG174" s="2" t="s">
        <v>94</v>
      </c>
      <c r="DH174" s="2" t="str">
        <f>HYPERLINK("https://vectorbase.org/vectorbase/app/record/gene/AGAP007953","AGAP007953-RA")</f>
        <v>AGAP007953-RA</v>
      </c>
      <c r="DI174" s="2" t="s">
        <v>115</v>
      </c>
      <c r="DJ174" s="2">
        <v>3414</v>
      </c>
      <c r="DK174" s="2" t="str">
        <f>HYPERLINK(".\links\netoglyc\AGAP007953-PA-netoglyc.txt","2")</f>
        <v>2</v>
      </c>
      <c r="DL174" s="2">
        <v>14.1</v>
      </c>
      <c r="DM174" s="2">
        <v>4.3</v>
      </c>
      <c r="DN174" s="2">
        <v>3.9</v>
      </c>
      <c r="DO174" s="2" t="s">
        <v>104</v>
      </c>
      <c r="DP174" s="2" t="s">
        <v>102</v>
      </c>
      <c r="DQ174" s="2" t="str">
        <f>HYPERLINK(".\links\Sigp\AGAP007953-PA-SigP.txt","CYT")</f>
        <v>CYT</v>
      </c>
      <c r="DR174" s="2" t="s">
        <v>102</v>
      </c>
      <c r="DS174" s="2">
        <v>123.696</v>
      </c>
      <c r="DT174" s="2">
        <v>8.39</v>
      </c>
      <c r="DU174" s="2" t="s">
        <v>102</v>
      </c>
      <c r="DV174" s="2" t="s">
        <v>102</v>
      </c>
      <c r="DW174" s="2" t="s">
        <v>1997</v>
      </c>
      <c r="DX174" s="2">
        <v>1089</v>
      </c>
      <c r="DY174" s="12">
        <v>0</v>
      </c>
      <c r="DZ174" s="2" t="s">
        <v>102</v>
      </c>
      <c r="EA174" s="2" t="s">
        <v>102</v>
      </c>
      <c r="EB174" s="2" t="s">
        <v>102</v>
      </c>
      <c r="EC174" s="2" t="str">
        <f>HYPERLINK(".\links\gpi\AGAP007953-PA-gpi.txt","N")</f>
        <v>N</v>
      </c>
      <c r="ED174" s="2">
        <v>0.19</v>
      </c>
      <c r="EF174" s="2">
        <v>28</v>
      </c>
      <c r="EG174" s="2" t="str">
        <f>HYPERLINK(".\links\pep\AGAP007953-PA-sulf.txt","2")</f>
        <v>2</v>
      </c>
      <c r="EH174" s="2" t="s">
        <v>102</v>
      </c>
      <c r="EI174" s="2">
        <v>14.141414141414099</v>
      </c>
      <c r="EJ174" s="2">
        <v>3.8567493112947702</v>
      </c>
      <c r="EK174" s="2">
        <v>4.3158861340679504</v>
      </c>
      <c r="EL174" s="2">
        <v>8.1726354453627206</v>
      </c>
      <c r="EM174" s="2">
        <v>2</v>
      </c>
      <c r="EN174" s="2">
        <v>5</v>
      </c>
      <c r="EO174" s="2">
        <v>5</v>
      </c>
      <c r="EP174" s="2" t="s">
        <v>102</v>
      </c>
      <c r="EQ174" s="2" t="s">
        <v>102</v>
      </c>
      <c r="ER174" s="2" t="s">
        <v>102</v>
      </c>
      <c r="ES174" s="2" t="s">
        <v>102</v>
      </c>
      <c r="ET174" s="2" t="str">
        <f>HYPERLINK(".\links\REFSEQ-INVERTEBRATE\AGAP007953-PA-REFSEQ-INVERTEBRATE.txt","AGAP007953-PA, partial")</f>
        <v>AGAP007953-PA, partial</v>
      </c>
      <c r="EU174" s="2" t="str">
        <f>HYPERLINK("http://www.ncbi.nlm.nih.gov/sutils/blink.cgi?pid=XP_555531.3","0.0")</f>
        <v>0.0</v>
      </c>
      <c r="EV174" s="2" t="str">
        <f>HYPERLINK("http://www.ncbi.nlm.nih.gov/protein/XP_555531.3","XP_555531.3")</f>
        <v>XP_555531.3</v>
      </c>
      <c r="EW174" s="2">
        <v>97</v>
      </c>
      <c r="EX174" s="2">
        <v>97</v>
      </c>
      <c r="EY174" s="2">
        <v>103</v>
      </c>
      <c r="EZ174" s="2" t="s">
        <v>105</v>
      </c>
    </row>
    <row r="175" spans="1:156" x14ac:dyDescent="0.25">
      <c r="A175" s="2" t="s">
        <v>2003</v>
      </c>
      <c r="B175" s="2">
        <v>0.33142938730291499</v>
      </c>
      <c r="C175" s="2">
        <f t="shared" si="2"/>
        <v>1.2582594100961166</v>
      </c>
      <c r="D175" s="2">
        <v>5.5882680785013497</v>
      </c>
      <c r="E175" s="2">
        <v>14.262117695859301</v>
      </c>
      <c r="F175" s="2">
        <v>1.59033579376395E-4</v>
      </c>
      <c r="G175" s="2">
        <v>1.3869698449153801E-2</v>
      </c>
      <c r="H175" s="2" t="s">
        <v>93</v>
      </c>
      <c r="I175" s="2" t="s">
        <v>94</v>
      </c>
      <c r="J175" s="2" t="str">
        <f>HYPERLINK("https://vectorbase.org/vectorbase/app/record/gene/AGAP003224","AGAP003224-RA")</f>
        <v>AGAP003224-RA</v>
      </c>
      <c r="K175" s="2" t="str">
        <f>HYPERLINK(".\links\pep\AGAP003224-PA-pep.txt","AGAP003224-PA")</f>
        <v>AGAP003224-PA</v>
      </c>
      <c r="L175" s="12" t="s">
        <v>95</v>
      </c>
      <c r="M175" s="2">
        <v>523</v>
      </c>
      <c r="N175" s="2">
        <v>0</v>
      </c>
      <c r="O175" s="2">
        <v>1</v>
      </c>
      <c r="P175" s="2" t="s">
        <v>102</v>
      </c>
      <c r="Q175" s="9" t="s">
        <v>738</v>
      </c>
      <c r="R175" s="2" t="s">
        <v>420</v>
      </c>
      <c r="S175" s="2" t="str">
        <f>HYPERLINK(".\links\KOG\AGAP003224-PA-KOG.txt","KOG")</f>
        <v>KOG</v>
      </c>
      <c r="T175" s="2">
        <v>5.0000000000000002E-27</v>
      </c>
      <c r="U175" s="2">
        <v>48.3</v>
      </c>
      <c r="V175" s="2" t="s">
        <v>2004</v>
      </c>
      <c r="W175" s="10" t="s">
        <v>740</v>
      </c>
      <c r="X175" s="2" t="s">
        <v>420</v>
      </c>
      <c r="Y175" s="2" t="str">
        <f>HYPERLINK(".\links\UNIPROTKB\AGAP003224-PA-UNIPROTKB.txt","UNIPROTKB")</f>
        <v>UNIPROTKB</v>
      </c>
      <c r="Z175" s="15">
        <v>4E-50</v>
      </c>
      <c r="AA175" s="2">
        <v>39.1</v>
      </c>
      <c r="AB175" s="13" t="str">
        <f>HYPERLINK(".\links\pep\AGAP003224-PA-sulf.txt","4")</f>
        <v>4</v>
      </c>
      <c r="AC175" s="13" t="str">
        <f>HYPERLINK(".\links\Sigp\AGAP003224-PA-SigP.txt","CYT")</f>
        <v>CYT</v>
      </c>
      <c r="AD175" s="2" t="s">
        <v>102</v>
      </c>
      <c r="AE175" s="2">
        <v>59.322000000000003</v>
      </c>
      <c r="AF175" s="2">
        <v>5.48</v>
      </c>
      <c r="AG175" s="2" t="s">
        <v>102</v>
      </c>
      <c r="AH175" s="2" t="s">
        <v>102</v>
      </c>
      <c r="AI175" s="2" t="s">
        <v>211</v>
      </c>
      <c r="AJ175" s="13">
        <v>0</v>
      </c>
      <c r="AK175" s="2" t="s">
        <v>102</v>
      </c>
      <c r="AL175" s="2" t="s">
        <v>102</v>
      </c>
      <c r="AM175" s="2" t="s">
        <v>102</v>
      </c>
      <c r="AN175" s="13" t="str">
        <f>HYPERLINK(".\links\gpi\AGAP003224-PA-gpi.txt","N")</f>
        <v>N</v>
      </c>
      <c r="AO175" s="14" t="str">
        <f>HYPERLINK(".\links\netoglyc\AGAP003224-PA-netoglyc.txt","4")</f>
        <v>4</v>
      </c>
      <c r="AP175" s="13">
        <v>14.5</v>
      </c>
      <c r="AQ175" s="2">
        <v>4.4000000000000004</v>
      </c>
      <c r="AR175" s="2">
        <v>2.5</v>
      </c>
      <c r="AS175" s="2" t="s">
        <v>104</v>
      </c>
      <c r="AT175" s="9" t="str">
        <f>HYPERLINK(".\links\NR-LIGHT\AGAP003224-PA-NR-LIGHT.txt","AGAP003224-PA")</f>
        <v>AGAP003224-PA</v>
      </c>
      <c r="AU175" s="2" t="str">
        <f>HYPERLINK("http://www.ncbi.nlm.nih.gov/sutils/blink.cgi?pid=XP_312933.3","0.0")</f>
        <v>0.0</v>
      </c>
      <c r="AV175" s="2" t="str">
        <f>HYPERLINK("http://www.ncbi.nlm.nih.gov/protein/XP_312933.3","XP_312933.3")</f>
        <v>XP_312933.3</v>
      </c>
      <c r="AW175" s="2">
        <v>92</v>
      </c>
      <c r="AX175" s="2">
        <v>92</v>
      </c>
      <c r="AY175" s="2">
        <v>108</v>
      </c>
      <c r="AZ175" s="2" t="s">
        <v>105</v>
      </c>
      <c r="BA175" s="9" t="str">
        <f>HYPERLINK(".\links\REFSEQ-INVERTEBRATE\AGAP003224-PA-REFSEQ-INVERTEBRATE.txt","AGAP003224-PA")</f>
        <v>AGAP003224-PA</v>
      </c>
      <c r="BB175" s="2" t="str">
        <f>HYPERLINK("http://www.ncbi.nlm.nih.gov/sutils/blink.cgi?pid=XP_312933.3","0.0")</f>
        <v>0.0</v>
      </c>
      <c r="BC175" s="2" t="str">
        <f>HYPERLINK("http://www.ncbi.nlm.nih.gov/protein/XP_312933.3","XP_312933.3")</f>
        <v>XP_312933.3</v>
      </c>
      <c r="BD175" s="2">
        <v>92</v>
      </c>
      <c r="BE175" s="2">
        <v>92</v>
      </c>
      <c r="BF175" s="2">
        <v>108</v>
      </c>
      <c r="BG175" s="2" t="s">
        <v>105</v>
      </c>
      <c r="BH175" s="9" t="str">
        <f>HYPERLINK(".\links\REFSEQ-PROTOZOA\AGAP003224-PA-REFSEQ-PROTOZOA.txt","zinc finger, c2h2 type family protein")</f>
        <v>zinc finger, c2h2 type family protein</v>
      </c>
      <c r="BI175" s="2" t="str">
        <f>HYPERLINK("http://www.ncbi.nlm.nih.gov/sutils/blink.cgi?pid=XP_002372116.1","9E-039")</f>
        <v>9E-039</v>
      </c>
      <c r="BJ175" s="2" t="str">
        <f>HYPERLINK("http://www.ncbi.nlm.nih.gov/protein/XP_002372116.1","XP_002372116.1")</f>
        <v>XP_002372116.1</v>
      </c>
      <c r="BK175" s="2">
        <v>42</v>
      </c>
      <c r="BL175" s="2">
        <v>62</v>
      </c>
      <c r="BM175" s="2">
        <v>62</v>
      </c>
      <c r="BN175" s="2" t="s">
        <v>741</v>
      </c>
      <c r="BO175" s="9" t="str">
        <f>HYPERLINK(".\links\SWISSP\AGAP003224-PA-SWISSP.txt","Zinc finger protein 175")</f>
        <v>Zinc finger protein 175</v>
      </c>
      <c r="BP175" s="2" t="str">
        <f>HYPERLINK("http://www.uniprot.org/uniprot/Q9Y473","1E-049")</f>
        <v>1E-049</v>
      </c>
      <c r="BQ175" s="2" t="str">
        <f>HYPERLINK("http://www.uniprot.org/uniprot/Q9Y473#expression","Q9Y473")</f>
        <v>Q9Y473</v>
      </c>
      <c r="BR175" s="2">
        <v>37</v>
      </c>
      <c r="BS175" s="2">
        <v>54</v>
      </c>
      <c r="BT175" s="2">
        <v>37</v>
      </c>
      <c r="BU175" s="2" t="s">
        <v>127</v>
      </c>
      <c r="BV175" s="9" t="str">
        <f>HYPERLINK(".\links\FLYBASE\AGAP003224-PA-FLYBASE.txt","FBpp0082593")</f>
        <v>FBpp0082593</v>
      </c>
      <c r="BW175" s="2" t="str">
        <f>HYPERLINK("http://flybase.org/reports/FBgn0038301#alliance_summary_container","2E-40")</f>
        <v>2E-40</v>
      </c>
      <c r="BX175" s="2">
        <v>639</v>
      </c>
      <c r="BY175" s="2">
        <v>34</v>
      </c>
      <c r="BZ175" s="2">
        <v>47</v>
      </c>
      <c r="CA175" s="2">
        <v>43</v>
      </c>
      <c r="CB175" s="9" t="str">
        <f>HYPERLINK(".\links\CDD\AGAP003224-PA-CDD.txt","ZF_C2H2, Zinc finger, C2H2 type")</f>
        <v>ZF_C2H2, Zinc finger, C2H2 type</v>
      </c>
      <c r="CC175" s="15">
        <v>2.0000000000000001E-26</v>
      </c>
      <c r="CD175" s="2">
        <v>100</v>
      </c>
      <c r="CE175" s="2" t="s">
        <v>569</v>
      </c>
      <c r="CF175" s="2" t="s">
        <v>2005</v>
      </c>
      <c r="CG175" s="9" t="str">
        <f>HYPERLINK(".\links\KOG\AGAP003224-PA-KOG.txt","C2H2-type Zn-finger protein")</f>
        <v>C2H2-type Zn-finger protein</v>
      </c>
      <c r="CH175" s="15">
        <v>5.0000000000000002E-27</v>
      </c>
      <c r="CI175" s="2">
        <v>48.4</v>
      </c>
      <c r="CJ175" s="2" t="s">
        <v>743</v>
      </c>
      <c r="CK175" s="2" t="s">
        <v>309</v>
      </c>
      <c r="CL175" s="9" t="str">
        <f>HYPERLINK(".\links\PFAM\AGAP003224-PA-PFAM.txt","zf-AD, Zinc-finger associated domain (zf-AD)")</f>
        <v>zf-AD, Zinc-finger associated domain (zf-AD)</v>
      </c>
      <c r="CM175" s="15">
        <v>6E-11</v>
      </c>
      <c r="CN175" s="2">
        <v>101.4</v>
      </c>
      <c r="CO175" s="2" t="s">
        <v>687</v>
      </c>
      <c r="CP175" s="9" t="str">
        <f>HYPERLINK(".\links\SMART\AGAP003224-PA-SMART.txt","zf-AD, Zinc-finger associated domain (zf-AD)")</f>
        <v>zf-AD, Zinc-finger associated domain (zf-AD)</v>
      </c>
      <c r="CQ175" s="15">
        <v>5.0000000000000002E-11</v>
      </c>
      <c r="CR175" s="2">
        <v>101.4</v>
      </c>
      <c r="CS175" s="2" t="s">
        <v>684</v>
      </c>
      <c r="CT175" s="2" t="s">
        <v>2004</v>
      </c>
      <c r="CU175" s="2" t="s">
        <v>2004</v>
      </c>
      <c r="CV175" s="2" t="s">
        <v>2004</v>
      </c>
      <c r="CW175" s="2" t="str">
        <f>HYPERLINK(".\links\pep\AGAP003224-PA-pep.txt","AGAP003224-PA")</f>
        <v>AGAP003224-PA</v>
      </c>
      <c r="CX175" s="2" t="s">
        <v>95</v>
      </c>
      <c r="CY175" s="2">
        <v>523</v>
      </c>
      <c r="CZ175" s="2" t="s">
        <v>113</v>
      </c>
      <c r="DA175" s="2" t="s">
        <v>2006</v>
      </c>
      <c r="DB175" s="2">
        <v>0</v>
      </c>
      <c r="DC175" s="2">
        <v>1</v>
      </c>
      <c r="DD175" s="2" t="str">
        <f>HYPERLINK("https://www.kegg.jp/kegg-bin/search_pathway_text?map=aga&amp;keyword=AGAP003224&amp;mode=1&amp;viewImage=true","AGAP003224")</f>
        <v>AGAP003224</v>
      </c>
      <c r="DE175" s="2" t="s">
        <v>2003</v>
      </c>
      <c r="DF175" s="2" t="s">
        <v>93</v>
      </c>
      <c r="DG175" s="2" t="s">
        <v>94</v>
      </c>
      <c r="DH175" s="2" t="str">
        <f>HYPERLINK("https://vectorbase.org/vectorbase/app/record/gene/AGAP003224","AGAP003224-RA")</f>
        <v>AGAP003224-RA</v>
      </c>
      <c r="DI175" s="2" t="s">
        <v>115</v>
      </c>
      <c r="DJ175" s="2">
        <v>1754</v>
      </c>
      <c r="DK175" s="2" t="str">
        <f>HYPERLINK(".\links\netoglyc\AGAP003224-PA-netoglyc.txt","4")</f>
        <v>4</v>
      </c>
      <c r="DL175" s="2">
        <v>14.5</v>
      </c>
      <c r="DM175" s="2">
        <v>4.4000000000000004</v>
      </c>
      <c r="DN175" s="2">
        <v>2.5</v>
      </c>
      <c r="DO175" s="2" t="s">
        <v>104</v>
      </c>
      <c r="DP175" s="2" t="s">
        <v>102</v>
      </c>
      <c r="DQ175" s="2" t="str">
        <f>HYPERLINK(".\links\Sigp\AGAP003224-PA-SigP.txt","CYT")</f>
        <v>CYT</v>
      </c>
      <c r="DR175" s="2" t="s">
        <v>102</v>
      </c>
      <c r="DS175" s="2">
        <v>59.322000000000003</v>
      </c>
      <c r="DT175" s="2">
        <v>5.48</v>
      </c>
      <c r="DU175" s="2" t="s">
        <v>102</v>
      </c>
      <c r="DV175" s="2" t="s">
        <v>102</v>
      </c>
      <c r="DW175" s="2" t="s">
        <v>211</v>
      </c>
      <c r="DX175" s="2">
        <v>523</v>
      </c>
      <c r="DY175" s="12">
        <v>0</v>
      </c>
      <c r="DZ175" s="2" t="s">
        <v>102</v>
      </c>
      <c r="EA175" s="2" t="s">
        <v>102</v>
      </c>
      <c r="EB175" s="2" t="s">
        <v>102</v>
      </c>
      <c r="EC175" s="2" t="str">
        <f>HYPERLINK(".\links\gpi\AGAP003224-PA-gpi.txt","Y-NoSP")</f>
        <v>Y-NoSP</v>
      </c>
      <c r="ED175" s="2">
        <v>0.22</v>
      </c>
      <c r="EF175" s="2">
        <v>24</v>
      </c>
      <c r="EG175" s="2" t="str">
        <f>HYPERLINK(".\links\pep\AGAP003224-PA-sulf.txt","4")</f>
        <v>4</v>
      </c>
      <c r="EH175" s="2" t="s">
        <v>102</v>
      </c>
      <c r="EI175" s="2">
        <v>14.531548757170199</v>
      </c>
      <c r="EJ175" s="2">
        <v>2.4856596558317401</v>
      </c>
      <c r="EK175" s="2">
        <v>4.3977055449330802</v>
      </c>
      <c r="EL175" s="2">
        <v>6.8833652007648203</v>
      </c>
      <c r="EM175" s="2" t="s">
        <v>102</v>
      </c>
      <c r="EN175" s="2" t="s">
        <v>102</v>
      </c>
      <c r="EO175" s="2" t="s">
        <v>102</v>
      </c>
      <c r="EP175" s="2" t="s">
        <v>102</v>
      </c>
      <c r="EQ175" s="2" t="s">
        <v>102</v>
      </c>
      <c r="ER175" s="2" t="s">
        <v>102</v>
      </c>
      <c r="ES175" s="2" t="s">
        <v>102</v>
      </c>
      <c r="ET175" s="2" t="str">
        <f>HYPERLINK(".\links\REFSEQ-INVERTEBRATE\AGAP003224-PA-REFSEQ-INVERTEBRATE.txt","AGAP003224-PA")</f>
        <v>AGAP003224-PA</v>
      </c>
      <c r="EU175" s="2" t="str">
        <f>HYPERLINK("http://www.ncbi.nlm.nih.gov/sutils/blink.cgi?pid=XP_312933.3","0.0")</f>
        <v>0.0</v>
      </c>
      <c r="EV175" s="2" t="str">
        <f>HYPERLINK("http://www.ncbi.nlm.nih.gov/protein/XP_312933.3","XP_312933.3")</f>
        <v>XP_312933.3</v>
      </c>
      <c r="EW175" s="2">
        <v>92</v>
      </c>
      <c r="EX175" s="2">
        <v>92</v>
      </c>
      <c r="EY175" s="2">
        <v>108</v>
      </c>
      <c r="EZ175" s="2" t="s">
        <v>105</v>
      </c>
    </row>
    <row r="176" spans="1:156" x14ac:dyDescent="0.25">
      <c r="A176" s="2" t="s">
        <v>2007</v>
      </c>
      <c r="B176" s="2">
        <v>0.33136233805804299</v>
      </c>
      <c r="C176" s="2">
        <f t="shared" si="2"/>
        <v>1.2582009338551234</v>
      </c>
      <c r="D176" s="2">
        <v>7.9936028102946404</v>
      </c>
      <c r="E176" s="2">
        <v>12.023515425252199</v>
      </c>
      <c r="F176" s="2">
        <v>5.2533524848383598E-4</v>
      </c>
      <c r="G176" s="2">
        <v>2.6280095806133E-2</v>
      </c>
      <c r="H176" s="2" t="s">
        <v>2008</v>
      </c>
      <c r="I176" s="2" t="s">
        <v>94</v>
      </c>
      <c r="J176" s="2" t="str">
        <f>HYPERLINK("https://vectorbase.org/vectorbase/app/record/gene/AGAP004556","AGAP004556-RA")</f>
        <v>AGAP004556-RA</v>
      </c>
      <c r="K176" s="2" t="str">
        <f>HYPERLINK(".\links\pep\AGAP004556-PA-pep.txt","AGAP004556-PA")</f>
        <v>AGAP004556-PA</v>
      </c>
      <c r="L176" s="12" t="s">
        <v>95</v>
      </c>
      <c r="M176" s="2">
        <v>495</v>
      </c>
      <c r="N176" s="2">
        <v>0</v>
      </c>
      <c r="O176" s="2">
        <v>0</v>
      </c>
      <c r="P176" s="2" t="s">
        <v>2009</v>
      </c>
      <c r="Q176" s="9" t="s">
        <v>2010</v>
      </c>
      <c r="R176" s="2" t="s">
        <v>921</v>
      </c>
      <c r="S176" s="2" t="str">
        <f>HYPERLINK(".\links\KOG\AGAP004556-PA-KOG.txt","KOG")</f>
        <v>KOG</v>
      </c>
      <c r="T176" s="2">
        <v>0</v>
      </c>
      <c r="U176" s="2">
        <v>103.2</v>
      </c>
      <c r="V176" s="2" t="s">
        <v>2011</v>
      </c>
      <c r="W176" s="10" t="s">
        <v>2012</v>
      </c>
      <c r="X176" s="2" t="s">
        <v>921</v>
      </c>
      <c r="Y176" s="2" t="str">
        <f>HYPERLINK(".\links\KOG\AGAP004556-PA-KOG.txt","KOG")</f>
        <v>KOG</v>
      </c>
      <c r="Z176" s="2">
        <v>0</v>
      </c>
      <c r="AA176" s="2">
        <v>96.7</v>
      </c>
      <c r="AB176" s="13" t="s">
        <v>102</v>
      </c>
      <c r="AC176" s="13" t="str">
        <f>HYPERLINK(".\links\Sigp\AGAP004556-PA-SigP.txt","CYT")</f>
        <v>CYT</v>
      </c>
      <c r="AD176" s="2" t="s">
        <v>102</v>
      </c>
      <c r="AE176" s="2">
        <v>56.84</v>
      </c>
      <c r="AF176" s="2">
        <v>9.84</v>
      </c>
      <c r="AG176" s="2" t="s">
        <v>102</v>
      </c>
      <c r="AH176" s="2" t="s">
        <v>102</v>
      </c>
      <c r="AI176" s="2" t="s">
        <v>2013</v>
      </c>
      <c r="AJ176" s="13" t="str">
        <f>HYPERLINK(".\links\tmhmm\AGAP004556-PA-tmhmm.txt","1")</f>
        <v>1</v>
      </c>
      <c r="AK176" s="2">
        <v>4.4000000000000004</v>
      </c>
      <c r="AL176" s="2">
        <v>80.2</v>
      </c>
      <c r="AM176" s="2">
        <v>15.4</v>
      </c>
      <c r="AN176" s="13" t="str">
        <f>HYPERLINK(".\links\gpi\AGAP004556-PA-gpi.txt","N")</f>
        <v>N</v>
      </c>
      <c r="AO176" s="14" t="str">
        <f>HYPERLINK(".\links\netoglyc\AGAP004556-PA-netoglyc.txt","0")</f>
        <v>0</v>
      </c>
      <c r="AP176" s="13">
        <v>10.9</v>
      </c>
      <c r="AQ176" s="2">
        <v>6.5</v>
      </c>
      <c r="AR176" s="2">
        <v>4</v>
      </c>
      <c r="AS176" s="2" t="s">
        <v>104</v>
      </c>
      <c r="AT176" s="9" t="str">
        <f>HYPERLINK(".\links\NR-LIGHT\AGAP004556-PA-NR-LIGHT.txt","AGAP004556-PA")</f>
        <v>AGAP004556-PA</v>
      </c>
      <c r="AU176" s="2" t="str">
        <f>HYPERLINK("http://www.ncbi.nlm.nih.gov/sutils/blink.cgi?pid=XP_313854.3","0.0")</f>
        <v>0.0</v>
      </c>
      <c r="AV176" s="2" t="str">
        <f>HYPERLINK("http://www.ncbi.nlm.nih.gov/protein/XP_313854.3","XP_313854.3")</f>
        <v>XP_313854.3</v>
      </c>
      <c r="AW176" s="2">
        <v>100</v>
      </c>
      <c r="AX176" s="2">
        <v>100</v>
      </c>
      <c r="AY176" s="2">
        <v>100</v>
      </c>
      <c r="AZ176" s="2" t="s">
        <v>105</v>
      </c>
      <c r="BA176" s="9" t="str">
        <f>HYPERLINK(".\links\REFSEQ-INVERTEBRATE\AGAP004556-PA-REFSEQ-INVERTEBRATE.txt","AGAP004556-PA")</f>
        <v>AGAP004556-PA</v>
      </c>
      <c r="BB176" s="2" t="str">
        <f>HYPERLINK("http://www.ncbi.nlm.nih.gov/sutils/blink.cgi?pid=XP_313854.3","0.0")</f>
        <v>0.0</v>
      </c>
      <c r="BC176" s="2" t="str">
        <f>HYPERLINK("http://www.ncbi.nlm.nih.gov/protein/XP_313854.3","XP_313854.3")</f>
        <v>XP_313854.3</v>
      </c>
      <c r="BD176" s="2">
        <v>100</v>
      </c>
      <c r="BE176" s="2">
        <v>100</v>
      </c>
      <c r="BF176" s="2">
        <v>100</v>
      </c>
      <c r="BG176" s="2" t="s">
        <v>105</v>
      </c>
      <c r="BH176" s="9" t="str">
        <f>HYPERLINK(".\links\REFSEQ-PROTOZOA\AGAP004556-PA-REFSEQ-PROTOZOA.txt","hypothetical protein H310_01381")</f>
        <v>hypothetical protein H310_01381</v>
      </c>
      <c r="BI176" s="2" t="str">
        <f>HYPERLINK("http://www.ncbi.nlm.nih.gov/sutils/blink.cgi?pid=XP_008862692.1","2E-085")</f>
        <v>2E-085</v>
      </c>
      <c r="BJ176" s="2" t="str">
        <f>HYPERLINK("http://www.ncbi.nlm.nih.gov/protein/XP_008862692.1","XP_008862692.1")</f>
        <v>XP_008862692.1</v>
      </c>
      <c r="BK176" s="2">
        <v>38</v>
      </c>
      <c r="BL176" s="2">
        <v>56</v>
      </c>
      <c r="BM176" s="2">
        <v>105</v>
      </c>
      <c r="BN176" s="2" t="s">
        <v>1856</v>
      </c>
      <c r="BO176" s="9" t="str">
        <f>HYPERLINK(".\links\SWISSP\AGAP004556-PA-SWISSP.txt","Protein Peter pan")</f>
        <v>Protein Peter pan</v>
      </c>
      <c r="BP176" s="2" t="str">
        <f>HYPERLINK("http://www.uniprot.org/uniprot/Q9VDE5","1E-124")</f>
        <v>1E-124</v>
      </c>
      <c r="BQ176" s="2" t="str">
        <f>HYPERLINK("http://www.uniprot.org/uniprot/Q9VDE5#expression","Q9VDE5")</f>
        <v>Q9VDE5</v>
      </c>
      <c r="BR176" s="2">
        <v>51</v>
      </c>
      <c r="BS176" s="2">
        <v>68</v>
      </c>
      <c r="BT176" s="2">
        <v>101</v>
      </c>
      <c r="BU176" s="2" t="s">
        <v>107</v>
      </c>
      <c r="BV176" s="9" t="str">
        <f>HYPERLINK(".\links\FLYBASE\AGAP004556-PA-FLYBASE.txt","FBpp0083415")</f>
        <v>FBpp0083415</v>
      </c>
      <c r="BW176" s="2" t="str">
        <f>HYPERLINK("http://flybase.org/reports/FBgn0010770#alliance_summary_container","1E-140")</f>
        <v>1E-140</v>
      </c>
      <c r="BX176" s="2">
        <v>460</v>
      </c>
      <c r="BY176" s="2">
        <v>54</v>
      </c>
      <c r="BZ176" s="2">
        <v>72</v>
      </c>
      <c r="CA176" s="2">
        <v>90</v>
      </c>
      <c r="CB176" s="9" t="str">
        <f>HYPERLINK(".\links\CDD\AGAP004556-PA-CDD.txt","Brix, The Brix domain is found in a number of eukaryotic proteins")</f>
        <v>Brix, The Brix domain is found in a number of eukaryotic proteins</v>
      </c>
      <c r="CC176" s="15">
        <v>3.0000000000000001E-27</v>
      </c>
      <c r="CD176" s="2">
        <v>95.6</v>
      </c>
      <c r="CE176" s="2" t="s">
        <v>2014</v>
      </c>
      <c r="CF176" s="2" t="s">
        <v>2015</v>
      </c>
      <c r="CG176" s="9" t="str">
        <f>HYPERLINK(".\links\KOG\AGAP004556-PA-KOG.txt","RNA-binding protein required for 60S ribosomal subunit biogenesis")</f>
        <v>RNA-binding protein required for 60S ribosomal subunit biogenesis</v>
      </c>
      <c r="CH176" s="15">
        <v>1.0000000000000001E-101</v>
      </c>
      <c r="CI176" s="2">
        <v>103.2</v>
      </c>
      <c r="CJ176" s="2" t="s">
        <v>2016</v>
      </c>
      <c r="CK176" s="2" t="s">
        <v>678</v>
      </c>
      <c r="CL176" s="9" t="str">
        <f>HYPERLINK(".\links\PFAM\AGAP004556-PA-PFAM.txt","Brix, Brix domain")</f>
        <v>Brix, Brix domain</v>
      </c>
      <c r="CM176" s="15">
        <v>2.0000000000000001E-25</v>
      </c>
      <c r="CN176" s="2">
        <v>102.3</v>
      </c>
      <c r="CO176" s="2" t="s">
        <v>2017</v>
      </c>
      <c r="CP176" s="9" t="str">
        <f>HYPERLINK(".\links\SMART\AGAP004556-PA-SMART.txt","Brix, The Brix domain is found in a number of eukaryotic proteins")</f>
        <v>Brix, The Brix domain is found in a number of eukaryotic proteins</v>
      </c>
      <c r="CQ176" s="15">
        <v>3.0000000000000003E-29</v>
      </c>
      <c r="CR176" s="2">
        <v>95.6</v>
      </c>
      <c r="CS176" s="2" t="s">
        <v>2014</v>
      </c>
      <c r="CT176" s="2" t="s">
        <v>2011</v>
      </c>
      <c r="CU176" s="2" t="s">
        <v>2011</v>
      </c>
      <c r="CV176" s="2" t="s">
        <v>2011</v>
      </c>
      <c r="CW176" s="2" t="str">
        <f>HYPERLINK(".\links\pep\AGAP004556-PA-pep.txt","AGAP004556-PA")</f>
        <v>AGAP004556-PA</v>
      </c>
      <c r="CX176" s="2" t="s">
        <v>95</v>
      </c>
      <c r="CY176" s="2">
        <v>495</v>
      </c>
      <c r="CZ176" s="2" t="s">
        <v>113</v>
      </c>
      <c r="DA176" s="2" t="s">
        <v>2018</v>
      </c>
      <c r="DB176" s="2">
        <v>0</v>
      </c>
      <c r="DC176" s="2">
        <v>0</v>
      </c>
      <c r="DD176" s="2" t="str">
        <f>HYPERLINK("https://www.kegg.jp/kegg-bin/search_pathway_text?map=aga&amp;keyword=AGAP004556&amp;mode=1&amp;viewImage=true","AGAP004556")</f>
        <v>AGAP004556</v>
      </c>
      <c r="DE176" s="2" t="s">
        <v>2007</v>
      </c>
      <c r="DF176" s="2" t="s">
        <v>2008</v>
      </c>
      <c r="DG176" s="2" t="s">
        <v>94</v>
      </c>
      <c r="DH176" s="2" t="str">
        <f>HYPERLINK("https://vectorbase.org/vectorbase/app/record/gene/AGAP004556","AGAP004556-RA")</f>
        <v>AGAP004556-RA</v>
      </c>
      <c r="DI176" s="2" t="s">
        <v>118</v>
      </c>
      <c r="DJ176" s="2">
        <v>1586</v>
      </c>
      <c r="DK176" s="2" t="str">
        <f>HYPERLINK(".\links\netoglyc\AGAP004556-PA-netoglyc.txt","0")</f>
        <v>0</v>
      </c>
      <c r="DL176" s="2">
        <v>10.9</v>
      </c>
      <c r="DM176" s="2">
        <v>6.5</v>
      </c>
      <c r="DN176" s="2">
        <v>4</v>
      </c>
      <c r="DO176" s="2" t="s">
        <v>104</v>
      </c>
      <c r="DP176" s="2" t="s">
        <v>102</v>
      </c>
      <c r="DQ176" s="2" t="str">
        <f>HYPERLINK(".\links\Sigp\AGAP004556-PA-SigP.txt","CYT")</f>
        <v>CYT</v>
      </c>
      <c r="DR176" s="2" t="s">
        <v>102</v>
      </c>
      <c r="DS176" s="2">
        <v>56.84</v>
      </c>
      <c r="DT176" s="2">
        <v>9.84</v>
      </c>
      <c r="DU176" s="2" t="s">
        <v>102</v>
      </c>
      <c r="DV176" s="2" t="s">
        <v>102</v>
      </c>
      <c r="DW176" s="2" t="s">
        <v>2013</v>
      </c>
      <c r="DX176" s="2">
        <v>495</v>
      </c>
      <c r="DY176" s="12" t="str">
        <f>HYPERLINK(".\links\tmhmm\AGAP004556-PA-tmhmm.txt","1")</f>
        <v>1</v>
      </c>
      <c r="DZ176" s="2">
        <v>4.4000000000000004</v>
      </c>
      <c r="EA176" s="2">
        <v>80.2</v>
      </c>
      <c r="EB176" s="2">
        <v>15.4</v>
      </c>
      <c r="EC176" s="2" t="str">
        <f>HYPERLINK(".\links\gpi\AGAP004556-PA-gpi.txt","Y-NoSP")</f>
        <v>Y-NoSP</v>
      </c>
      <c r="ED176" s="2">
        <v>0.28999999999999998</v>
      </c>
      <c r="EF176" s="2">
        <v>5</v>
      </c>
      <c r="EG176" s="2" t="s">
        <v>102</v>
      </c>
      <c r="EH176" s="2" t="s">
        <v>102</v>
      </c>
      <c r="EI176" s="2">
        <v>10.909090909090899</v>
      </c>
      <c r="EJ176" s="2">
        <v>4.0404040404040398</v>
      </c>
      <c r="EK176" s="2">
        <v>6.4646464646464601</v>
      </c>
      <c r="EL176" s="2">
        <v>10.5050505050505</v>
      </c>
      <c r="EM176" s="2" t="s">
        <v>102</v>
      </c>
      <c r="EN176" s="2">
        <v>4</v>
      </c>
      <c r="EO176" s="2">
        <v>4</v>
      </c>
      <c r="EP176" s="2" t="s">
        <v>102</v>
      </c>
      <c r="EQ176" s="2" t="s">
        <v>102</v>
      </c>
      <c r="ER176" s="2" t="s">
        <v>102</v>
      </c>
      <c r="ES176" s="2" t="s">
        <v>102</v>
      </c>
      <c r="ET176" s="2" t="str">
        <f>HYPERLINK(".\links\REFSEQ-INVERTEBRATE\AGAP004556-PA-REFSEQ-INVERTEBRATE.txt","AGAP004556-PA")</f>
        <v>AGAP004556-PA</v>
      </c>
      <c r="EU176" s="2" t="str">
        <f>HYPERLINK("http://www.ncbi.nlm.nih.gov/sutils/blink.cgi?pid=XP_313854.3","0.0")</f>
        <v>0.0</v>
      </c>
      <c r="EV176" s="2" t="str">
        <f>HYPERLINK("http://www.ncbi.nlm.nih.gov/protein/XP_313854.3","XP_313854.3")</f>
        <v>XP_313854.3</v>
      </c>
      <c r="EW176" s="2">
        <v>100</v>
      </c>
      <c r="EX176" s="2">
        <v>100</v>
      </c>
      <c r="EY176" s="2">
        <v>100</v>
      </c>
      <c r="EZ176" s="2" t="s">
        <v>105</v>
      </c>
    </row>
    <row r="177" spans="1:156" x14ac:dyDescent="0.25">
      <c r="A177" s="2" t="s">
        <v>2019</v>
      </c>
      <c r="B177" s="2">
        <v>0.33086941159162497</v>
      </c>
      <c r="C177" s="2">
        <f t="shared" si="2"/>
        <v>1.2577711170312502</v>
      </c>
      <c r="D177" s="2">
        <v>6.3015371161618203</v>
      </c>
      <c r="E177" s="2">
        <v>11.780560174573401</v>
      </c>
      <c r="F177" s="2">
        <v>5.9852470817771495E-4</v>
      </c>
      <c r="G177" s="2">
        <v>2.76392410462655E-2</v>
      </c>
      <c r="H177" s="2" t="s">
        <v>2020</v>
      </c>
      <c r="I177" s="2" t="s">
        <v>94</v>
      </c>
      <c r="J177" s="2" t="str">
        <f>HYPERLINK("https://vectorbase.org/vectorbase/app/record/gene/AGAP010010","AGAP010010-RA")</f>
        <v>AGAP010010-RA</v>
      </c>
      <c r="K177" s="2" t="str">
        <f>HYPERLINK(".\links\pep\AGAP010010-PA-pep.txt","AGAP010010-PA")</f>
        <v>AGAP010010-PA</v>
      </c>
      <c r="L177" s="12" t="s">
        <v>95</v>
      </c>
      <c r="M177" s="2">
        <v>333</v>
      </c>
      <c r="N177" s="2">
        <v>0</v>
      </c>
      <c r="O177" s="2">
        <v>0</v>
      </c>
      <c r="P177" s="2" t="s">
        <v>2021</v>
      </c>
      <c r="Q177" s="9" t="s">
        <v>2022</v>
      </c>
      <c r="R177" s="2" t="s">
        <v>167</v>
      </c>
      <c r="S177" s="2" t="str">
        <f>HYPERLINK(".\links\PFAM\AGAP010010-PA-PFAM.txt","PFAM")</f>
        <v>PFAM</v>
      </c>
      <c r="T177" s="2">
        <v>9.9999999999999999E-93</v>
      </c>
      <c r="U177" s="2">
        <v>100.3</v>
      </c>
      <c r="V177" s="2" t="s">
        <v>2023</v>
      </c>
      <c r="W177" s="10" t="s">
        <v>2024</v>
      </c>
      <c r="X177" s="2" t="s">
        <v>2025</v>
      </c>
      <c r="Y177" s="2" t="str">
        <f>HYPERLINK(".\links\ELEGANS\AGAP010010-PA-ELEGANS.txt","ELEGANS")</f>
        <v>ELEGANS</v>
      </c>
      <c r="Z177" s="2">
        <v>0</v>
      </c>
      <c r="AA177" s="2">
        <v>96.6</v>
      </c>
      <c r="AB177" s="13" t="s">
        <v>102</v>
      </c>
      <c r="AC177" s="13" t="str">
        <f>HYPERLINK(".\links\Sigp\AGAP010010-PA-SigP.txt","SIG")</f>
        <v>SIG</v>
      </c>
      <c r="AD177" s="2" t="s">
        <v>184</v>
      </c>
      <c r="AE177" s="2">
        <v>38.026000000000003</v>
      </c>
      <c r="AF177" s="2">
        <v>9.9</v>
      </c>
      <c r="AG177" s="2">
        <v>35.450000000000003</v>
      </c>
      <c r="AH177" s="2">
        <v>9.89</v>
      </c>
      <c r="AI177" s="2" t="s">
        <v>2026</v>
      </c>
      <c r="AJ177" s="13" t="str">
        <f>HYPERLINK(".\links\tmhmm\AGAP010010-PA-tmhmm.txt","4")</f>
        <v>4</v>
      </c>
      <c r="AK177" s="2">
        <v>24.3</v>
      </c>
      <c r="AL177" s="2">
        <v>67.900000000000006</v>
      </c>
      <c r="AM177" s="2">
        <v>7.8</v>
      </c>
      <c r="AN177" s="13" t="str">
        <f>HYPERLINK(".\links\gpi\AGAP010010-PA-gpi.txt","N")</f>
        <v>N</v>
      </c>
      <c r="AO177" s="14" t="str">
        <f>HYPERLINK(".\links\netoglyc\AGAP010010-PA-netoglyc.txt","0")</f>
        <v>0</v>
      </c>
      <c r="AP177" s="13">
        <v>11.1</v>
      </c>
      <c r="AQ177" s="2">
        <v>5.4</v>
      </c>
      <c r="AR177" s="2">
        <v>3.9</v>
      </c>
      <c r="AS177" s="2" t="s">
        <v>104</v>
      </c>
      <c r="AT177" s="9" t="str">
        <f>HYPERLINK(".\links\NR-LIGHT\AGAP010010-PA-NR-LIGHT.txt","tumor suppressor putative 3")</f>
        <v>tumor suppressor putative 3</v>
      </c>
      <c r="AU177" s="2" t="str">
        <f>HYPERLINK("http://www.ncbi.nlm.nih.gov/sutils/blink.cgi?pid=ETN61920.1","1E-175")</f>
        <v>1E-175</v>
      </c>
      <c r="AV177" s="2" t="str">
        <f>HYPERLINK("http://www.ncbi.nlm.nih.gov/protein/ETN61920.1","ETN61920.1")</f>
        <v>ETN61920.1</v>
      </c>
      <c r="AW177" s="2">
        <v>91</v>
      </c>
      <c r="AX177" s="2">
        <v>96</v>
      </c>
      <c r="AY177" s="2">
        <v>100</v>
      </c>
      <c r="AZ177" s="2" t="s">
        <v>360</v>
      </c>
      <c r="BA177" s="9" t="str">
        <f>HYPERLINK(".\links\REFSEQ-INVERTEBRATE\AGAP010010-PA-REFSEQ-INVERTEBRATE.txt","AGAP010010-PA, partial")</f>
        <v>AGAP010010-PA, partial</v>
      </c>
      <c r="BB177" s="2" t="str">
        <f>HYPERLINK("http://www.ncbi.nlm.nih.gov/sutils/blink.cgi?pid=XP_319154.4","1E-173")</f>
        <v>1E-173</v>
      </c>
      <c r="BC177" s="2" t="str">
        <f>HYPERLINK("http://www.ncbi.nlm.nih.gov/protein/XP_319154.4","XP_319154.4")</f>
        <v>XP_319154.4</v>
      </c>
      <c r="BD177" s="2">
        <v>93</v>
      </c>
      <c r="BE177" s="2">
        <v>94</v>
      </c>
      <c r="BF177" s="2">
        <v>100</v>
      </c>
      <c r="BG177" s="2" t="s">
        <v>105</v>
      </c>
      <c r="BH177" s="9" t="str">
        <f>HYPERLINK(".\links\REFSEQ-PROTOZOA\AGAP010010-PA-REFSEQ-PROTOZOA.txt","hypothetical protein CAOG_04907")</f>
        <v>hypothetical protein CAOG_04907</v>
      </c>
      <c r="BI177" s="2" t="str">
        <f>HYPERLINK("http://www.ncbi.nlm.nih.gov/sutils/blink.cgi?pid=XP_004347658.1","2E-049")</f>
        <v>2E-049</v>
      </c>
      <c r="BJ177" s="2" t="str">
        <f>HYPERLINK("http://www.ncbi.nlm.nih.gov/protein/XP_004347658.1","XP_004347658.1")</f>
        <v>XP_004347658.1</v>
      </c>
      <c r="BK177" s="2">
        <v>36</v>
      </c>
      <c r="BL177" s="2">
        <v>56</v>
      </c>
      <c r="BM177" s="2">
        <v>100</v>
      </c>
      <c r="BN177" s="2" t="s">
        <v>106</v>
      </c>
      <c r="BO177" s="9" t="str">
        <f>HYPERLINK(".\links\SWISSP\AGAP010010-PA-SWISSP.txt","Tumor suppressor candidate 3")</f>
        <v>Tumor suppressor candidate 3</v>
      </c>
      <c r="BP177" s="2" t="str">
        <f>HYPERLINK("http://www.uniprot.org/uniprot/Q8BTV1","1E-108")</f>
        <v>1E-108</v>
      </c>
      <c r="BQ177" s="2" t="str">
        <f>HYPERLINK("http://www.uniprot.org/uniprot/Q8BTV1#expression","Q8BTV1")</f>
        <v>Q8BTV1</v>
      </c>
      <c r="BR177" s="2">
        <v>57</v>
      </c>
      <c r="BS177" s="2">
        <v>74</v>
      </c>
      <c r="BT177" s="2">
        <v>94</v>
      </c>
      <c r="BU177" s="2" t="s">
        <v>662</v>
      </c>
      <c r="BV177" s="9" t="str">
        <f>HYPERLINK(".\links\FLYBASE\AGAP010010-PA-FLYBASE.txt","FBpp0079233")</f>
        <v>FBpp0079233</v>
      </c>
      <c r="BW177" s="2" t="str">
        <f>HYPERLINK("http://flybase.org/reports/FBgn0032015#alliance_summary_container","1E-180")</f>
        <v>1E-180</v>
      </c>
      <c r="BX177" s="2">
        <v>330</v>
      </c>
      <c r="BY177" s="2">
        <v>70</v>
      </c>
      <c r="BZ177" s="2">
        <v>82</v>
      </c>
      <c r="CA177" s="2">
        <v>101</v>
      </c>
      <c r="CB177" s="9" t="str">
        <f>HYPERLINK(".\links\CDD\AGAP010010-PA-CDD.txt","OST3_OST6, OST3 / OST6 family, transporter family")</f>
        <v>OST3_OST6, OST3 / OST6 family, transporter family</v>
      </c>
      <c r="CC177" s="15">
        <v>6.0000000000000003E-92</v>
      </c>
      <c r="CD177" s="2">
        <v>100.3</v>
      </c>
      <c r="CE177" s="2" t="s">
        <v>2027</v>
      </c>
      <c r="CF177" s="2" t="s">
        <v>2028</v>
      </c>
      <c r="CG177" s="9" t="str">
        <f>HYPERLINK(".\links\KOG\AGAP010010-PA-KOG.txt","gamma subunit")</f>
        <v>gamma subunit</v>
      </c>
      <c r="CH177" s="15">
        <v>4.9999999999999997E-89</v>
      </c>
      <c r="CI177" s="2">
        <v>100.3</v>
      </c>
      <c r="CJ177" s="2" t="s">
        <v>2029</v>
      </c>
      <c r="CK177" s="2" t="s">
        <v>111</v>
      </c>
      <c r="CL177" s="9" t="str">
        <f>HYPERLINK(".\links\PFAM\AGAP010010-PA-PFAM.txt","OST3_OST6, OST3 / OST6 family, transporter family")</f>
        <v>OST3_OST6, OST3 / OST6 family, transporter family</v>
      </c>
      <c r="CM177" s="15">
        <v>9.9999999999999999E-93</v>
      </c>
      <c r="CN177" s="2">
        <v>100.3</v>
      </c>
      <c r="CO177" s="2" t="s">
        <v>2027</v>
      </c>
      <c r="CP177" s="9" t="str">
        <f>HYPERLINK(".\links\SMART\AGAP010010-PA-SMART.txt","IL2, Interleukin-2 family")</f>
        <v>IL2, Interleukin-2 family</v>
      </c>
      <c r="CQ177" s="15">
        <v>0.3</v>
      </c>
      <c r="CR177" s="2">
        <v>28.6</v>
      </c>
      <c r="CS177" s="2" t="s">
        <v>2030</v>
      </c>
      <c r="CT177" s="2" t="s">
        <v>2023</v>
      </c>
      <c r="CU177" s="2" t="s">
        <v>2023</v>
      </c>
      <c r="CV177" s="2" t="s">
        <v>2023</v>
      </c>
      <c r="CW177" s="2" t="str">
        <f>HYPERLINK(".\links\pep\AGAP010010-PA-pep.txt","AGAP010010-PA")</f>
        <v>AGAP010010-PA</v>
      </c>
      <c r="CX177" s="2" t="s">
        <v>95</v>
      </c>
      <c r="CY177" s="2">
        <v>333</v>
      </c>
      <c r="CZ177" s="2" t="s">
        <v>113</v>
      </c>
      <c r="DA177" s="2" t="s">
        <v>2031</v>
      </c>
      <c r="DB177" s="2">
        <v>0</v>
      </c>
      <c r="DC177" s="2">
        <v>0</v>
      </c>
      <c r="DD177" s="2" t="str">
        <f>HYPERLINK("https://www.kegg.jp/kegg-bin/search_pathway_text?map=aga&amp;keyword=AGAP010010&amp;mode=1&amp;viewImage=true","AGAP010010")</f>
        <v>AGAP010010</v>
      </c>
      <c r="DE177" s="2" t="s">
        <v>2019</v>
      </c>
      <c r="DF177" s="2" t="s">
        <v>2020</v>
      </c>
      <c r="DG177" s="2" t="s">
        <v>94</v>
      </c>
      <c r="DH177" s="2" t="str">
        <f>HYPERLINK("https://vectorbase.org/vectorbase/app/record/gene/AGAP010010","AGAP010010-RA")</f>
        <v>AGAP010010-RA</v>
      </c>
      <c r="DI177" s="2" t="s">
        <v>90</v>
      </c>
      <c r="DJ177" s="2">
        <v>1482</v>
      </c>
      <c r="DK177" s="2" t="str">
        <f>HYPERLINK(".\links\netoglyc\AGAP010010-PA-netoglyc.txt","0")</f>
        <v>0</v>
      </c>
      <c r="DL177" s="2">
        <v>11.1</v>
      </c>
      <c r="DM177" s="2">
        <v>5.4</v>
      </c>
      <c r="DN177" s="2">
        <v>3.9</v>
      </c>
      <c r="DO177" s="2" t="s">
        <v>104</v>
      </c>
      <c r="DP177" s="2" t="s">
        <v>102</v>
      </c>
      <c r="DQ177" s="2" t="str">
        <f>HYPERLINK(".\links\Sigp\AGAP010010-PA-SigP.txt","SIG")</f>
        <v>SIG</v>
      </c>
      <c r="DR177" s="2" t="s">
        <v>184</v>
      </c>
      <c r="DS177" s="2">
        <v>38.026000000000003</v>
      </c>
      <c r="DT177" s="2">
        <v>9.9</v>
      </c>
      <c r="DU177" s="2">
        <v>35.450000000000003</v>
      </c>
      <c r="DV177" s="2">
        <v>9.89</v>
      </c>
      <c r="DW177" s="2" t="s">
        <v>2026</v>
      </c>
      <c r="DX177" s="2">
        <v>333</v>
      </c>
      <c r="DY177" s="12" t="str">
        <f>HYPERLINK(".\links\tmhmm\AGAP010010-PA-tmhmm.txt","4")</f>
        <v>4</v>
      </c>
      <c r="DZ177" s="2">
        <v>24.3</v>
      </c>
      <c r="EA177" s="2">
        <v>67.900000000000006</v>
      </c>
      <c r="EB177" s="2">
        <v>7.8</v>
      </c>
      <c r="EC177" s="2" t="str">
        <f>HYPERLINK(".\links\gpi\AGAP010010-PA-gpi.txt","N")</f>
        <v>N</v>
      </c>
      <c r="ED177" s="2">
        <v>0.28000000000000003</v>
      </c>
      <c r="EF177" s="2">
        <v>4</v>
      </c>
      <c r="EG177" s="2" t="s">
        <v>102</v>
      </c>
      <c r="EH177" s="2" t="s">
        <v>102</v>
      </c>
      <c r="EI177" s="2">
        <v>11.1111111111111</v>
      </c>
      <c r="EJ177" s="2">
        <v>3.9039039039038999</v>
      </c>
      <c r="EK177" s="2">
        <v>5.4054054054054097</v>
      </c>
      <c r="EL177" s="2">
        <v>9.3093093093093096</v>
      </c>
      <c r="EM177" s="2" t="s">
        <v>102</v>
      </c>
      <c r="EN177" s="2">
        <v>1</v>
      </c>
      <c r="EO177" s="2">
        <v>1</v>
      </c>
      <c r="EP177" s="2" t="s">
        <v>102</v>
      </c>
      <c r="EQ177" s="2" t="s">
        <v>102</v>
      </c>
      <c r="ER177" s="2" t="s">
        <v>102</v>
      </c>
      <c r="ES177" s="2" t="s">
        <v>102</v>
      </c>
      <c r="ET177" s="2" t="str">
        <f>HYPERLINK(".\links\REFSEQ-INVERTEBRATE\AGAP010010-PA-REFSEQ-INVERTEBRATE.txt","tumor suppressor candidate 3")</f>
        <v>tumor suppressor candidate 3</v>
      </c>
      <c r="EU177" s="2" t="str">
        <f>HYPERLINK("http://www.ncbi.nlm.nih.gov/sutils/blink.cgi?pid=XP_035907386.1","0.0")</f>
        <v>0.0</v>
      </c>
      <c r="EV177" s="2" t="str">
        <f>HYPERLINK("http://www.ncbi.nlm.nih.gov/protein/XP_035907386.1","XP_035907386.1")</f>
        <v>XP_035907386.1</v>
      </c>
      <c r="EW177" s="2">
        <v>96</v>
      </c>
      <c r="EX177" s="2">
        <v>98</v>
      </c>
      <c r="EY177" s="2">
        <v>100</v>
      </c>
      <c r="EZ177" s="2" t="s">
        <v>370</v>
      </c>
    </row>
    <row r="178" spans="1:156" x14ac:dyDescent="0.25">
      <c r="A178" s="2" t="s">
        <v>2032</v>
      </c>
      <c r="B178" s="2">
        <v>0.33024390847519602</v>
      </c>
      <c r="C178" s="2">
        <f t="shared" si="2"/>
        <v>1.2572259087896498</v>
      </c>
      <c r="D178" s="2">
        <v>6.2747186706750799</v>
      </c>
      <c r="E178" s="2">
        <v>16.202905833803801</v>
      </c>
      <c r="F178" s="2">
        <v>5.6906758149564403E-5</v>
      </c>
      <c r="G178" s="2">
        <v>8.4581920422063892E-3</v>
      </c>
      <c r="H178" s="2" t="s">
        <v>93</v>
      </c>
      <c r="I178" s="2" t="s">
        <v>94</v>
      </c>
      <c r="J178" s="2" t="str">
        <f>HYPERLINK("https://vectorbase.org/vectorbase/app/record/gene/AGAP029497","AGAP029497-RA")</f>
        <v>AGAP029497-RA</v>
      </c>
      <c r="K178" s="2" t="str">
        <f>HYPERLINK(".\links\pep\AGAP029497-PA-pep.txt","AGAP029497-PA")</f>
        <v>AGAP029497-PA</v>
      </c>
      <c r="L178" s="12" t="s">
        <v>95</v>
      </c>
      <c r="M178" s="2">
        <v>674</v>
      </c>
      <c r="N178" s="2">
        <v>0</v>
      </c>
      <c r="O178" s="2">
        <v>4</v>
      </c>
      <c r="P178" s="2" t="s">
        <v>102</v>
      </c>
      <c r="Q178" s="9" t="s">
        <v>2033</v>
      </c>
      <c r="R178" s="2" t="s">
        <v>196</v>
      </c>
      <c r="S178" s="2" t="str">
        <f>HYPERLINK(".\links\REFSEQ-INVERTEBRATE\AGAP029497-PA-REFSEQ-INVERTEBRATE.txt","REFSEQ-INVERTEBRATE")</f>
        <v>REFSEQ-INVERTEBRATE</v>
      </c>
      <c r="T178" s="2">
        <v>0</v>
      </c>
      <c r="U178" s="2">
        <v>96.5</v>
      </c>
      <c r="V178" s="2" t="s">
        <v>2034</v>
      </c>
      <c r="W178" s="10" t="s">
        <v>2035</v>
      </c>
      <c r="X178" s="2" t="s">
        <v>196</v>
      </c>
      <c r="Y178" s="2" t="str">
        <f>HYPERLINK(".\links\ARTHORPODA\AGAP029497-PA-ARTHORPODA.txt","ARTHORPODA")</f>
        <v>ARTHORPODA</v>
      </c>
      <c r="Z178" s="15">
        <v>0</v>
      </c>
      <c r="AA178" s="2">
        <v>100</v>
      </c>
      <c r="AB178" s="13" t="str">
        <f>HYPERLINK(".\links\pep\AGAP029497-PA-sulf.txt","1")</f>
        <v>1</v>
      </c>
      <c r="AC178" s="13" t="str">
        <f>HYPERLINK(".\links\Sigp\AGAP029497-PA-SigP.txt","CYT")</f>
        <v>CYT</v>
      </c>
      <c r="AD178" s="2" t="s">
        <v>102</v>
      </c>
      <c r="AE178" s="2">
        <v>75.754999999999995</v>
      </c>
      <c r="AF178" s="2">
        <v>4.72</v>
      </c>
      <c r="AG178" s="2" t="s">
        <v>102</v>
      </c>
      <c r="AH178" s="2" t="s">
        <v>102</v>
      </c>
      <c r="AI178" s="2" t="s">
        <v>934</v>
      </c>
      <c r="AJ178" s="13">
        <v>0</v>
      </c>
      <c r="AK178" s="2" t="s">
        <v>102</v>
      </c>
      <c r="AL178" s="2" t="s">
        <v>102</v>
      </c>
      <c r="AM178" s="2" t="s">
        <v>102</v>
      </c>
      <c r="AN178" s="9" t="str">
        <f>HYPERLINK(".\links\gpi\AGAP029497-PA-gpi.txt","N")</f>
        <v>N</v>
      </c>
      <c r="AO178" s="14" t="str">
        <f>HYPERLINK(".\links\netoglyc\AGAP029497-PA-netoglyc.txt","10")</f>
        <v>10</v>
      </c>
      <c r="AP178" s="13">
        <v>16</v>
      </c>
      <c r="AQ178" s="2">
        <v>2.8</v>
      </c>
      <c r="AR178" s="2">
        <v>8.8000000000000007</v>
      </c>
      <c r="AS178" s="2" t="s">
        <v>104</v>
      </c>
      <c r="AT178" s="9" t="str">
        <f>HYPERLINK(".\links\NR-LIGHT\AGAP029497-PA-NR-LIGHT.txt","AGAP007495-PA")</f>
        <v>AGAP007495-PA</v>
      </c>
      <c r="AU178" s="2" t="str">
        <f>HYPERLINK("http://www.ncbi.nlm.nih.gov/sutils/blink.cgi?pid=XP_564761.3","0.0")</f>
        <v>0.0</v>
      </c>
      <c r="AV178" s="2" t="str">
        <f>HYPERLINK("http://www.ncbi.nlm.nih.gov/protein/XP_564761.3","XP_564761.3")</f>
        <v>XP_564761.3</v>
      </c>
      <c r="AW178" s="2">
        <v>100</v>
      </c>
      <c r="AX178" s="2">
        <v>100</v>
      </c>
      <c r="AY178" s="2">
        <v>97</v>
      </c>
      <c r="AZ178" s="2" t="s">
        <v>105</v>
      </c>
      <c r="BA178" s="9" t="str">
        <f>HYPERLINK(".\links\REFSEQ-INVERTEBRATE\AGAP029497-PA-REFSEQ-INVERTEBRATE.txt","AGAP007495-PA")</f>
        <v>AGAP007495-PA</v>
      </c>
      <c r="BB178" s="2" t="str">
        <f>HYPERLINK("http://www.ncbi.nlm.nih.gov/sutils/blink.cgi?pid=XP_564761.3","0.0")</f>
        <v>0.0</v>
      </c>
      <c r="BC178" s="2" t="str">
        <f>HYPERLINK("http://www.ncbi.nlm.nih.gov/protein/XP_564761.3","XP_564761.3")</f>
        <v>XP_564761.3</v>
      </c>
      <c r="BD178" s="2">
        <v>100</v>
      </c>
      <c r="BE178" s="2">
        <v>100</v>
      </c>
      <c r="BF178" s="2">
        <v>97</v>
      </c>
      <c r="BG178" s="2" t="s">
        <v>105</v>
      </c>
      <c r="BH178" s="9" t="str">
        <f>HYPERLINK(".\links\REFSEQ-PROTOZOA\AGAP029497-PA-REFSEQ-PROTOZOA.txt","uncharacterized protein")</f>
        <v>uncharacterized protein</v>
      </c>
      <c r="BI178" s="2" t="str">
        <f>HYPERLINK("http://www.ncbi.nlm.nih.gov/sutils/blink.cgi?pid=XP_012894096.1","2E-009")</f>
        <v>2E-009</v>
      </c>
      <c r="BJ178" s="2" t="str">
        <f>HYPERLINK("http://www.ncbi.nlm.nih.gov/protein/XP_012894096.1","XP_012894096.1")</f>
        <v>XP_012894096.1</v>
      </c>
      <c r="BK178" s="2">
        <v>23</v>
      </c>
      <c r="BL178" s="2">
        <v>42</v>
      </c>
      <c r="BM178" s="2">
        <v>53</v>
      </c>
      <c r="BN178" s="2" t="s">
        <v>1511</v>
      </c>
      <c r="BO178" s="9" t="str">
        <f>HYPERLINK(".\links\SWISSP\AGAP029497-PA-SWISSP.txt","Dentin sialophosphoprotein")</f>
        <v>Dentin sialophosphoprotein</v>
      </c>
      <c r="BP178" s="2" t="str">
        <f>HYPERLINK("http://www.uniprot.org/uniprot/Q9NZW4","5E-008")</f>
        <v>5E-008</v>
      </c>
      <c r="BQ178" s="2" t="str">
        <f>HYPERLINK("http://www.uniprot.org/uniprot/Q9NZW4#expression","Q9NZW4")</f>
        <v>Q9NZW4</v>
      </c>
      <c r="BR178" s="2">
        <v>22</v>
      </c>
      <c r="BS178" s="2">
        <v>40</v>
      </c>
      <c r="BT178" s="2">
        <v>24</v>
      </c>
      <c r="BU178" s="2" t="s">
        <v>127</v>
      </c>
      <c r="BV178" s="9"/>
      <c r="CB178" s="9" t="str">
        <f>HYPERLINK(".\links\CDD\AGAP029497-PA-CDD.txt","ROM1, RhoGEF, Guanine nucleotide exchange factor for Rho/Rac/Cdc42-like GTPases")</f>
        <v>ROM1, RhoGEF, Guanine nucleotide exchange factor for Rho/Rac/Cdc42-like GTPases</v>
      </c>
      <c r="CC178" s="15">
        <v>1.4E-2</v>
      </c>
      <c r="CD178" s="2">
        <v>22.4</v>
      </c>
      <c r="CE178" s="2" t="s">
        <v>509</v>
      </c>
      <c r="CF178" s="2" t="s">
        <v>2036</v>
      </c>
      <c r="CG178" s="9" t="str">
        <f>HYPERLINK(".\links\KOG\AGAP029497-PA-KOG.txt","contains ankyrin and BTB/POZ domains")</f>
        <v>contains ankyrin and BTB/POZ domains</v>
      </c>
      <c r="CH178" s="15">
        <v>3.0000000000000001E-3</v>
      </c>
      <c r="CI178" s="2">
        <v>25.3</v>
      </c>
      <c r="CJ178" s="2" t="s">
        <v>2037</v>
      </c>
      <c r="CK178" s="2" t="s">
        <v>284</v>
      </c>
      <c r="CL178" s="9" t="str">
        <f>HYPERLINK(".\links\PFAM\AGAP029497-PA-PFAM.txt","Myc_N, Myc amino-terminal region")</f>
        <v>Myc_N, Myc amino-terminal region</v>
      </c>
      <c r="CM178" s="15">
        <v>0.02</v>
      </c>
      <c r="CN178" s="2">
        <v>28.3</v>
      </c>
      <c r="CO178" s="2" t="s">
        <v>2038</v>
      </c>
      <c r="CP178" s="9" t="str">
        <f>HYPERLINK(".\links\SMART\AGAP029497-PA-SMART.txt","PI3K_p85B, PI3-kinase family, p85-binding domain")</f>
        <v>PI3K_p85B, PI3-kinase family, p85-binding domain</v>
      </c>
      <c r="CQ178" s="15">
        <v>1.5</v>
      </c>
      <c r="CR178" s="2">
        <v>65.400000000000006</v>
      </c>
      <c r="CS178" s="2" t="s">
        <v>2039</v>
      </c>
      <c r="CT178" s="2" t="s">
        <v>2034</v>
      </c>
      <c r="CU178" s="2" t="s">
        <v>2034</v>
      </c>
      <c r="CV178" s="2" t="s">
        <v>2034</v>
      </c>
      <c r="CW178" s="2" t="str">
        <f>HYPERLINK(".\links\pep\AGAP029497-PA-pep.txt","AGAP029497-PA")</f>
        <v>AGAP029497-PA</v>
      </c>
      <c r="CX178" s="2" t="s">
        <v>95</v>
      </c>
      <c r="CY178" s="2">
        <v>674</v>
      </c>
      <c r="CZ178" s="2" t="s">
        <v>113</v>
      </c>
      <c r="DA178" s="2" t="s">
        <v>2040</v>
      </c>
      <c r="DB178" s="2">
        <v>0</v>
      </c>
      <c r="DC178" s="2">
        <v>4</v>
      </c>
      <c r="DD178" s="2" t="str">
        <f>HYPERLINK("https://www.kegg.jp/kegg-bin/search_pathway_text?map=aga&amp;keyword=AGAP029497&amp;mode=1&amp;viewImage=true","AGAP029497")</f>
        <v>AGAP029497</v>
      </c>
      <c r="DE178" s="2" t="s">
        <v>2032</v>
      </c>
      <c r="DF178" s="2" t="s">
        <v>93</v>
      </c>
      <c r="DG178" s="2" t="s">
        <v>94</v>
      </c>
      <c r="DH178" s="2" t="str">
        <f>HYPERLINK("https://vectorbase.org/vectorbase/app/record/gene/AGAP029497","AGAP029497-RA")</f>
        <v>AGAP029497-RA</v>
      </c>
      <c r="DI178" s="2" t="s">
        <v>90</v>
      </c>
      <c r="DJ178" s="2">
        <v>2106</v>
      </c>
      <c r="DK178" s="2" t="str">
        <f>HYPERLINK(".\links\netoglyc\AGAP029497-PA-netoglyc.txt","10")</f>
        <v>10</v>
      </c>
      <c r="DL178" s="2">
        <v>16</v>
      </c>
      <c r="DM178" s="2">
        <v>2.8</v>
      </c>
      <c r="DN178" s="2">
        <v>8.8000000000000007</v>
      </c>
      <c r="DO178" s="2" t="s">
        <v>104</v>
      </c>
      <c r="DP178" s="2" t="s">
        <v>102</v>
      </c>
      <c r="DQ178" s="2" t="str">
        <f>HYPERLINK(".\links\Sigp\AGAP029497-PA-SigP.txt","CYT")</f>
        <v>CYT</v>
      </c>
      <c r="DR178" s="2" t="s">
        <v>102</v>
      </c>
      <c r="DS178" s="2">
        <v>75.754999999999995</v>
      </c>
      <c r="DT178" s="2">
        <v>4.72</v>
      </c>
      <c r="DU178" s="2" t="s">
        <v>102</v>
      </c>
      <c r="DV178" s="2" t="s">
        <v>102</v>
      </c>
      <c r="DW178" s="2" t="s">
        <v>934</v>
      </c>
      <c r="DX178" s="2">
        <v>674</v>
      </c>
      <c r="DY178" s="12">
        <v>0</v>
      </c>
      <c r="DZ178" s="2" t="s">
        <v>102</v>
      </c>
      <c r="EA178" s="2" t="s">
        <v>102</v>
      </c>
      <c r="EB178" s="2" t="s">
        <v>102</v>
      </c>
      <c r="EC178" s="2" t="str">
        <f>HYPERLINK(".\links\gpi\AGAP029497-PA-gpi.txt","N")</f>
        <v>N</v>
      </c>
      <c r="ED178" s="2">
        <v>0.26</v>
      </c>
      <c r="EF178" s="2">
        <v>12</v>
      </c>
      <c r="EG178" s="2" t="str">
        <f>HYPERLINK(".\links\pep\AGAP029497-PA-sulf.txt","1")</f>
        <v>1</v>
      </c>
      <c r="EH178" s="2" t="s">
        <v>102</v>
      </c>
      <c r="EI178" s="2">
        <v>16.023738872403602</v>
      </c>
      <c r="EJ178" s="2">
        <v>8.7537091988130609</v>
      </c>
      <c r="EK178" s="2">
        <v>2.8189910979228499</v>
      </c>
      <c r="EL178" s="2">
        <v>11.572700296735899</v>
      </c>
      <c r="EM178" s="2" t="s">
        <v>102</v>
      </c>
      <c r="EN178" s="2" t="s">
        <v>102</v>
      </c>
      <c r="EO178" s="2">
        <v>1</v>
      </c>
      <c r="EP178" s="2" t="s">
        <v>102</v>
      </c>
      <c r="EQ178" s="2" t="s">
        <v>102</v>
      </c>
      <c r="ER178" s="2" t="s">
        <v>102</v>
      </c>
      <c r="ES178" s="2" t="s">
        <v>102</v>
      </c>
      <c r="ET178" s="2" t="str">
        <f>HYPERLINK(".\links\REFSEQ-INVERTEBRATE\AGAP029497-PA-REFSEQ-INVERTEBRATE.txt","AGAP007495-PA")</f>
        <v>AGAP007495-PA</v>
      </c>
      <c r="EU178" s="2" t="str">
        <f>HYPERLINK("http://www.ncbi.nlm.nih.gov/sutils/blink.cgi?pid=XP_564761.3","0.0")</f>
        <v>0.0</v>
      </c>
      <c r="EV178" s="2" t="str">
        <f>HYPERLINK("http://www.ncbi.nlm.nih.gov/protein/XP_564761.3","XP_564761.3")</f>
        <v>XP_564761.3</v>
      </c>
      <c r="EW178" s="2">
        <v>100</v>
      </c>
      <c r="EX178" s="2">
        <v>100</v>
      </c>
      <c r="EY178" s="2">
        <v>97</v>
      </c>
      <c r="EZ178" s="2" t="s">
        <v>105</v>
      </c>
    </row>
    <row r="179" spans="1:156" x14ac:dyDescent="0.25">
      <c r="A179" s="2" t="s">
        <v>2041</v>
      </c>
      <c r="B179" s="2">
        <v>0.33010151766731699</v>
      </c>
      <c r="C179" s="2">
        <f t="shared" si="2"/>
        <v>1.2571018294979457</v>
      </c>
      <c r="D179" s="2">
        <v>6.97573135301087</v>
      </c>
      <c r="E179" s="2">
        <v>16.073975975931099</v>
      </c>
      <c r="F179" s="2">
        <v>6.0915427620965298E-5</v>
      </c>
      <c r="G179" s="2">
        <v>8.6118752008988095E-3</v>
      </c>
      <c r="H179" s="2" t="s">
        <v>2042</v>
      </c>
      <c r="I179" s="2" t="s">
        <v>94</v>
      </c>
      <c r="J179" s="2" t="str">
        <f>HYPERLINK("https://vectorbase.org/vectorbase/app/record/gene/AGAP004746","AGAP004746-RA")</f>
        <v>AGAP004746-RA</v>
      </c>
      <c r="K179" s="2" t="str">
        <f>HYPERLINK(".\links\pep\AGAP004746-PA-pep.txt","AGAP004746-PA")</f>
        <v>AGAP004746-PA</v>
      </c>
      <c r="L179" s="12" t="s">
        <v>95</v>
      </c>
      <c r="M179" s="2">
        <v>727</v>
      </c>
      <c r="N179" s="2">
        <v>0</v>
      </c>
      <c r="O179" s="2">
        <v>0</v>
      </c>
      <c r="P179" s="2" t="s">
        <v>2043</v>
      </c>
      <c r="Q179" s="9" t="s">
        <v>2044</v>
      </c>
      <c r="R179" s="2" t="s">
        <v>420</v>
      </c>
      <c r="S179" s="2" t="str">
        <f>HYPERLINK(".\links\REFSEQ-INVERTEBRATE\AGAP004746-PA-REFSEQ-INVERTEBRATE.txt","REFSEQ-INVERTEBRATE")</f>
        <v>REFSEQ-INVERTEBRATE</v>
      </c>
      <c r="T179" s="2">
        <v>0</v>
      </c>
      <c r="U179" s="2">
        <v>101.6</v>
      </c>
      <c r="V179" s="2" t="s">
        <v>2044</v>
      </c>
      <c r="W179" s="10" t="s">
        <v>2045</v>
      </c>
      <c r="X179" s="2" t="s">
        <v>420</v>
      </c>
      <c r="Y179" s="2" t="str">
        <f>HYPERLINK(".\links\UNIPROTKB\AGAP004746-PA-UNIPROTKB.txt","UNIPROTKB")</f>
        <v>UNIPROTKB</v>
      </c>
      <c r="Z179" s="2">
        <v>0</v>
      </c>
      <c r="AA179" s="2">
        <v>106.1</v>
      </c>
      <c r="AB179" s="13" t="str">
        <f>HYPERLINK(".\links\pep\AGAP004746-PA-sulf.txt","1")</f>
        <v>1</v>
      </c>
      <c r="AC179" s="13" t="str">
        <f>HYPERLINK(".\links\Sigp\AGAP004746-PA-SigP.txt","CYT")</f>
        <v>CYT</v>
      </c>
      <c r="AD179" s="2" t="s">
        <v>102</v>
      </c>
      <c r="AE179" s="2">
        <v>82.774000000000001</v>
      </c>
      <c r="AF179" s="2">
        <v>6.19</v>
      </c>
      <c r="AG179" s="2" t="s">
        <v>102</v>
      </c>
      <c r="AH179" s="2" t="s">
        <v>102</v>
      </c>
      <c r="AI179" s="2" t="s">
        <v>124</v>
      </c>
      <c r="AJ179" s="13">
        <v>0</v>
      </c>
      <c r="AK179" s="2" t="s">
        <v>102</v>
      </c>
      <c r="AL179" s="2" t="s">
        <v>102</v>
      </c>
      <c r="AM179" s="2" t="s">
        <v>102</v>
      </c>
      <c r="AN179" s="13" t="str">
        <f>HYPERLINK(".\links\gpi\AGAP004746-PA-gpi.txt","N")</f>
        <v>N</v>
      </c>
      <c r="AO179" s="14" t="str">
        <f>HYPERLINK(".\links\netoglyc\AGAP004746-PA-netoglyc.txt","1")</f>
        <v>1</v>
      </c>
      <c r="AP179" s="13">
        <v>14.2</v>
      </c>
      <c r="AQ179" s="2">
        <v>4.0999999999999996</v>
      </c>
      <c r="AR179" s="2">
        <v>4.0999999999999996</v>
      </c>
      <c r="AS179" s="2" t="s">
        <v>104</v>
      </c>
      <c r="AT179" s="9" t="str">
        <f>HYPERLINK(".\links\NR-LIGHT\AGAP004746-PA-NR-LIGHT.txt","AGAP004746-PA")</f>
        <v>AGAP004746-PA</v>
      </c>
      <c r="AU179" s="2" t="str">
        <f>HYPERLINK("http://www.ncbi.nlm.nih.gov/sutils/blink.cgi?pid=XP_001689094.1","0.0")</f>
        <v>0.0</v>
      </c>
      <c r="AV179" s="2" t="str">
        <f>HYPERLINK("http://www.ncbi.nlm.nih.gov/protein/XP_001689094.1","XP_001689094.1")</f>
        <v>XP_001689094.1</v>
      </c>
      <c r="AW179" s="2">
        <v>98</v>
      </c>
      <c r="AX179" s="2">
        <v>98</v>
      </c>
      <c r="AY179" s="2">
        <v>102</v>
      </c>
      <c r="AZ179" s="2" t="s">
        <v>105</v>
      </c>
      <c r="BA179" s="9" t="str">
        <f>HYPERLINK(".\links\REFSEQ-INVERTEBRATE\AGAP004746-PA-REFSEQ-INVERTEBRATE.txt","AGAP004746-PA")</f>
        <v>AGAP004746-PA</v>
      </c>
      <c r="BB179" s="2" t="str">
        <f>HYPERLINK("http://www.ncbi.nlm.nih.gov/sutils/blink.cgi?pid=XP_001689094.1","0.0")</f>
        <v>0.0</v>
      </c>
      <c r="BC179" s="2" t="str">
        <f>HYPERLINK("http://www.ncbi.nlm.nih.gov/protein/XP_001689094.1","XP_001689094.1")</f>
        <v>XP_001689094.1</v>
      </c>
      <c r="BD179" s="2">
        <v>98</v>
      </c>
      <c r="BE179" s="2">
        <v>98</v>
      </c>
      <c r="BF179" s="2">
        <v>102</v>
      </c>
      <c r="BG179" s="2" t="s">
        <v>105</v>
      </c>
      <c r="BH179" s="9" t="str">
        <f>HYPERLINK(".\links\REFSEQ-PROTOZOA\AGAP004746-PA-REFSEQ-PROTOZOA.txt","cold-induced protein")</f>
        <v>cold-induced protein</v>
      </c>
      <c r="BI179" s="2" t="str">
        <f>HYPERLINK("http://www.ncbi.nlm.nih.gov/sutils/blink.cgi?pid=XP_013756972.1","2E-024")</f>
        <v>2E-024</v>
      </c>
      <c r="BJ179" s="2" t="str">
        <f>HYPERLINK("http://www.ncbi.nlm.nih.gov/protein/XP_013756972.1","XP_013756972.1")</f>
        <v>XP_013756972.1</v>
      </c>
      <c r="BK179" s="2">
        <v>23</v>
      </c>
      <c r="BL179" s="2">
        <v>39</v>
      </c>
      <c r="BM179" s="2">
        <v>108</v>
      </c>
      <c r="BN179" s="2" t="s">
        <v>1686</v>
      </c>
      <c r="BO179" s="9" t="str">
        <f>HYPERLINK(".\links\SWISSP\AGAP004746-PA-SWISSP.txt","THO complex subunit 5 homolog")</f>
        <v>THO complex subunit 5 homolog</v>
      </c>
      <c r="BP179" s="2" t="str">
        <f>HYPERLINK("http://www.uniprot.org/uniprot/Q5ZJK1","1E-114")</f>
        <v>1E-114</v>
      </c>
      <c r="BQ179" s="2" t="str">
        <f>HYPERLINK("http://www.uniprot.org/uniprot/Q5ZJK1#expression","Q5ZJK1")</f>
        <v>Q5ZJK1</v>
      </c>
      <c r="BR179" s="2">
        <v>35</v>
      </c>
      <c r="BS179" s="2">
        <v>54</v>
      </c>
      <c r="BT179" s="2">
        <v>104</v>
      </c>
      <c r="BU179" s="2" t="s">
        <v>483</v>
      </c>
      <c r="BV179" s="9" t="str">
        <f>HYPERLINK(".\links\FLYBASE\AGAP004746-PA-FLYBASE.txt","FBpp0072056")</f>
        <v>FBpp0072056</v>
      </c>
      <c r="BW179" s="2" t="str">
        <f>HYPERLINK("http://flybase.org/reports/FBgn0034939#alliance_summary_container","3E-92")</f>
        <v>3E-92</v>
      </c>
      <c r="BX179" s="2">
        <v>616</v>
      </c>
      <c r="BY179" s="2">
        <v>31</v>
      </c>
      <c r="BZ179" s="2">
        <v>50</v>
      </c>
      <c r="CA179" s="2">
        <v>105</v>
      </c>
      <c r="CB179" s="9" t="str">
        <f>HYPERLINK(".\links\CDD\AGAP004746-PA-CDD.txt","FimP, Fms-interacting protein")</f>
        <v>FimP, Fms-interacting protein</v>
      </c>
      <c r="CC179" s="15">
        <v>9.9999999999999998E-121</v>
      </c>
      <c r="CD179" s="2">
        <v>109.6</v>
      </c>
      <c r="CE179" s="2" t="s">
        <v>2046</v>
      </c>
      <c r="CF179" s="2" t="s">
        <v>2047</v>
      </c>
      <c r="CG179" s="9" t="str">
        <f>HYPERLINK(".\links\KOG\AGAP004746-PA-KOG.txt","Conserved coiled/coiled coil protein")</f>
        <v>Conserved coiled/coiled coil protein</v>
      </c>
      <c r="CH179" s="15">
        <v>8.9999999999999997E-54</v>
      </c>
      <c r="CI179" s="2">
        <v>110.2</v>
      </c>
      <c r="CJ179" s="2" t="s">
        <v>2048</v>
      </c>
      <c r="CK179" s="2" t="s">
        <v>284</v>
      </c>
      <c r="CL179" s="9" t="str">
        <f>HYPERLINK(".\links\PFAM\AGAP004746-PA-PFAM.txt","FimP, Fms-interacting protein")</f>
        <v>FimP, Fms-interacting protein</v>
      </c>
      <c r="CM179" s="15">
        <v>9.9999999999999998E-122</v>
      </c>
      <c r="CN179" s="2">
        <v>109.6</v>
      </c>
      <c r="CO179" s="2" t="s">
        <v>2046</v>
      </c>
      <c r="CP179" s="9" t="str">
        <f>HYPERLINK(".\links\SMART\AGAP004746-PA-SMART.txt","Spc7, Spc7 kinetochore protein")</f>
        <v>Spc7, Spc7 kinetochore protein</v>
      </c>
      <c r="CQ179" s="15">
        <v>0.64</v>
      </c>
      <c r="CR179" s="2">
        <v>19.2</v>
      </c>
      <c r="CS179" s="2" t="s">
        <v>1061</v>
      </c>
      <c r="CT179" s="2" t="s">
        <v>2044</v>
      </c>
      <c r="CU179" s="2" t="s">
        <v>2044</v>
      </c>
      <c r="CV179" s="2" t="s">
        <v>2044</v>
      </c>
      <c r="CW179" s="2" t="str">
        <f>HYPERLINK(".\links\pep\AGAP004746-PA-pep.txt","AGAP004746-PA")</f>
        <v>AGAP004746-PA</v>
      </c>
      <c r="CX179" s="2" t="s">
        <v>95</v>
      </c>
      <c r="CY179" s="2">
        <v>727</v>
      </c>
      <c r="CZ179" s="2" t="s">
        <v>113</v>
      </c>
      <c r="DA179" s="2" t="s">
        <v>2049</v>
      </c>
      <c r="DB179" s="2">
        <v>0</v>
      </c>
      <c r="DC179" s="2">
        <v>0</v>
      </c>
      <c r="DD179" s="2" t="str">
        <f>HYPERLINK("https://www.kegg.jp/kegg-bin/search_pathway_text?map=aga&amp;keyword=AGAP004746&amp;mode=1&amp;viewImage=true","AGAP004746")</f>
        <v>AGAP004746</v>
      </c>
      <c r="DE179" s="2" t="s">
        <v>2041</v>
      </c>
      <c r="DF179" s="2" t="s">
        <v>2042</v>
      </c>
      <c r="DG179" s="2" t="s">
        <v>94</v>
      </c>
      <c r="DH179" s="2" t="str">
        <f>HYPERLINK("https://vectorbase.org/vectorbase/app/record/gene/AGAP004746","AGAP004746-RA")</f>
        <v>AGAP004746-RA</v>
      </c>
      <c r="DI179" s="2" t="s">
        <v>135</v>
      </c>
      <c r="DJ179" s="2">
        <v>2375</v>
      </c>
      <c r="DK179" s="2" t="str">
        <f>HYPERLINK(".\links\netoglyc\AGAP004746-PA-netoglyc.txt","1")</f>
        <v>1</v>
      </c>
      <c r="DL179" s="2">
        <v>14.2</v>
      </c>
      <c r="DM179" s="2">
        <v>4.0999999999999996</v>
      </c>
      <c r="DN179" s="2">
        <v>4.0999999999999996</v>
      </c>
      <c r="DO179" s="2" t="s">
        <v>104</v>
      </c>
      <c r="DP179" s="2" t="s">
        <v>2050</v>
      </c>
      <c r="DQ179" s="2" t="str">
        <f>HYPERLINK(".\links\Sigp\AGAP004746-PA-SigP.txt","CYT")</f>
        <v>CYT</v>
      </c>
      <c r="DR179" s="2" t="s">
        <v>102</v>
      </c>
      <c r="DS179" s="2">
        <v>82.774000000000001</v>
      </c>
      <c r="DT179" s="2">
        <v>6.19</v>
      </c>
      <c r="DU179" s="2" t="s">
        <v>102</v>
      </c>
      <c r="DV179" s="2" t="s">
        <v>102</v>
      </c>
      <c r="DW179" s="2" t="s">
        <v>124</v>
      </c>
      <c r="DX179" s="2">
        <v>727</v>
      </c>
      <c r="DY179" s="12">
        <v>0</v>
      </c>
      <c r="DZ179" s="2" t="s">
        <v>102</v>
      </c>
      <c r="EA179" s="2" t="s">
        <v>102</v>
      </c>
      <c r="EB179" s="2" t="s">
        <v>102</v>
      </c>
      <c r="EC179" s="2" t="str">
        <f>HYPERLINK(".\links\gpi\AGAP004746-PA-gpi.txt","N")</f>
        <v>N</v>
      </c>
      <c r="ED179" s="2">
        <v>0.21</v>
      </c>
      <c r="EF179" s="2">
        <v>13</v>
      </c>
      <c r="EG179" s="2" t="str">
        <f>HYPERLINK(".\links\pep\AGAP004746-PA-sulf.txt","1")</f>
        <v>1</v>
      </c>
      <c r="EH179" s="2" t="s">
        <v>102</v>
      </c>
      <c r="EI179" s="2">
        <v>14.167812929848701</v>
      </c>
      <c r="EJ179" s="2">
        <v>4.1265474552957402</v>
      </c>
      <c r="EK179" s="2">
        <v>4.1265474552957402</v>
      </c>
      <c r="EL179" s="2">
        <v>8.2530949105914697</v>
      </c>
      <c r="EM179" s="2">
        <v>1</v>
      </c>
      <c r="EN179" s="2">
        <v>1</v>
      </c>
      <c r="EO179" s="2">
        <v>3</v>
      </c>
      <c r="EP179" s="2" t="s">
        <v>102</v>
      </c>
      <c r="EQ179" s="2" t="s">
        <v>102</v>
      </c>
      <c r="ER179" s="2" t="s">
        <v>102</v>
      </c>
      <c r="ES179" s="2" t="s">
        <v>102</v>
      </c>
      <c r="ET179" s="2" t="str">
        <f>HYPERLINK(".\links\REFSEQ-INVERTEBRATE\AGAP004746-PA-REFSEQ-INVERTEBRATE.txt","AGAP004746-PA")</f>
        <v>AGAP004746-PA</v>
      </c>
      <c r="EU179" s="2" t="str">
        <f>HYPERLINK("http://www.ncbi.nlm.nih.gov/sutils/blink.cgi?pid=XP_001689094.1","0.0")</f>
        <v>0.0</v>
      </c>
      <c r="EV179" s="2" t="str">
        <f>HYPERLINK("http://www.ncbi.nlm.nih.gov/protein/XP_001689094.1","XP_001689094.1")</f>
        <v>XP_001689094.1</v>
      </c>
      <c r="EW179" s="2">
        <v>98</v>
      </c>
      <c r="EX179" s="2">
        <v>98</v>
      </c>
      <c r="EY179" s="2">
        <v>102</v>
      </c>
      <c r="EZ179" s="2" t="s">
        <v>105</v>
      </c>
    </row>
    <row r="180" spans="1:156" x14ac:dyDescent="0.25">
      <c r="A180" s="2" t="s">
        <v>2051</v>
      </c>
      <c r="B180" s="2">
        <v>0.32997849987938799</v>
      </c>
      <c r="C180" s="2">
        <f t="shared" si="2"/>
        <v>1.256994641707881</v>
      </c>
      <c r="D180" s="2">
        <v>8.2268277607923892</v>
      </c>
      <c r="E180" s="2">
        <v>11.9234159518211</v>
      </c>
      <c r="F180" s="2">
        <v>5.5432741903376902E-4</v>
      </c>
      <c r="G180" s="2">
        <v>2.6293505281983199E-2</v>
      </c>
      <c r="H180" s="2" t="s">
        <v>2052</v>
      </c>
      <c r="I180" s="2" t="s">
        <v>102</v>
      </c>
      <c r="J180" s="2" t="str">
        <f>HYPERLINK("https://vectorbase.org/vectorbase/app/record/gene/AGAP010219","AGAP010219-RA")</f>
        <v>AGAP010219-RA</v>
      </c>
      <c r="K180" s="2" t="str">
        <f>HYPERLINK(".\links\pep\AGAP010219-PA-pep.txt","AGAP010219-PA")</f>
        <v>AGAP010219-PA</v>
      </c>
      <c r="L180" s="12" t="s">
        <v>95</v>
      </c>
      <c r="M180" s="2">
        <v>814</v>
      </c>
      <c r="N180" s="2">
        <v>0</v>
      </c>
      <c r="O180" s="2">
        <v>3</v>
      </c>
      <c r="P180" s="2" t="s">
        <v>2053</v>
      </c>
      <c r="Q180" s="9" t="s">
        <v>2054</v>
      </c>
      <c r="R180" s="2" t="s">
        <v>388</v>
      </c>
      <c r="S180" s="2" t="str">
        <f>HYPERLINK(".\links\KOG\AGAP010219-PA-KOG.txt","KOG")</f>
        <v>KOG</v>
      </c>
      <c r="T180" s="2">
        <v>0</v>
      </c>
      <c r="U180" s="2">
        <v>79.2</v>
      </c>
      <c r="V180" s="2" t="s">
        <v>2055</v>
      </c>
      <c r="W180" s="10" t="s">
        <v>183</v>
      </c>
      <c r="X180" s="2" t="s">
        <v>388</v>
      </c>
      <c r="Y180" s="2" t="str">
        <f>HYPERLINK(".\links\COG\AGAP010219-PA-COG.txt","COG")</f>
        <v>COG</v>
      </c>
      <c r="Z180" s="15">
        <v>0</v>
      </c>
      <c r="AA180" s="2">
        <v>93</v>
      </c>
      <c r="AB180" s="13" t="str">
        <f>HYPERLINK(".\links\pep\AGAP010219-PA-sulf.txt","1")</f>
        <v>1</v>
      </c>
      <c r="AC180" s="13" t="str">
        <f>HYPERLINK(".\links\Sigp\AGAP010219-PA-SigP.txt","CYT")</f>
        <v>CYT</v>
      </c>
      <c r="AD180" s="2" t="s">
        <v>102</v>
      </c>
      <c r="AE180" s="2">
        <v>92.638999999999996</v>
      </c>
      <c r="AF180" s="2">
        <v>5</v>
      </c>
      <c r="AG180" s="2" t="s">
        <v>102</v>
      </c>
      <c r="AH180" s="2" t="s">
        <v>102</v>
      </c>
      <c r="AI180" s="2" t="s">
        <v>211</v>
      </c>
      <c r="AJ180" s="13">
        <v>0</v>
      </c>
      <c r="AK180" s="2" t="s">
        <v>102</v>
      </c>
      <c r="AL180" s="2" t="s">
        <v>102</v>
      </c>
      <c r="AM180" s="2" t="s">
        <v>102</v>
      </c>
      <c r="AN180" s="13" t="str">
        <f>HYPERLINK(".\links\gpi\AGAP010219-PA-gpi.txt","N")</f>
        <v>N</v>
      </c>
      <c r="AO180" s="14" t="str">
        <f>HYPERLINK(".\links\netoglyc\AGAP010219-PA-netoglyc.txt","0")</f>
        <v>0</v>
      </c>
      <c r="AP180" s="13">
        <v>11.8</v>
      </c>
      <c r="AQ180" s="2">
        <v>4.8</v>
      </c>
      <c r="AR180" s="2">
        <v>3.4</v>
      </c>
      <c r="AS180" s="2" t="s">
        <v>104</v>
      </c>
      <c r="AT180" s="9" t="str">
        <f>HYPERLINK(".\links\NR-LIGHT\AGAP010219-PA-NR-LIGHT.txt","AGAP010219-PA")</f>
        <v>AGAP010219-PA</v>
      </c>
      <c r="AU180" s="2" t="str">
        <f>HYPERLINK("http://www.ncbi.nlm.nih.gov/sutils/blink.cgi?pid=XP_319406.3","0.0")</f>
        <v>0.0</v>
      </c>
      <c r="AV180" s="2" t="str">
        <f>HYPERLINK("http://www.ncbi.nlm.nih.gov/protein/XP_319406.3","XP_319406.3")</f>
        <v>XP_319406.3</v>
      </c>
      <c r="AW180" s="2">
        <v>100</v>
      </c>
      <c r="AX180" s="2">
        <v>100</v>
      </c>
      <c r="AY180" s="2">
        <v>100</v>
      </c>
      <c r="AZ180" s="2" t="s">
        <v>105</v>
      </c>
      <c r="BA180" s="9" t="str">
        <f>HYPERLINK(".\links\REFSEQ-INVERTEBRATE\AGAP010219-PA-REFSEQ-INVERTEBRATE.txt","AGAP010219-PA")</f>
        <v>AGAP010219-PA</v>
      </c>
      <c r="BB180" s="2" t="str">
        <f>HYPERLINK("http://www.ncbi.nlm.nih.gov/sutils/blink.cgi?pid=XP_319406.3","0.0")</f>
        <v>0.0</v>
      </c>
      <c r="BC180" s="2" t="str">
        <f>HYPERLINK("http://www.ncbi.nlm.nih.gov/protein/XP_319406.3","XP_319406.3")</f>
        <v>XP_319406.3</v>
      </c>
      <c r="BD180" s="2">
        <v>100</v>
      </c>
      <c r="BE180" s="2">
        <v>100</v>
      </c>
      <c r="BF180" s="2">
        <v>100</v>
      </c>
      <c r="BG180" s="2" t="s">
        <v>105</v>
      </c>
      <c r="BH180" s="9" t="str">
        <f>HYPERLINK(".\links\REFSEQ-PROTOZOA\AGAP010219-PA-REFSEQ-PROTOZOA.txt","DNA replication licensing factor MCM6")</f>
        <v>DNA replication licensing factor MCM6</v>
      </c>
      <c r="BI180" s="2" t="str">
        <f>HYPERLINK("http://www.ncbi.nlm.nih.gov/sutils/blink.cgi?pid=XP_004999016.1","0.0")</f>
        <v>0.0</v>
      </c>
      <c r="BJ180" s="2" t="str">
        <f>HYPERLINK("http://www.ncbi.nlm.nih.gov/protein/XP_004999016.1","XP_004999016.1")</f>
        <v>XP_004999016.1</v>
      </c>
      <c r="BK180" s="2">
        <v>47</v>
      </c>
      <c r="BL180" s="2">
        <v>66</v>
      </c>
      <c r="BM180" s="2">
        <v>100</v>
      </c>
      <c r="BN180" s="2" t="s">
        <v>435</v>
      </c>
      <c r="BO180" s="9" t="str">
        <f>HYPERLINK(".\links\SWISSP\AGAP010219-PA-SWISSP.txt","DNA replication licensing factor Mcm6")</f>
        <v>DNA replication licensing factor Mcm6</v>
      </c>
      <c r="BP180" s="2" t="str">
        <f>HYPERLINK("http://www.uniprot.org/uniprot/Q7Q0Q1","0.0")</f>
        <v>0.0</v>
      </c>
      <c r="BQ180" s="2" t="str">
        <f>HYPERLINK("http://www.uniprot.org/uniprot/Q7Q0Q1#expression","Q7Q0Q1")</f>
        <v>Q7Q0Q1</v>
      </c>
      <c r="BR180" s="2">
        <v>100</v>
      </c>
      <c r="BS180" s="2">
        <v>100</v>
      </c>
      <c r="BT180" s="2">
        <v>100</v>
      </c>
      <c r="BU180" s="2" t="s">
        <v>249</v>
      </c>
      <c r="BV180" s="9" t="str">
        <f>HYPERLINK(".\links\FLYBASE\AGAP010219-PA-FLYBASE.txt","FBpp0070913")</f>
        <v>FBpp0070913</v>
      </c>
      <c r="BW180" s="2" t="str">
        <f>HYPERLINK("http://flybase.org/reports/FBgn0025815#alliance_summary_container","0.0")</f>
        <v>0.0</v>
      </c>
      <c r="BX180" s="2">
        <v>817</v>
      </c>
      <c r="BY180" s="2">
        <v>76</v>
      </c>
      <c r="BZ180" s="2">
        <v>86</v>
      </c>
      <c r="CA180" s="2">
        <v>100</v>
      </c>
      <c r="CB180" s="9" t="str">
        <f>HYPERLINK(".\links\CDD\AGAP010219-PA-CDD.txt","MCM, minichromosome maintenance proteins")</f>
        <v>MCM, minichromosome maintenance proteins</v>
      </c>
      <c r="CC180" s="15">
        <v>0</v>
      </c>
      <c r="CD180" s="2">
        <v>106.7</v>
      </c>
      <c r="CE180" s="2" t="s">
        <v>679</v>
      </c>
      <c r="CF180" s="2" t="s">
        <v>2056</v>
      </c>
      <c r="CG180" s="9" t="str">
        <f>HYPERLINK(".\links\KOG\AGAP010219-PA-KOG.txt","MCM6 component")</f>
        <v>MCM6 component</v>
      </c>
      <c r="CH180" s="15">
        <v>0</v>
      </c>
      <c r="CI180" s="2">
        <v>105.9</v>
      </c>
      <c r="CJ180" s="2" t="s">
        <v>2057</v>
      </c>
      <c r="CK180" s="2" t="s">
        <v>427</v>
      </c>
      <c r="CL180" s="9" t="str">
        <f>HYPERLINK(".\links\PFAM\AGAP010219-PA-PFAM.txt","MCM, MCM2/3/5 family")</f>
        <v>MCM, MCM2/3/5 family</v>
      </c>
      <c r="CM180" s="15">
        <v>1E-155</v>
      </c>
      <c r="CN180" s="2">
        <v>100.9</v>
      </c>
      <c r="CO180" s="2" t="s">
        <v>1914</v>
      </c>
      <c r="CP180" s="9" t="str">
        <f>HYPERLINK(".\links\SMART\AGAP010219-PA-SMART.txt","MCM, minichromosome maintenance proteins")</f>
        <v>MCM, minichromosome maintenance proteins</v>
      </c>
      <c r="CQ180" s="15">
        <v>0</v>
      </c>
      <c r="CR180" s="2">
        <v>106.7</v>
      </c>
      <c r="CS180" s="2" t="s">
        <v>679</v>
      </c>
      <c r="CT180" s="2" t="s">
        <v>2055</v>
      </c>
      <c r="CU180" s="2" t="s">
        <v>2055</v>
      </c>
      <c r="CV180" s="2" t="s">
        <v>2055</v>
      </c>
      <c r="CW180" s="2" t="str">
        <f>HYPERLINK(".\links\pep\AGAP010219-PA-pep.txt","AGAP010219-PA")</f>
        <v>AGAP010219-PA</v>
      </c>
      <c r="CX180" s="2" t="s">
        <v>95</v>
      </c>
      <c r="CY180" s="2">
        <v>814</v>
      </c>
      <c r="CZ180" s="2" t="s">
        <v>113</v>
      </c>
      <c r="DA180" s="2">
        <v>0</v>
      </c>
      <c r="DB180" s="2">
        <v>3</v>
      </c>
      <c r="DD180" s="2" t="str">
        <f>HYPERLINK("https://www.kegg.jp/kegg-bin/search_pathway_text?map=aga&amp;keyword=AGAP010219&amp;mode=1&amp;viewImage=true","AGAP010219")</f>
        <v>AGAP010219</v>
      </c>
      <c r="DE180" s="2" t="s">
        <v>2051</v>
      </c>
      <c r="DF180" s="2" t="s">
        <v>2052</v>
      </c>
      <c r="DG180" s="2" t="s">
        <v>102</v>
      </c>
      <c r="DH180" s="2" t="str">
        <f>HYPERLINK("https://vectorbase.org/vectorbase/app/record/gene/AGAP010219","AGAP010219-RA")</f>
        <v>AGAP010219-RA</v>
      </c>
      <c r="DI180" s="2" t="s">
        <v>90</v>
      </c>
      <c r="DJ180" s="2">
        <v>2667</v>
      </c>
      <c r="DK180" s="2" t="str">
        <f>HYPERLINK(".\links\netoglyc\AGAP010219-PA-netoglyc.txt","0")</f>
        <v>0</v>
      </c>
      <c r="DL180" s="2">
        <v>11.8</v>
      </c>
      <c r="DM180" s="2">
        <v>4.8</v>
      </c>
      <c r="DN180" s="2">
        <v>3.4</v>
      </c>
      <c r="DO180" s="2" t="s">
        <v>104</v>
      </c>
      <c r="DP180" s="2" t="s">
        <v>2058</v>
      </c>
      <c r="DQ180" s="2" t="str">
        <f>HYPERLINK(".\links\Sigp\AGAP010219-PA-SigP.txt","CYT")</f>
        <v>CYT</v>
      </c>
      <c r="DR180" s="2" t="s">
        <v>102</v>
      </c>
      <c r="DS180" s="2">
        <v>92.638999999999996</v>
      </c>
      <c r="DT180" s="2">
        <v>5</v>
      </c>
      <c r="DU180" s="2" t="s">
        <v>102</v>
      </c>
      <c r="DV180" s="2" t="s">
        <v>102</v>
      </c>
      <c r="DW180" s="2" t="s">
        <v>211</v>
      </c>
      <c r="DX180" s="2">
        <v>814</v>
      </c>
      <c r="DY180" s="12">
        <v>0</v>
      </c>
      <c r="DZ180" s="2" t="s">
        <v>102</v>
      </c>
      <c r="EA180" s="2" t="s">
        <v>102</v>
      </c>
      <c r="EB180" s="2" t="s">
        <v>102</v>
      </c>
      <c r="EC180" s="2" t="str">
        <f>HYPERLINK(".\links\gpi\AGAP010219-PA-gpi.txt","Y-NoSP")</f>
        <v>Y-NoSP</v>
      </c>
      <c r="ED180" s="2">
        <v>0.21</v>
      </c>
      <c r="EF180" s="2">
        <v>14</v>
      </c>
      <c r="EG180" s="2" t="str">
        <f>HYPERLINK(".\links\pep\AGAP010219-PA-sulf.txt","1")</f>
        <v>1</v>
      </c>
      <c r="EH180" s="2" t="s">
        <v>102</v>
      </c>
      <c r="EI180" s="2">
        <v>11.793611793611801</v>
      </c>
      <c r="EJ180" s="2">
        <v>3.4398034398034398</v>
      </c>
      <c r="EK180" s="2">
        <v>4.7911547911547903</v>
      </c>
      <c r="EL180" s="2">
        <v>8.2309582309582296</v>
      </c>
      <c r="EM180" s="2">
        <v>1</v>
      </c>
      <c r="EN180" s="2" t="s">
        <v>102</v>
      </c>
      <c r="EO180" s="2">
        <v>1</v>
      </c>
      <c r="EP180" s="2" t="s">
        <v>102</v>
      </c>
      <c r="EQ180" s="2" t="s">
        <v>102</v>
      </c>
      <c r="ER180" s="2" t="s">
        <v>102</v>
      </c>
      <c r="ES180" s="2" t="s">
        <v>102</v>
      </c>
      <c r="ET180" s="2" t="str">
        <f>HYPERLINK(".\links\REFSEQ-INVERTEBRATE\AGAP010219-PA-REFSEQ-INVERTEBRATE.txt","AGAP010219-PA")</f>
        <v>AGAP010219-PA</v>
      </c>
      <c r="EU180" s="2" t="str">
        <f>HYPERLINK("http://www.ncbi.nlm.nih.gov/sutils/blink.cgi?pid=XP_319406.3","0.0")</f>
        <v>0.0</v>
      </c>
      <c r="EV180" s="2" t="str">
        <f>HYPERLINK("http://www.ncbi.nlm.nih.gov/protein/XP_319406.3","XP_319406.3")</f>
        <v>XP_319406.3</v>
      </c>
      <c r="EW180" s="2">
        <v>100</v>
      </c>
      <c r="EX180" s="2">
        <v>100</v>
      </c>
      <c r="EY180" s="2">
        <v>100</v>
      </c>
      <c r="EZ180" s="2" t="s">
        <v>105</v>
      </c>
    </row>
    <row r="181" spans="1:156" x14ac:dyDescent="0.25">
      <c r="A181" s="2" t="s">
        <v>2059</v>
      </c>
      <c r="B181" s="2">
        <v>0.32977428730117397</v>
      </c>
      <c r="C181" s="2">
        <f t="shared" si="2"/>
        <v>1.2568167274968238</v>
      </c>
      <c r="D181" s="2">
        <v>5.3679717099622399</v>
      </c>
      <c r="E181" s="2">
        <v>10.257167846818801</v>
      </c>
      <c r="F181" s="2">
        <v>1.3615454223716301E-3</v>
      </c>
      <c r="G181" s="2">
        <v>3.6820471535482201E-2</v>
      </c>
      <c r="H181" s="2" t="s">
        <v>2060</v>
      </c>
      <c r="I181" s="2" t="s">
        <v>94</v>
      </c>
      <c r="J181" s="2" t="str">
        <f>HYPERLINK("https://vectorbase.org/vectorbase/app/record/gene/AGAP001153","AGAP001153-RA")</f>
        <v>AGAP001153-RA</v>
      </c>
      <c r="K181" s="2" t="str">
        <f>HYPERLINK(".\links\pep\AGAP001153-PA-pep.txt","AGAP001153-PA")</f>
        <v>AGAP001153-PA</v>
      </c>
      <c r="L181" s="12" t="s">
        <v>95</v>
      </c>
      <c r="M181" s="2">
        <v>402</v>
      </c>
      <c r="N181" s="2">
        <v>0</v>
      </c>
      <c r="O181" s="2">
        <v>1</v>
      </c>
      <c r="P181" s="2" t="s">
        <v>2061</v>
      </c>
      <c r="Q181" s="9" t="s">
        <v>2062</v>
      </c>
      <c r="R181" s="2" t="s">
        <v>345</v>
      </c>
      <c r="S181" s="2" t="str">
        <f>HYPERLINK(".\links\KOG\AGAP001153-PA-KOG.txt","KOG")</f>
        <v>KOG</v>
      </c>
      <c r="T181" s="2">
        <v>0</v>
      </c>
      <c r="U181" s="2">
        <v>89.6</v>
      </c>
      <c r="V181" s="2" t="s">
        <v>2063</v>
      </c>
      <c r="W181" s="10" t="s">
        <v>2064</v>
      </c>
      <c r="X181" s="2" t="s">
        <v>345</v>
      </c>
      <c r="Y181" s="2" t="str">
        <f>HYPERLINK(".\links\KOG\AGAP001153-PA-KOG.txt","KOG")</f>
        <v>KOG</v>
      </c>
      <c r="Z181" s="15">
        <v>0</v>
      </c>
      <c r="AA181" s="2">
        <v>79.5</v>
      </c>
      <c r="AB181" s="13" t="str">
        <f>HYPERLINK(".\links\pep\AGAP001153-PA-sulf.txt","1")</f>
        <v>1</v>
      </c>
      <c r="AC181" s="13" t="str">
        <f>HYPERLINK(".\links\Sigp\AGAP001153-PA-SigP.txt","CYT")</f>
        <v>CYT</v>
      </c>
      <c r="AD181" s="2" t="s">
        <v>102</v>
      </c>
      <c r="AE181" s="2">
        <v>45.122999999999998</v>
      </c>
      <c r="AF181" s="2">
        <v>6.4</v>
      </c>
      <c r="AG181" s="2" t="s">
        <v>102</v>
      </c>
      <c r="AH181" s="2" t="s">
        <v>102</v>
      </c>
      <c r="AI181" s="2" t="s">
        <v>2065</v>
      </c>
      <c r="AJ181" s="13">
        <v>0</v>
      </c>
      <c r="AK181" s="2" t="s">
        <v>102</v>
      </c>
      <c r="AL181" s="2" t="s">
        <v>102</v>
      </c>
      <c r="AM181" s="2" t="s">
        <v>102</v>
      </c>
      <c r="AN181" s="13" t="str">
        <f>HYPERLINK(".\links\gpi\AGAP001153-PA-gpi.txt","N")</f>
        <v>N</v>
      </c>
      <c r="AO181" s="14" t="str">
        <f>HYPERLINK(".\links\netoglyc\AGAP001153-PA-netoglyc.txt","14")</f>
        <v>14</v>
      </c>
      <c r="AP181" s="13">
        <v>15.4</v>
      </c>
      <c r="AQ181" s="2">
        <v>8</v>
      </c>
      <c r="AR181" s="2">
        <v>6.5</v>
      </c>
      <c r="AS181" s="2" t="s">
        <v>104</v>
      </c>
      <c r="AT181" s="9" t="str">
        <f>HYPERLINK(".\links\NR-LIGHT\AGAP001153-PA-NR-LIGHT.txt","AGAP001153-PA")</f>
        <v>AGAP001153-PA</v>
      </c>
      <c r="AU181" s="2" t="str">
        <f>HYPERLINK("http://www.ncbi.nlm.nih.gov/sutils/blink.cgi?pid=XP_322007.4","0.0")</f>
        <v>0.0</v>
      </c>
      <c r="AV181" s="2" t="str">
        <f>HYPERLINK("http://www.ncbi.nlm.nih.gov/protein/XP_322007.4","XP_322007.4")</f>
        <v>XP_322007.4</v>
      </c>
      <c r="AW181" s="2">
        <v>100</v>
      </c>
      <c r="AX181" s="2">
        <v>100</v>
      </c>
      <c r="AY181" s="2">
        <v>100</v>
      </c>
      <c r="AZ181" s="2" t="s">
        <v>105</v>
      </c>
      <c r="BA181" s="9" t="str">
        <f>HYPERLINK(".\links\REFSEQ-INVERTEBRATE\AGAP001153-PA-REFSEQ-INVERTEBRATE.txt","AGAP001153-PA")</f>
        <v>AGAP001153-PA</v>
      </c>
      <c r="BB181" s="2" t="str">
        <f>HYPERLINK("http://www.ncbi.nlm.nih.gov/sutils/blink.cgi?pid=XP_322007.4","0.0")</f>
        <v>0.0</v>
      </c>
      <c r="BC181" s="2" t="str">
        <f>HYPERLINK("http://www.ncbi.nlm.nih.gov/protein/XP_322007.4","XP_322007.4")</f>
        <v>XP_322007.4</v>
      </c>
      <c r="BD181" s="2">
        <v>100</v>
      </c>
      <c r="BE181" s="2">
        <v>100</v>
      </c>
      <c r="BF181" s="2">
        <v>100</v>
      </c>
      <c r="BG181" s="2" t="s">
        <v>105</v>
      </c>
      <c r="BH181" s="9" t="str">
        <f>HYPERLINK(".\links\REFSEQ-PROTOZOA\AGAP001153-PA-REFSEQ-PROTOZOA.txt","hypothetical protein")</f>
        <v>hypothetical protein</v>
      </c>
      <c r="BI181" s="2" t="str">
        <f>HYPERLINK("http://www.ncbi.nlm.nih.gov/sutils/blink.cgi?pid=XP_001746524.1","9E-031")</f>
        <v>9E-031</v>
      </c>
      <c r="BJ181" s="2" t="str">
        <f>HYPERLINK("http://www.ncbi.nlm.nih.gov/protein/XP_001746524.1","XP_001746524.1")</f>
        <v>XP_001746524.1</v>
      </c>
      <c r="BK181" s="2">
        <v>32</v>
      </c>
      <c r="BL181" s="2">
        <v>44</v>
      </c>
      <c r="BM181" s="2">
        <v>53</v>
      </c>
      <c r="BN181" s="2" t="s">
        <v>248</v>
      </c>
      <c r="BO181" s="9" t="str">
        <f>HYPERLINK(".\links\SWISSP\AGAP001153-PA-SWISSP.txt","Polymerase delta-interacting protein 2")</f>
        <v>Polymerase delta-interacting protein 2</v>
      </c>
      <c r="BP181" s="2" t="str">
        <f>HYPERLINK("http://www.uniprot.org/uniprot/Q91VA6","1E-124")</f>
        <v>1E-124</v>
      </c>
      <c r="BQ181" s="2" t="str">
        <f>HYPERLINK("http://www.uniprot.org/uniprot/Q91VA6#expression","Q91VA6")</f>
        <v>Q91VA6</v>
      </c>
      <c r="BR181" s="2">
        <v>70</v>
      </c>
      <c r="BS181" s="2">
        <v>79</v>
      </c>
      <c r="BT181" s="2">
        <v>85</v>
      </c>
      <c r="BU181" s="2" t="s">
        <v>662</v>
      </c>
      <c r="BV181" s="9" t="str">
        <f>HYPERLINK(".\links\FLYBASE\AGAP001153-PA-FLYBASE.txt","FBpp0078329")</f>
        <v>FBpp0078329</v>
      </c>
      <c r="BW181" s="2" t="str">
        <f>HYPERLINK("http://flybase.org/reports/FBgn0037329#alliance_summary_container","0.0")</f>
        <v>0.0</v>
      </c>
      <c r="BX181" s="2">
        <v>410</v>
      </c>
      <c r="BY181" s="2">
        <v>67</v>
      </c>
      <c r="BZ181" s="2">
        <v>75</v>
      </c>
      <c r="CA181" s="2">
        <v>92</v>
      </c>
      <c r="CB181" s="9" t="str">
        <f>HYPERLINK(".\links\CDD\AGAP001153-PA-CDD.txt","apaG, CO2+/MG2+ efflux protein ApaG")</f>
        <v>apaG, CO2+/MG2+ efflux protein ApaG</v>
      </c>
      <c r="CC181" s="15">
        <v>3E-32</v>
      </c>
      <c r="CD181" s="2">
        <v>93.7</v>
      </c>
      <c r="CE181" s="2" t="s">
        <v>2066</v>
      </c>
      <c r="CF181" s="2" t="s">
        <v>2067</v>
      </c>
      <c r="CG181" s="9" t="str">
        <f>HYPERLINK(".\links\KOG\AGAP001153-PA-KOG.txt","Putative Mg2+ and Co2+ transporter CorD")</f>
        <v>Putative Mg2+ and Co2+ transporter CorD</v>
      </c>
      <c r="CH181" s="15">
        <v>1E-119</v>
      </c>
      <c r="CI181" s="2">
        <v>89.6</v>
      </c>
      <c r="CJ181" s="2" t="s">
        <v>2068</v>
      </c>
      <c r="CK181" s="2" t="s">
        <v>640</v>
      </c>
      <c r="CL181" s="9" t="str">
        <f>HYPERLINK(".\links\PFAM\AGAP001153-PA-PFAM.txt","DUF525, ApaG domain")</f>
        <v>DUF525, ApaG domain</v>
      </c>
      <c r="CM181" s="15">
        <v>2.0000000000000002E-31</v>
      </c>
      <c r="CN181" s="2">
        <v>96.5</v>
      </c>
      <c r="CO181" s="2" t="s">
        <v>2069</v>
      </c>
      <c r="CP181" s="9" t="str">
        <f>HYPERLINK(".\links\SMART\AGAP001153-PA-SMART.txt","YccV-like, Hemimethylated DNA-binding protein YccV like")</f>
        <v>YccV-like, Hemimethylated DNA-binding protein YccV like</v>
      </c>
      <c r="CQ181" s="15">
        <v>1E-14</v>
      </c>
      <c r="CR181" s="2">
        <v>150</v>
      </c>
      <c r="CS181" s="2" t="s">
        <v>2070</v>
      </c>
      <c r="CT181" s="2" t="s">
        <v>2063</v>
      </c>
      <c r="CU181" s="2" t="s">
        <v>2063</v>
      </c>
      <c r="CV181" s="2" t="s">
        <v>2063</v>
      </c>
      <c r="CW181" s="2" t="str">
        <f>HYPERLINK(".\links\pep\AGAP001153-PA-pep.txt","AGAP001153-PA")</f>
        <v>AGAP001153-PA</v>
      </c>
      <c r="CX181" s="2" t="s">
        <v>95</v>
      </c>
      <c r="CY181" s="2">
        <v>402</v>
      </c>
      <c r="CZ181" s="2" t="s">
        <v>113</v>
      </c>
      <c r="DA181" s="2" t="s">
        <v>2071</v>
      </c>
      <c r="DB181" s="2">
        <v>0</v>
      </c>
      <c r="DC181" s="2">
        <v>1</v>
      </c>
      <c r="DD181" s="2" t="str">
        <f>HYPERLINK("https://www.kegg.jp/kegg-bin/search_pathway_text?map=aga&amp;keyword=AGAP001153&amp;mode=1&amp;viewImage=true","AGAP001153")</f>
        <v>AGAP001153</v>
      </c>
      <c r="DE181" s="2" t="s">
        <v>2059</v>
      </c>
      <c r="DF181" s="2" t="s">
        <v>2060</v>
      </c>
      <c r="DG181" s="2" t="s">
        <v>94</v>
      </c>
      <c r="DH181" s="2" t="str">
        <f>HYPERLINK("https://vectorbase.org/vectorbase/app/record/gene/AGAP001153","AGAP001153-RA")</f>
        <v>AGAP001153-RA</v>
      </c>
      <c r="DI181" s="2" t="s">
        <v>90</v>
      </c>
      <c r="DJ181" s="2">
        <v>1596</v>
      </c>
      <c r="DK181" s="2" t="str">
        <f>HYPERLINK(".\links\netoglyc\AGAP001153-PA-netoglyc.txt","14")</f>
        <v>14</v>
      </c>
      <c r="DL181" s="2">
        <v>15.4</v>
      </c>
      <c r="DM181" s="2">
        <v>8</v>
      </c>
      <c r="DN181" s="2">
        <v>6.5</v>
      </c>
      <c r="DO181" s="2" t="s">
        <v>104</v>
      </c>
      <c r="DP181" s="2" t="s">
        <v>102</v>
      </c>
      <c r="DQ181" s="2" t="str">
        <f>HYPERLINK(".\links\Sigp\AGAP001153-PA-SigP.txt","CYT")</f>
        <v>CYT</v>
      </c>
      <c r="DR181" s="2" t="s">
        <v>102</v>
      </c>
      <c r="DS181" s="2">
        <v>45.122999999999998</v>
      </c>
      <c r="DT181" s="2">
        <v>6.4</v>
      </c>
      <c r="DU181" s="2" t="s">
        <v>102</v>
      </c>
      <c r="DV181" s="2" t="s">
        <v>102</v>
      </c>
      <c r="DW181" s="2" t="s">
        <v>2065</v>
      </c>
      <c r="DX181" s="2">
        <v>402</v>
      </c>
      <c r="DY181" s="12">
        <v>0</v>
      </c>
      <c r="DZ181" s="2" t="s">
        <v>102</v>
      </c>
      <c r="EA181" s="2" t="s">
        <v>102</v>
      </c>
      <c r="EB181" s="2" t="s">
        <v>102</v>
      </c>
      <c r="EC181" s="2" t="str">
        <f>HYPERLINK(".\links\gpi\AGAP001153-PA-gpi.txt","Y-NoSP")</f>
        <v>Y-NoSP</v>
      </c>
      <c r="ED181" s="2">
        <v>0.16</v>
      </c>
      <c r="EF181" s="2">
        <v>5</v>
      </c>
      <c r="EG181" s="2" t="str">
        <f>HYPERLINK(".\links\pep\AGAP001153-PA-sulf.txt","1")</f>
        <v>1</v>
      </c>
      <c r="EH181" s="2" t="s">
        <v>102</v>
      </c>
      <c r="EI181" s="2">
        <v>15.4228855721393</v>
      </c>
      <c r="EJ181" s="2">
        <v>6.4676616915422898</v>
      </c>
      <c r="EK181" s="2">
        <v>7.9601990049751201</v>
      </c>
      <c r="EL181" s="2">
        <v>14.427860696517399</v>
      </c>
      <c r="EM181" s="2" t="s">
        <v>102</v>
      </c>
      <c r="EN181" s="2">
        <v>1</v>
      </c>
      <c r="EO181" s="2">
        <v>2</v>
      </c>
      <c r="EP181" s="2" t="s">
        <v>102</v>
      </c>
      <c r="EQ181" s="2" t="s">
        <v>102</v>
      </c>
      <c r="ER181" s="2" t="s">
        <v>102</v>
      </c>
      <c r="ES181" s="2" t="s">
        <v>102</v>
      </c>
      <c r="ET181" s="2" t="str">
        <f>HYPERLINK(".\links\REFSEQ-INVERTEBRATE\AGAP001153-PA-REFSEQ-INVERTEBRATE.txt","AGAP001153-PA")</f>
        <v>AGAP001153-PA</v>
      </c>
      <c r="EU181" s="2" t="str">
        <f>HYPERLINK("http://www.ncbi.nlm.nih.gov/sutils/blink.cgi?pid=XP_322007.4","0.0")</f>
        <v>0.0</v>
      </c>
      <c r="EV181" s="2" t="str">
        <f>HYPERLINK("http://www.ncbi.nlm.nih.gov/protein/XP_322007.4","XP_322007.4")</f>
        <v>XP_322007.4</v>
      </c>
      <c r="EW181" s="2">
        <v>100</v>
      </c>
      <c r="EX181" s="2">
        <v>100</v>
      </c>
      <c r="EY181" s="2">
        <v>100</v>
      </c>
      <c r="EZ181" s="2" t="s">
        <v>105</v>
      </c>
    </row>
    <row r="182" spans="1:156" x14ac:dyDescent="0.25">
      <c r="A182" s="2" t="s">
        <v>2072</v>
      </c>
      <c r="B182" s="2">
        <v>0.32946311316654098</v>
      </c>
      <c r="C182" s="2">
        <f t="shared" si="2"/>
        <v>1.2565456745905301</v>
      </c>
      <c r="D182" s="2">
        <v>6.0466921312901398</v>
      </c>
      <c r="E182" s="2">
        <v>15.823925956385599</v>
      </c>
      <c r="F182" s="2">
        <v>6.9517870883779403E-5</v>
      </c>
      <c r="G182" s="2">
        <v>8.8973846436317602E-3</v>
      </c>
      <c r="H182" s="2" t="s">
        <v>2073</v>
      </c>
      <c r="I182" s="2" t="s">
        <v>102</v>
      </c>
      <c r="J182" s="2" t="str">
        <f>HYPERLINK("https://vectorbase.org/vectorbase/app/record/gene/AGAP010432","AGAP010432-RA")</f>
        <v>AGAP010432-RA</v>
      </c>
      <c r="K182" s="2" t="str">
        <f>HYPERLINK(".\links\pep\AGAP010432-PA-pep.txt","AGAP010432-PA")</f>
        <v>AGAP010432-PA</v>
      </c>
      <c r="L182" s="12" t="s">
        <v>95</v>
      </c>
      <c r="M182" s="2">
        <v>560</v>
      </c>
      <c r="N182" s="2">
        <v>0</v>
      </c>
      <c r="O182" s="2">
        <v>4</v>
      </c>
      <c r="P182" s="2" t="s">
        <v>2074</v>
      </c>
      <c r="Q182" s="9" t="s">
        <v>1853</v>
      </c>
      <c r="R182" s="2" t="s">
        <v>101</v>
      </c>
      <c r="S182" s="2" t="str">
        <f>HYPERLINK(".\links\KOG\AGAP010432-PA-KOG.txt","KOG")</f>
        <v>KOG</v>
      </c>
      <c r="T182" s="2">
        <v>0</v>
      </c>
      <c r="U182" s="2">
        <v>101.2</v>
      </c>
      <c r="V182" s="2" t="s">
        <v>2075</v>
      </c>
      <c r="W182" s="10" t="s">
        <v>2076</v>
      </c>
      <c r="X182" s="2" t="s">
        <v>101</v>
      </c>
      <c r="Y182" s="2" t="str">
        <f>HYPERLINK(".\links\KOG\AGAP010432-PA-KOG.txt","KOG")</f>
        <v>KOG</v>
      </c>
      <c r="Z182" s="15">
        <v>0</v>
      </c>
      <c r="AA182" s="2">
        <v>101.2</v>
      </c>
      <c r="AB182" s="13" t="str">
        <f>HYPERLINK(".\links\pep\AGAP010432-PA-sulf.txt","2")</f>
        <v>2</v>
      </c>
      <c r="AC182" s="13" t="str">
        <f>HYPERLINK(".\links\Sigp\AGAP010432-PA-SigP.txt","CYT")</f>
        <v>CYT</v>
      </c>
      <c r="AD182" s="2" t="s">
        <v>102</v>
      </c>
      <c r="AE182" s="2">
        <v>62.908999999999999</v>
      </c>
      <c r="AF182" s="2">
        <v>6.32</v>
      </c>
      <c r="AG182" s="2" t="s">
        <v>102</v>
      </c>
      <c r="AH182" s="2" t="s">
        <v>102</v>
      </c>
      <c r="AI182" s="2" t="s">
        <v>2077</v>
      </c>
      <c r="AJ182" s="13">
        <v>0</v>
      </c>
      <c r="AK182" s="2" t="s">
        <v>102</v>
      </c>
      <c r="AL182" s="2" t="s">
        <v>102</v>
      </c>
      <c r="AM182" s="2" t="s">
        <v>102</v>
      </c>
      <c r="AN182" s="13" t="str">
        <f>HYPERLINK(".\links\gpi\AGAP010432-PA-gpi.txt","N")</f>
        <v>N</v>
      </c>
      <c r="AO182" s="14" t="str">
        <f>HYPERLINK(".\links\netoglyc\AGAP010432-PA-netoglyc.txt","1")</f>
        <v>1</v>
      </c>
      <c r="AP182" s="13">
        <v>14.3</v>
      </c>
      <c r="AQ182" s="2">
        <v>7</v>
      </c>
      <c r="AR182" s="2">
        <v>3.9</v>
      </c>
      <c r="AS182" s="2" t="s">
        <v>104</v>
      </c>
      <c r="AT182" s="9" t="str">
        <f>HYPERLINK(".\links\NR-LIGHT\AGAP010432-PA-NR-LIGHT.txt","AGAP010432-PA")</f>
        <v>AGAP010432-PA</v>
      </c>
      <c r="AU182" s="2" t="str">
        <f>HYPERLINK("http://www.ncbi.nlm.nih.gov/sutils/blink.cgi?pid=XP_311513.4","0.0")</f>
        <v>0.0</v>
      </c>
      <c r="AV182" s="2" t="str">
        <f>HYPERLINK("http://www.ncbi.nlm.nih.gov/protein/XP_311513.4","XP_311513.4")</f>
        <v>XP_311513.4</v>
      </c>
      <c r="AW182" s="2">
        <v>100</v>
      </c>
      <c r="AX182" s="2">
        <v>100</v>
      </c>
      <c r="AY182" s="2">
        <v>95</v>
      </c>
      <c r="AZ182" s="2" t="s">
        <v>105</v>
      </c>
      <c r="BA182" s="9" t="str">
        <f>HYPERLINK(".\links\REFSEQ-INVERTEBRATE\AGAP010432-PA-REFSEQ-INVERTEBRATE.txt","AGAP010432-PA")</f>
        <v>AGAP010432-PA</v>
      </c>
      <c r="BB182" s="2" t="str">
        <f>HYPERLINK("http://www.ncbi.nlm.nih.gov/sutils/blink.cgi?pid=XP_311513.4","0.0")</f>
        <v>0.0</v>
      </c>
      <c r="BC182" s="2" t="str">
        <f>HYPERLINK("http://www.ncbi.nlm.nih.gov/protein/XP_311513.4","XP_311513.4")</f>
        <v>XP_311513.4</v>
      </c>
      <c r="BD182" s="2">
        <v>100</v>
      </c>
      <c r="BE182" s="2">
        <v>100</v>
      </c>
      <c r="BF182" s="2">
        <v>95</v>
      </c>
      <c r="BG182" s="2" t="s">
        <v>105</v>
      </c>
      <c r="BH182" s="9" t="str">
        <f>HYPERLINK(".\links\REFSEQ-PROTOZOA\AGAP010432-PA-REFSEQ-PROTOZOA.txt","hypothetical protein SARC_00004")</f>
        <v>hypothetical protein SARC_00004</v>
      </c>
      <c r="BI182" s="2" t="str">
        <f>HYPERLINK("http://www.ncbi.nlm.nih.gov/sutils/blink.cgi?pid=XP_014161772.1","2E-089")</f>
        <v>2E-089</v>
      </c>
      <c r="BJ182" s="2" t="str">
        <f>HYPERLINK("http://www.ncbi.nlm.nih.gov/protein/XP_014161772.1","XP_014161772.1")</f>
        <v>XP_014161772.1</v>
      </c>
      <c r="BK182" s="2">
        <v>35</v>
      </c>
      <c r="BL182" s="2">
        <v>55</v>
      </c>
      <c r="BM182" s="2">
        <v>100</v>
      </c>
      <c r="BN182" s="2" t="s">
        <v>393</v>
      </c>
      <c r="BO182" s="9" t="str">
        <f>HYPERLINK(".\links\SWISSP\AGAP010432-PA-SWISSP.txt","DnaJ homolog subfamily C member 11")</f>
        <v>DnaJ homolog subfamily C member 11</v>
      </c>
      <c r="BP182" s="2" t="str">
        <f>HYPERLINK("http://www.uniprot.org/uniprot/Q9NVH1","1E-143")</f>
        <v>1E-143</v>
      </c>
      <c r="BQ182" s="2" t="str">
        <f>HYPERLINK("http://www.uniprot.org/uniprot/Q9NVH1#expression","Q9NVH1")</f>
        <v>Q9NVH1</v>
      </c>
      <c r="BR182" s="2">
        <v>48</v>
      </c>
      <c r="BS182" s="2">
        <v>67</v>
      </c>
      <c r="BT182" s="2">
        <v>99</v>
      </c>
      <c r="BU182" s="2" t="s">
        <v>127</v>
      </c>
      <c r="BV182" s="9" t="str">
        <f>HYPERLINK(".\links\FLYBASE\AGAP010432-PA-FLYBASE.txt","FBpp0086667")</f>
        <v>FBpp0086667</v>
      </c>
      <c r="BW182" s="2" t="str">
        <f>HYPERLINK("http://flybase.org/reports/FBgn0033918#alliance_summary_container","0.0")</f>
        <v>0.0</v>
      </c>
      <c r="BX182" s="2">
        <v>545</v>
      </c>
      <c r="BY182" s="2">
        <v>52</v>
      </c>
      <c r="BZ182" s="2">
        <v>71</v>
      </c>
      <c r="CA182" s="2">
        <v>101</v>
      </c>
      <c r="CB182" s="9" t="str">
        <f>HYPERLINK(".\links\CDD\AGAP010432-PA-CDD.txt","DUF3395, Domain of unknown function (DUF3395)")</f>
        <v>DUF3395, Domain of unknown function (DUF3395)</v>
      </c>
      <c r="CC182" s="15">
        <v>9.9999999999999994E-50</v>
      </c>
      <c r="CD182" s="2">
        <v>103.4</v>
      </c>
      <c r="CE182" s="2" t="s">
        <v>2078</v>
      </c>
      <c r="CF182" s="2" t="s">
        <v>2079</v>
      </c>
      <c r="CG182" s="9" t="str">
        <f>HYPERLINK(".\links\KOG\AGAP010432-PA-KOG.txt","Molecular chaperone (DnaJ superfamily)")</f>
        <v>Molecular chaperone (DnaJ superfamily)</v>
      </c>
      <c r="CH182" s="15">
        <v>9.9999999999999998E-172</v>
      </c>
      <c r="CI182" s="2">
        <v>101.3</v>
      </c>
      <c r="CJ182" s="2" t="s">
        <v>2080</v>
      </c>
      <c r="CK182" s="2" t="s">
        <v>111</v>
      </c>
      <c r="CL182" s="9" t="str">
        <f>HYPERLINK(".\links\PFAM\AGAP010432-PA-PFAM.txt","DUF3395, Domain of unknown function (DUF3395)")</f>
        <v>DUF3395, Domain of unknown function (DUF3395)</v>
      </c>
      <c r="CM182" s="15">
        <v>2.9999999999999999E-50</v>
      </c>
      <c r="CN182" s="2">
        <v>103.4</v>
      </c>
      <c r="CO182" s="2" t="s">
        <v>2078</v>
      </c>
      <c r="CP182" s="9" t="str">
        <f>HYPERLINK(".\links\SMART\AGAP010432-PA-SMART.txt","DnaJ, DnaJ molecular chaperone homology domain")</f>
        <v>DnaJ, DnaJ molecular chaperone homology domain</v>
      </c>
      <c r="CQ182" s="15">
        <v>1.0000000000000001E-17</v>
      </c>
      <c r="CR182" s="2">
        <v>100</v>
      </c>
      <c r="CS182" s="2" t="s">
        <v>1861</v>
      </c>
      <c r="CT182" s="2" t="s">
        <v>2075</v>
      </c>
      <c r="CU182" s="2" t="s">
        <v>2075</v>
      </c>
      <c r="CV182" s="2" t="s">
        <v>2075</v>
      </c>
      <c r="CW182" s="2" t="str">
        <f>HYPERLINK(".\links\pep\AGAP010432-PA-pep.txt","AGAP010432-PA")</f>
        <v>AGAP010432-PA</v>
      </c>
      <c r="CX182" s="2" t="s">
        <v>95</v>
      </c>
      <c r="CY182" s="2">
        <v>560</v>
      </c>
      <c r="CZ182" s="2" t="s">
        <v>113</v>
      </c>
      <c r="DA182" s="2">
        <v>0</v>
      </c>
      <c r="DB182" s="2">
        <v>4</v>
      </c>
      <c r="DD182" s="2" t="str">
        <f>HYPERLINK("https://www.kegg.jp/kegg-bin/search_pathway_text?map=aga&amp;keyword=AGAP010432&amp;mode=1&amp;viewImage=true","AGAP010432")</f>
        <v>AGAP010432</v>
      </c>
      <c r="DE182" s="2" t="s">
        <v>2072</v>
      </c>
      <c r="DF182" s="2" t="s">
        <v>2073</v>
      </c>
      <c r="DG182" s="2" t="s">
        <v>102</v>
      </c>
      <c r="DH182" s="2" t="str">
        <f>HYPERLINK("https://vectorbase.org/vectorbase/app/record/gene/AGAP010432","AGAP010432-RA")</f>
        <v>AGAP010432-RA</v>
      </c>
      <c r="DI182" s="2" t="s">
        <v>115</v>
      </c>
      <c r="DJ182" s="2">
        <v>2042</v>
      </c>
      <c r="DK182" s="2" t="str">
        <f>HYPERLINK(".\links\netoglyc\AGAP010432-PA-netoglyc.txt","1")</f>
        <v>1</v>
      </c>
      <c r="DL182" s="2">
        <v>14.3</v>
      </c>
      <c r="DM182" s="2">
        <v>7</v>
      </c>
      <c r="DN182" s="2">
        <v>3.9</v>
      </c>
      <c r="DO182" s="2" t="s">
        <v>104</v>
      </c>
      <c r="DP182" s="2" t="s">
        <v>102</v>
      </c>
      <c r="DQ182" s="2" t="str">
        <f>HYPERLINK(".\links\Sigp\AGAP010432-PA-SigP.txt","CYT")</f>
        <v>CYT</v>
      </c>
      <c r="DR182" s="2" t="s">
        <v>102</v>
      </c>
      <c r="DS182" s="2">
        <v>62.908999999999999</v>
      </c>
      <c r="DT182" s="2">
        <v>6.32</v>
      </c>
      <c r="DU182" s="2" t="s">
        <v>102</v>
      </c>
      <c r="DV182" s="2" t="s">
        <v>102</v>
      </c>
      <c r="DW182" s="2" t="s">
        <v>2077</v>
      </c>
      <c r="DX182" s="2">
        <v>560</v>
      </c>
      <c r="DY182" s="12">
        <v>0</v>
      </c>
      <c r="DZ182" s="2" t="s">
        <v>102</v>
      </c>
      <c r="EA182" s="2" t="s">
        <v>102</v>
      </c>
      <c r="EB182" s="2" t="s">
        <v>102</v>
      </c>
      <c r="EC182" s="2" t="str">
        <f>HYPERLINK(".\links\gpi\AGAP010432-PA-gpi.txt","Y-NoSP")</f>
        <v>Y-NoSP</v>
      </c>
      <c r="ED182" s="2">
        <v>0.16</v>
      </c>
      <c r="EF182" s="2">
        <v>8</v>
      </c>
      <c r="EG182" s="2" t="str">
        <f>HYPERLINK(".\links\pep\AGAP010432-PA-sulf.txt","2")</f>
        <v>2</v>
      </c>
      <c r="EH182" s="2" t="s">
        <v>102</v>
      </c>
      <c r="EI182" s="2">
        <v>14.285714285714301</v>
      </c>
      <c r="EJ182" s="2">
        <v>3.9285714285714302</v>
      </c>
      <c r="EK182" s="2">
        <v>6.96428571428571</v>
      </c>
      <c r="EL182" s="2">
        <v>10.8928571428571</v>
      </c>
      <c r="EM182" s="2">
        <v>1</v>
      </c>
      <c r="EN182" s="2">
        <v>4</v>
      </c>
      <c r="EO182" s="2">
        <v>5</v>
      </c>
      <c r="EP182" s="2" t="s">
        <v>102</v>
      </c>
      <c r="EQ182" s="2" t="s">
        <v>102</v>
      </c>
      <c r="ER182" s="2" t="s">
        <v>102</v>
      </c>
      <c r="ES182" s="2" t="s">
        <v>102</v>
      </c>
      <c r="ET182" s="2" t="str">
        <f>HYPERLINK(".\links\REFSEQ-INVERTEBRATE\AGAP010432-PA-REFSEQ-INVERTEBRATE.txt","AGAP010432-PA")</f>
        <v>AGAP010432-PA</v>
      </c>
      <c r="EU182" s="2" t="str">
        <f>HYPERLINK("http://www.ncbi.nlm.nih.gov/sutils/blink.cgi?pid=XP_311513.4","0.0")</f>
        <v>0.0</v>
      </c>
      <c r="EV182" s="2" t="str">
        <f>HYPERLINK("http://www.ncbi.nlm.nih.gov/protein/XP_311513.4","XP_311513.4")</f>
        <v>XP_311513.4</v>
      </c>
      <c r="EW182" s="2">
        <v>100</v>
      </c>
      <c r="EX182" s="2">
        <v>100</v>
      </c>
      <c r="EY182" s="2">
        <v>95</v>
      </c>
      <c r="EZ182" s="2" t="s">
        <v>105</v>
      </c>
    </row>
    <row r="183" spans="1:156" x14ac:dyDescent="0.25">
      <c r="A183" s="2" t="s">
        <v>2081</v>
      </c>
      <c r="B183" s="2">
        <v>0.32934471825577999</v>
      </c>
      <c r="C183" s="2">
        <f t="shared" si="2"/>
        <v>1.2564425602769673</v>
      </c>
      <c r="D183" s="2">
        <v>9.5680646495431194</v>
      </c>
      <c r="E183" s="2">
        <v>10.324676374090901</v>
      </c>
      <c r="F183" s="2">
        <v>1.3126327469157499E-3</v>
      </c>
      <c r="G183" s="2">
        <v>3.6362353555672799E-2</v>
      </c>
      <c r="H183" s="2" t="s">
        <v>93</v>
      </c>
      <c r="I183" s="2" t="s">
        <v>94</v>
      </c>
      <c r="J183" s="2" t="str">
        <f>HYPERLINK("https://vectorbase.org/vectorbase/app/record/gene/AGAP000586","AGAP000586-RA")</f>
        <v>AGAP000586-RA</v>
      </c>
      <c r="K183" s="2" t="str">
        <f>HYPERLINK(".\links\pep\AGAP000586-PA-pep.txt","AGAP000586-PA")</f>
        <v>AGAP000586-PA</v>
      </c>
      <c r="L183" s="12" t="s">
        <v>95</v>
      </c>
      <c r="M183" s="2">
        <v>146</v>
      </c>
      <c r="N183" s="2">
        <v>0</v>
      </c>
      <c r="O183" s="2">
        <v>1</v>
      </c>
      <c r="P183" s="2" t="s">
        <v>102</v>
      </c>
      <c r="Q183" s="9" t="s">
        <v>854</v>
      </c>
      <c r="R183" s="2" t="s">
        <v>98</v>
      </c>
      <c r="S183" s="2" t="str">
        <f>HYPERLINK(".\links\REFSEQ-INVERTEBRATE\AGAP000586-PA-REFSEQ-INVERTEBRATE.txt","REFSEQ-INVERTEBRATE")</f>
        <v>REFSEQ-INVERTEBRATE</v>
      </c>
      <c r="T183" s="2">
        <v>1.9999999999999999E-81</v>
      </c>
      <c r="V183" s="2" t="s">
        <v>2082</v>
      </c>
      <c r="W183" s="10" t="s">
        <v>854</v>
      </c>
      <c r="X183" s="2" t="s">
        <v>98</v>
      </c>
      <c r="Y183" s="2" t="str">
        <f>HYPERLINK(".\links\REFSEQ-INVERTEBRATE\AGAP000586-PA-REFSEQ-INVERTEBRATE.txt","REFSEQ-INVERTEBRATE")</f>
        <v>REFSEQ-INVERTEBRATE</v>
      </c>
      <c r="Z183" s="2">
        <v>0</v>
      </c>
      <c r="AB183" s="13" t="str">
        <f>HYPERLINK(".\links\pep\AGAP000586-PA-sulf.txt","2")</f>
        <v>2</v>
      </c>
      <c r="AC183" s="13" t="str">
        <f>HYPERLINK(".\links\Sigp\AGAP000586-PA-SigP.txt","CYT")</f>
        <v>CYT</v>
      </c>
      <c r="AD183" s="2" t="s">
        <v>102</v>
      </c>
      <c r="AE183" s="2">
        <v>16.202000000000002</v>
      </c>
      <c r="AF183" s="2">
        <v>4.17</v>
      </c>
      <c r="AG183" s="2" t="s">
        <v>102</v>
      </c>
      <c r="AH183" s="2" t="s">
        <v>102</v>
      </c>
      <c r="AI183" s="2" t="s">
        <v>2083</v>
      </c>
      <c r="AJ183" s="13" t="str">
        <f>HYPERLINK(".\links\tmhmm\AGAP000586-PA-tmhmm.txt","1")</f>
        <v>1</v>
      </c>
      <c r="AK183" s="2">
        <v>15.1</v>
      </c>
      <c r="AL183" s="2">
        <v>38.4</v>
      </c>
      <c r="AM183" s="2">
        <v>46.6</v>
      </c>
      <c r="AN183" s="13" t="str">
        <f>HYPERLINK(".\links\gpi\AGAP000586-PA-gpi.txt","N")</f>
        <v>N</v>
      </c>
      <c r="AO183" s="14" t="str">
        <f>HYPERLINK(".\links\netoglyc\AGAP000586-PA-netoglyc.txt","5")</f>
        <v>5</v>
      </c>
      <c r="AP183" s="13">
        <v>17.100000000000001</v>
      </c>
      <c r="AQ183" s="2">
        <v>2.7</v>
      </c>
      <c r="AR183" s="2">
        <v>6.2</v>
      </c>
      <c r="AS183" s="2" t="s">
        <v>104</v>
      </c>
      <c r="AT183" s="9" t="str">
        <f>HYPERLINK(".\links\NR-LIGHT\AGAP000586-PA-NR-LIGHT.txt","AGAP000586-PA")</f>
        <v>AGAP000586-PA</v>
      </c>
      <c r="AU183" s="2" t="str">
        <f>HYPERLINK("http://www.ncbi.nlm.nih.gov/sutils/blink.cgi?pid=XP_001688287.2","2E-081")</f>
        <v>2E-081</v>
      </c>
      <c r="AV183" s="2" t="str">
        <f>HYPERLINK("http://www.ncbi.nlm.nih.gov/protein/XP_001688287.2","XP_001688287.2")</f>
        <v>XP_001688287.2</v>
      </c>
      <c r="AW183" s="2">
        <v>100</v>
      </c>
      <c r="AX183" s="2">
        <v>100</v>
      </c>
      <c r="AY183" s="2">
        <v>100</v>
      </c>
      <c r="AZ183" s="2" t="s">
        <v>105</v>
      </c>
      <c r="BA183" s="9" t="str">
        <f>HYPERLINK(".\links\REFSEQ-INVERTEBRATE\AGAP000586-PA-REFSEQ-INVERTEBRATE.txt","AGAP000586-PA")</f>
        <v>AGAP000586-PA</v>
      </c>
      <c r="BB183" s="2" t="str">
        <f>HYPERLINK("http://www.ncbi.nlm.nih.gov/sutils/blink.cgi?pid=XP_001688287.2","2E-081")</f>
        <v>2E-081</v>
      </c>
      <c r="BC183" s="2" t="str">
        <f>HYPERLINK("http://www.ncbi.nlm.nih.gov/protein/XP_001688287.2","XP_001688287.2")</f>
        <v>XP_001688287.2</v>
      </c>
      <c r="BD183" s="2">
        <v>100</v>
      </c>
      <c r="BE183" s="2">
        <v>100</v>
      </c>
      <c r="BF183" s="2">
        <v>100</v>
      </c>
      <c r="BG183" s="2" t="s">
        <v>105</v>
      </c>
      <c r="BH183" s="9" t="str">
        <f>HYPERLINK(".\links\REFSEQ-PROTOZOA\AGAP000586-PA-REFSEQ-PROTOZOA.txt","translation initiation factor IF-2")</f>
        <v>translation initiation factor IF-2</v>
      </c>
      <c r="BI183" s="2" t="str">
        <f>HYPERLINK("http://www.ncbi.nlm.nih.gov/sutils/blink.cgi?pid=XP_730210.2","0.27")</f>
        <v>0.27</v>
      </c>
      <c r="BJ183" s="2" t="str">
        <f>HYPERLINK("http://www.ncbi.nlm.nih.gov/protein/XP_730210.2","XP_730210.2")</f>
        <v>XP_730210.2</v>
      </c>
      <c r="BK183" s="2">
        <v>33</v>
      </c>
      <c r="BL183" s="2">
        <v>53</v>
      </c>
      <c r="BM183" s="2">
        <v>6</v>
      </c>
      <c r="BN183" s="2" t="s">
        <v>2084</v>
      </c>
      <c r="BO183" s="9" t="str">
        <f>HYPERLINK(".\links\SWISSP\AGAP000586-PA-SWISSP.txt","E3 ubiquitin-protein ligase bre-1")</f>
        <v>E3 ubiquitin-protein ligase bre-1</v>
      </c>
      <c r="BP183" s="2" t="str">
        <f>HYPERLINK("http://www.uniprot.org/uniprot/P34537","0.055")</f>
        <v>0.055</v>
      </c>
      <c r="BQ183" s="2" t="str">
        <f>HYPERLINK("http://www.uniprot.org/uniprot/P34537#expression","P34537")</f>
        <v>P34537</v>
      </c>
      <c r="BR183" s="2">
        <v>31</v>
      </c>
      <c r="BS183" s="2">
        <v>57</v>
      </c>
      <c r="BT183" s="2">
        <v>8</v>
      </c>
      <c r="BU183" s="2" t="s">
        <v>1445</v>
      </c>
      <c r="BV183" s="9" t="str">
        <f>HYPERLINK(".\links\FLYBASE\AGAP000586-PA-FLYBASE.txt","FBpp0303762")</f>
        <v>FBpp0303762</v>
      </c>
      <c r="BW183" s="2" t="str">
        <f>HYPERLINK("http://flybase.org/reports/FBgn0037533#alliance_summary_container","0.001")</f>
        <v>0.001</v>
      </c>
      <c r="BX183" s="2">
        <v>567</v>
      </c>
      <c r="BY183" s="2">
        <v>39</v>
      </c>
      <c r="BZ183" s="2">
        <v>63</v>
      </c>
      <c r="CA183" s="2">
        <v>8</v>
      </c>
      <c r="CB183" s="9" t="str">
        <f>HYPERLINK(".\links\CDD\AGAP000586-PA-CDD.txt","SLC3A2_N, Solute carrier family 3 member 2 N-terminus")</f>
        <v>SLC3A2_N, Solute carrier family 3 member 2 N-terminus</v>
      </c>
      <c r="CC183" s="15">
        <v>1.9999999999999999E-7</v>
      </c>
      <c r="CD183" s="2">
        <v>79.2</v>
      </c>
      <c r="CE183" s="2" t="s">
        <v>2085</v>
      </c>
      <c r="CF183" s="2" t="s">
        <v>2086</v>
      </c>
      <c r="CG183" s="9" t="str">
        <f>HYPERLINK(".\links\KOG\AGAP000586-PA-KOG.txt","ABC superfamily (Breast cancer resistance protein)")</f>
        <v>ABC superfamily (Breast cancer resistance protein)</v>
      </c>
      <c r="CH183" s="15">
        <v>0.81</v>
      </c>
      <c r="CI183" s="2">
        <v>10.7</v>
      </c>
      <c r="CJ183" s="2" t="s">
        <v>1744</v>
      </c>
      <c r="CK183" s="2" t="s">
        <v>526</v>
      </c>
      <c r="CL183" s="9" t="str">
        <f>HYPERLINK(".\links\PFAM\AGAP000586-PA-PFAM.txt","SLC3A2_N, Solute carrier family 3 member 2 N-terminus")</f>
        <v>SLC3A2_N, Solute carrier family 3 member 2 N-terminus</v>
      </c>
      <c r="CM183" s="15">
        <v>4.0000000000000001E-8</v>
      </c>
      <c r="CN183" s="2">
        <v>79.2</v>
      </c>
      <c r="CO183" s="2" t="s">
        <v>2085</v>
      </c>
      <c r="CP183" s="9" t="str">
        <f>HYPERLINK(".\links\SMART\AGAP000586-PA-SMART.txt","Cache_2, Cache is an extracellular domain that is predicted to have a role in small-molecule recognition in a wide range of proteins")</f>
        <v>Cache_2, Cache is an extracellular domain that is predicted to have a role in small-molecule recognition in a wide range of proteins</v>
      </c>
      <c r="CQ183" s="15">
        <v>2.4</v>
      </c>
      <c r="CR183" s="2">
        <v>13.2</v>
      </c>
      <c r="CS183" s="2" t="s">
        <v>2087</v>
      </c>
      <c r="CT183" s="2" t="s">
        <v>2082</v>
      </c>
      <c r="CU183" s="2" t="s">
        <v>2082</v>
      </c>
      <c r="CV183" s="2" t="s">
        <v>2082</v>
      </c>
      <c r="CW183" s="2" t="str">
        <f>HYPERLINK(".\links\pep\AGAP000586-PA-pep.txt","AGAP000586-PA")</f>
        <v>AGAP000586-PA</v>
      </c>
      <c r="CX183" s="2" t="s">
        <v>95</v>
      </c>
      <c r="CY183" s="2">
        <v>146</v>
      </c>
      <c r="CZ183" s="2" t="s">
        <v>113</v>
      </c>
      <c r="DA183" s="2" t="s">
        <v>2088</v>
      </c>
      <c r="DB183" s="2">
        <v>0</v>
      </c>
      <c r="DC183" s="2">
        <v>1</v>
      </c>
      <c r="DD183" s="2" t="str">
        <f>HYPERLINK("https://www.kegg.jp/kegg-bin/search_pathway_text?map=aga&amp;keyword=AGAP000586&amp;mode=1&amp;viewImage=true","AGAP000586")</f>
        <v>AGAP000586</v>
      </c>
      <c r="DE183" s="2" t="s">
        <v>2081</v>
      </c>
      <c r="DF183" s="2" t="s">
        <v>93</v>
      </c>
      <c r="DG183" s="2" t="s">
        <v>94</v>
      </c>
      <c r="DH183" s="2" t="str">
        <f>HYPERLINK("https://vectorbase.org/vectorbase/app/record/gene/AGAP000586","AGAP000586-RA")</f>
        <v>AGAP000586-RA</v>
      </c>
      <c r="DI183" s="2" t="s">
        <v>115</v>
      </c>
      <c r="DJ183" s="2">
        <v>1482</v>
      </c>
      <c r="DK183" s="2" t="str">
        <f>HYPERLINK(".\links\netoglyc\AGAP000586-PA-netoglyc.txt","5")</f>
        <v>5</v>
      </c>
      <c r="DL183" s="2">
        <v>17.100000000000001</v>
      </c>
      <c r="DM183" s="2">
        <v>2.7</v>
      </c>
      <c r="DN183" s="2">
        <v>6.2</v>
      </c>
      <c r="DO183" s="2" t="s">
        <v>104</v>
      </c>
      <c r="DP183" s="2" t="s">
        <v>102</v>
      </c>
      <c r="DQ183" s="2" t="str">
        <f>HYPERLINK(".\links\Sigp\AGAP000586-PA-SigP.txt","CYT")</f>
        <v>CYT</v>
      </c>
      <c r="DR183" s="2" t="s">
        <v>102</v>
      </c>
      <c r="DS183" s="2">
        <v>16.202000000000002</v>
      </c>
      <c r="DT183" s="2">
        <v>4.17</v>
      </c>
      <c r="DU183" s="2" t="s">
        <v>102</v>
      </c>
      <c r="DV183" s="2" t="s">
        <v>102</v>
      </c>
      <c r="DW183" s="2" t="s">
        <v>2083</v>
      </c>
      <c r="DX183" s="2">
        <v>146</v>
      </c>
      <c r="DY183" s="12" t="str">
        <f>HYPERLINK(".\links\tmhmm\AGAP000586-PA-tmhmm.txt","1")</f>
        <v>1</v>
      </c>
      <c r="DZ183" s="2">
        <v>15.1</v>
      </c>
      <c r="EA183" s="2">
        <v>38.4</v>
      </c>
      <c r="EB183" s="2">
        <v>46.6</v>
      </c>
      <c r="EC183" s="2" t="str">
        <f>HYPERLINK(".\links\gpi\AGAP000586-PA-gpi.txt","Y-NoSP")</f>
        <v>Y-NoSP</v>
      </c>
      <c r="ED183" s="2">
        <v>0.44</v>
      </c>
      <c r="EF183" s="2">
        <v>6</v>
      </c>
      <c r="EG183" s="2" t="str">
        <f>HYPERLINK(".\links\pep\AGAP000586-PA-sulf.txt","2")</f>
        <v>2</v>
      </c>
      <c r="EH183" s="2" t="s">
        <v>102</v>
      </c>
      <c r="EI183" s="2">
        <v>17.123287671232902</v>
      </c>
      <c r="EJ183" s="2">
        <v>6.1643835616438398</v>
      </c>
      <c r="EK183" s="2">
        <v>2.7397260273972601</v>
      </c>
      <c r="EL183" s="2">
        <v>8.9041095890411004</v>
      </c>
      <c r="EM183" s="2" t="s">
        <v>102</v>
      </c>
      <c r="EN183" s="2" t="s">
        <v>102</v>
      </c>
      <c r="EO183" s="2" t="s">
        <v>102</v>
      </c>
      <c r="EP183" s="2" t="s">
        <v>102</v>
      </c>
      <c r="EQ183" s="2" t="s">
        <v>102</v>
      </c>
      <c r="ER183" s="2" t="s">
        <v>102</v>
      </c>
      <c r="ES183" s="2" t="s">
        <v>102</v>
      </c>
      <c r="ET183" s="2" t="str">
        <f>HYPERLINK(".\links\REFSEQ-INVERTEBRATE\AGAP000586-PA-REFSEQ-INVERTEBRATE.txt","AGAP000586-PA")</f>
        <v>AGAP000586-PA</v>
      </c>
      <c r="EU183" s="2" t="str">
        <f>HYPERLINK("http://www.ncbi.nlm.nih.gov/sutils/blink.cgi?pid=XP_001688287.2","1E-103")</f>
        <v>1E-103</v>
      </c>
      <c r="EV183" s="2" t="str">
        <f>HYPERLINK("http://www.ncbi.nlm.nih.gov/protein/XP_001688287.2","XP_001688287.2")</f>
        <v>XP_001688287.2</v>
      </c>
      <c r="EW183" s="2">
        <v>100</v>
      </c>
      <c r="EX183" s="2">
        <v>100</v>
      </c>
      <c r="EY183" s="2">
        <v>100</v>
      </c>
      <c r="EZ183" s="2" t="s">
        <v>105</v>
      </c>
    </row>
    <row r="184" spans="1:156" x14ac:dyDescent="0.25">
      <c r="A184" s="2" t="s">
        <v>2089</v>
      </c>
      <c r="B184" s="2">
        <v>0.32832853253327998</v>
      </c>
      <c r="C184" s="2">
        <f t="shared" si="2"/>
        <v>1.2555578761266439</v>
      </c>
      <c r="D184" s="2">
        <v>5.91633838488407</v>
      </c>
      <c r="E184" s="2">
        <v>17.311184724242</v>
      </c>
      <c r="F184" s="2">
        <v>3.1731366519956798E-5</v>
      </c>
      <c r="G184" s="2">
        <v>6.7981003707429204E-3</v>
      </c>
      <c r="H184" s="2" t="s">
        <v>93</v>
      </c>
      <c r="I184" s="2" t="s">
        <v>94</v>
      </c>
      <c r="J184" s="2" t="str">
        <f>HYPERLINK("https://vectorbase.org/vectorbase/app/record/gene/AGAP029613","AGAP029613-RA")</f>
        <v>AGAP029613-RA</v>
      </c>
      <c r="K184" s="2" t="str">
        <f>HYPERLINK(".\links\pep\AGAP029613-PA-pep.txt","AGAP029613-PA")</f>
        <v>AGAP029613-PA</v>
      </c>
      <c r="L184" s="12" t="s">
        <v>95</v>
      </c>
      <c r="M184" s="2">
        <v>542</v>
      </c>
      <c r="N184" s="2">
        <v>0</v>
      </c>
      <c r="O184" s="2">
        <v>1</v>
      </c>
      <c r="P184" s="2" t="s">
        <v>102</v>
      </c>
      <c r="Q184" s="9" t="s">
        <v>738</v>
      </c>
      <c r="R184" s="2" t="s">
        <v>420</v>
      </c>
      <c r="S184" s="2" t="str">
        <f>HYPERLINK(".\links\KOG\AGAP029613-PA-KOG.txt","KOG")</f>
        <v>KOG</v>
      </c>
      <c r="T184" s="2">
        <v>3.0000000000000001E-12</v>
      </c>
      <c r="U184" s="2">
        <v>50</v>
      </c>
      <c r="V184" s="2" t="s">
        <v>2090</v>
      </c>
      <c r="W184" s="10" t="s">
        <v>2091</v>
      </c>
      <c r="X184" s="2" t="s">
        <v>420</v>
      </c>
      <c r="Y184" s="2" t="str">
        <f>HYPERLINK(".\links\UNIPROTKB\AGAP029613-PA-UNIPROTKB.txt","UNIPROTKB")</f>
        <v>UNIPROTKB</v>
      </c>
      <c r="Z184" s="15">
        <v>9.9999999999999996E-24</v>
      </c>
      <c r="AA184" s="2">
        <v>56.9</v>
      </c>
      <c r="AB184" s="13" t="str">
        <f>HYPERLINK(".\links\pep\AGAP029613-PA-sulf.txt","2")</f>
        <v>2</v>
      </c>
      <c r="AC184" s="13" t="str">
        <f>HYPERLINK(".\links\Sigp\AGAP029613-PA-SigP.txt","CYT")</f>
        <v>CYT</v>
      </c>
      <c r="AD184" s="2" t="s">
        <v>102</v>
      </c>
      <c r="AE184" s="2">
        <v>61.246000000000002</v>
      </c>
      <c r="AF184" s="2">
        <v>6.3</v>
      </c>
      <c r="AG184" s="2" t="s">
        <v>102</v>
      </c>
      <c r="AH184" s="2" t="s">
        <v>102</v>
      </c>
      <c r="AI184" s="2" t="s">
        <v>211</v>
      </c>
      <c r="AJ184" s="13">
        <v>0</v>
      </c>
      <c r="AK184" s="2" t="s">
        <v>102</v>
      </c>
      <c r="AL184" s="2" t="s">
        <v>102</v>
      </c>
      <c r="AM184" s="2" t="s">
        <v>102</v>
      </c>
      <c r="AN184" s="9" t="str">
        <f>HYPERLINK(".\links\gpi\AGAP029613-PA-gpi.txt","N")</f>
        <v>N</v>
      </c>
      <c r="AO184" s="14" t="str">
        <f>HYPERLINK(".\links\netoglyc\AGAP029613-PA-netoglyc.txt","7")</f>
        <v>7</v>
      </c>
      <c r="AP184" s="13">
        <v>14.2</v>
      </c>
      <c r="AQ184" s="2">
        <v>3.7</v>
      </c>
      <c r="AR184" s="2">
        <v>4.2</v>
      </c>
      <c r="AS184" s="2" t="s">
        <v>104</v>
      </c>
      <c r="AT184" s="9" t="str">
        <f>HYPERLINK(".\links\NR-LIGHT\AGAP029613-PA-NR-LIGHT.txt","AGAP011418-PA, partial")</f>
        <v>AGAP011418-PA, partial</v>
      </c>
      <c r="AU184" s="2" t="str">
        <f>HYPERLINK("http://www.ncbi.nlm.nih.gov/sutils/blink.cgi?pid=XP_317891.4","1E-063")</f>
        <v>1E-063</v>
      </c>
      <c r="AV184" s="2" t="str">
        <f>HYPERLINK("http://www.ncbi.nlm.nih.gov/protein/XP_317891.4","XP_317891.4")</f>
        <v>XP_317891.4</v>
      </c>
      <c r="AW184" s="2">
        <v>59</v>
      </c>
      <c r="AX184" s="2">
        <v>70</v>
      </c>
      <c r="AY184" s="2">
        <v>27</v>
      </c>
      <c r="AZ184" s="2" t="s">
        <v>105</v>
      </c>
      <c r="BA184" s="9" t="str">
        <f>HYPERLINK(".\links\REFSEQ-INVERTEBRATE\AGAP029613-PA-REFSEQ-INVERTEBRATE.txt","AGAP011418-PA, partial")</f>
        <v>AGAP011418-PA, partial</v>
      </c>
      <c r="BB184" s="2" t="str">
        <f>HYPERLINK("http://www.ncbi.nlm.nih.gov/sutils/blink.cgi?pid=XP_317891.4","1E-063")</f>
        <v>1E-063</v>
      </c>
      <c r="BC184" s="2" t="str">
        <f>HYPERLINK("http://www.ncbi.nlm.nih.gov/protein/XP_317891.4","XP_317891.4")</f>
        <v>XP_317891.4</v>
      </c>
      <c r="BD184" s="2">
        <v>59</v>
      </c>
      <c r="BE184" s="2">
        <v>70</v>
      </c>
      <c r="BF184" s="2">
        <v>27</v>
      </c>
      <c r="BG184" s="2" t="s">
        <v>105</v>
      </c>
      <c r="BH184" s="9" t="str">
        <f>HYPERLINK(".\links\REFSEQ-PROTOZOA\AGAP029613-PA-REFSEQ-PROTOZOA.txt","zinc finger, c2h2 type family protein")</f>
        <v>zinc finger, c2h2 type family protein</v>
      </c>
      <c r="BI184" s="2" t="str">
        <f>HYPERLINK("http://www.ncbi.nlm.nih.gov/sutils/blink.cgi?pid=XP_002372116.1","1E-022")</f>
        <v>1E-022</v>
      </c>
      <c r="BJ184" s="2" t="str">
        <f>HYPERLINK("http://www.ncbi.nlm.nih.gov/protein/XP_002372116.1","XP_002372116.1")</f>
        <v>XP_002372116.1</v>
      </c>
      <c r="BK184" s="2">
        <v>30</v>
      </c>
      <c r="BL184" s="2">
        <v>48</v>
      </c>
      <c r="BM184" s="2">
        <v>76</v>
      </c>
      <c r="BN184" s="2" t="s">
        <v>741</v>
      </c>
      <c r="BO184" s="9" t="str">
        <f>HYPERLINK(".\links\SWISSP\AGAP029613-PA-SWISSP.txt","Zinc finger protein 142")</f>
        <v>Zinc finger protein 142</v>
      </c>
      <c r="BP184" s="2" t="str">
        <f>HYPERLINK("http://www.uniprot.org/uniprot/P52746","1E-025")</f>
        <v>1E-025</v>
      </c>
      <c r="BQ184" s="2" t="str">
        <f>HYPERLINK("http://www.uniprot.org/uniprot/P52746#expression","P52746")</f>
        <v>P52746</v>
      </c>
      <c r="BR184" s="2">
        <v>29</v>
      </c>
      <c r="BS184" s="2">
        <v>44</v>
      </c>
      <c r="BT184" s="2">
        <v>16</v>
      </c>
      <c r="BU184" s="2" t="s">
        <v>127</v>
      </c>
      <c r="BV184" s="9" t="str">
        <f>HYPERLINK(".\links\FLYBASE\AGAP029613-PA-FLYBASE.txt","FBpp0081662")</f>
        <v>FBpp0081662</v>
      </c>
      <c r="BW184" s="2" t="str">
        <f>HYPERLINK("http://flybase.org/reports/FBgn0037794#alliance_summary_container","3E-20")</f>
        <v>3E-20</v>
      </c>
      <c r="BX184" s="2">
        <v>634</v>
      </c>
      <c r="BY184" s="2">
        <v>31</v>
      </c>
      <c r="BZ184" s="2">
        <v>44</v>
      </c>
      <c r="CA184" s="2">
        <v>32</v>
      </c>
      <c r="CB184" s="9" t="str">
        <f>HYPERLINK(".\links\CDD\AGAP029613-PA-CDD.txt","ZF_C2H2, Zinc finger, C2H2 type")</f>
        <v>ZF_C2H2, Zinc finger, C2H2 type</v>
      </c>
      <c r="CC184" s="15">
        <v>6.9999999999999998E-9</v>
      </c>
      <c r="CD184" s="2">
        <v>100</v>
      </c>
      <c r="CE184" s="2" t="s">
        <v>569</v>
      </c>
      <c r="CF184" s="2" t="s">
        <v>2092</v>
      </c>
      <c r="CG184" s="9" t="str">
        <f>HYPERLINK(".\links\KOG\AGAP029613-PA-KOG.txt","C2H2-type Zn-finger protein")</f>
        <v>C2H2-type Zn-finger protein</v>
      </c>
      <c r="CH184" s="15">
        <v>3.0000000000000001E-12</v>
      </c>
      <c r="CI184" s="2">
        <v>50.9</v>
      </c>
      <c r="CJ184" s="2" t="s">
        <v>743</v>
      </c>
      <c r="CK184" s="2" t="s">
        <v>309</v>
      </c>
      <c r="CL184" s="9" t="str">
        <f>HYPERLINK(".\links\PFAM\AGAP029613-PA-PFAM.txt","zf-AD, Zinc-finger associated domain (zf-AD)")</f>
        <v>zf-AD, Zinc-finger associated domain (zf-AD)</v>
      </c>
      <c r="CM184" s="15">
        <v>7.2999999999999995E-2</v>
      </c>
      <c r="CN184" s="2">
        <v>101.4</v>
      </c>
      <c r="CO184" s="2" t="s">
        <v>687</v>
      </c>
      <c r="CP184" s="9" t="str">
        <f>HYPERLINK(".\links\SMART\AGAP029613-PA-SMART.txt","zf-AD, Zinc-finger associated domain (zf-AD)")</f>
        <v>zf-AD, Zinc-finger associated domain (zf-AD)</v>
      </c>
      <c r="CQ184" s="15">
        <v>9.9999999999999995E-8</v>
      </c>
      <c r="CR184" s="2">
        <v>101.4</v>
      </c>
      <c r="CS184" s="2" t="s">
        <v>684</v>
      </c>
      <c r="CT184" s="2" t="s">
        <v>2090</v>
      </c>
      <c r="CU184" s="2" t="s">
        <v>2090</v>
      </c>
      <c r="CV184" s="2" t="s">
        <v>2090</v>
      </c>
      <c r="CW184" s="2" t="str">
        <f>HYPERLINK(".\links\pep\AGAP029613-PA-pep.txt","AGAP029613-PA")</f>
        <v>AGAP029613-PA</v>
      </c>
      <c r="CX184" s="2" t="s">
        <v>95</v>
      </c>
      <c r="CY184" s="2">
        <v>542</v>
      </c>
      <c r="CZ184" s="2" t="s">
        <v>113</v>
      </c>
      <c r="DA184" s="2" t="s">
        <v>2093</v>
      </c>
      <c r="DB184" s="2">
        <v>0</v>
      </c>
      <c r="DC184" s="2">
        <v>1</v>
      </c>
      <c r="DD184" s="2" t="str">
        <f>HYPERLINK("https://www.kegg.jp/kegg-bin/search_pathway_text?map=aga&amp;keyword=AGAP029613&amp;mode=1&amp;viewImage=true","AGAP029613")</f>
        <v>AGAP029613</v>
      </c>
      <c r="DE184" s="2" t="s">
        <v>2089</v>
      </c>
      <c r="DF184" s="2" t="s">
        <v>93</v>
      </c>
      <c r="DG184" s="2" t="s">
        <v>94</v>
      </c>
      <c r="DH184" s="2" t="str">
        <f>HYPERLINK("https://vectorbase.org/vectorbase/app/record/gene/AGAP029613","AGAP029613-RA")</f>
        <v>AGAP029613-RA</v>
      </c>
      <c r="DI184" s="2" t="s">
        <v>135</v>
      </c>
      <c r="DJ184" s="2">
        <v>2011</v>
      </c>
      <c r="DK184" s="2" t="str">
        <f>HYPERLINK(".\links\netoglyc\AGAP029613-PA-netoglyc.txt","7")</f>
        <v>7</v>
      </c>
      <c r="DL184" s="2">
        <v>14.2</v>
      </c>
      <c r="DM184" s="2">
        <v>3.7</v>
      </c>
      <c r="DN184" s="2">
        <v>4.2</v>
      </c>
      <c r="DO184" s="2" t="s">
        <v>104</v>
      </c>
      <c r="DP184" s="2" t="s">
        <v>2094</v>
      </c>
      <c r="DQ184" s="2" t="str">
        <f>HYPERLINK(".\links\Sigp\AGAP029613-PA-SigP.txt","CYT")</f>
        <v>CYT</v>
      </c>
      <c r="DR184" s="2" t="s">
        <v>102</v>
      </c>
      <c r="DS184" s="2">
        <v>61.246000000000002</v>
      </c>
      <c r="DT184" s="2">
        <v>6.3</v>
      </c>
      <c r="DU184" s="2" t="s">
        <v>102</v>
      </c>
      <c r="DV184" s="2" t="s">
        <v>102</v>
      </c>
      <c r="DW184" s="2" t="s">
        <v>211</v>
      </c>
      <c r="DX184" s="2">
        <v>542</v>
      </c>
      <c r="DY184" s="12">
        <v>0</v>
      </c>
      <c r="DZ184" s="2" t="s">
        <v>102</v>
      </c>
      <c r="EA184" s="2" t="s">
        <v>102</v>
      </c>
      <c r="EB184" s="2" t="s">
        <v>102</v>
      </c>
      <c r="EC184" s="2" t="str">
        <f>HYPERLINK(".\links\gpi\AGAP029613-PA-gpi.txt","N")</f>
        <v>N</v>
      </c>
      <c r="ED184" s="2">
        <v>0.26</v>
      </c>
      <c r="EE184" s="2" t="s">
        <v>2095</v>
      </c>
      <c r="EF184" s="2">
        <v>30</v>
      </c>
      <c r="EG184" s="2" t="str">
        <f>HYPERLINK(".\links\pep\AGAP029613-PA-sulf.txt","2")</f>
        <v>2</v>
      </c>
      <c r="EH184" s="2" t="s">
        <v>102</v>
      </c>
      <c r="EI184" s="2">
        <v>14.2066420664207</v>
      </c>
      <c r="EJ184" s="2">
        <v>4.2435424354243496</v>
      </c>
      <c r="EK184" s="2">
        <v>3.6900369003689999</v>
      </c>
      <c r="EL184" s="2">
        <v>7.9335793357933602</v>
      </c>
      <c r="EM184" s="2" t="s">
        <v>102</v>
      </c>
      <c r="EN184" s="2">
        <v>1</v>
      </c>
      <c r="EO184" s="2">
        <v>1</v>
      </c>
      <c r="EP184" s="2" t="s">
        <v>102</v>
      </c>
      <c r="EQ184" s="2" t="s">
        <v>102</v>
      </c>
      <c r="ER184" s="2" t="s">
        <v>102</v>
      </c>
      <c r="ES184" s="2" t="s">
        <v>102</v>
      </c>
      <c r="ET184" s="2" t="str">
        <f>HYPERLINK(".\links\REFSEQ-INVERTEBRATE\AGAP029613-PA-REFSEQ-INVERTEBRATE.txt","zinc finger protein 569-like")</f>
        <v>zinc finger protein 569-like</v>
      </c>
      <c r="EU184" s="2" t="str">
        <f>HYPERLINK("http://www.ncbi.nlm.nih.gov/sutils/blink.cgi?pid=XP_035899156.1","1E-104")</f>
        <v>1E-104</v>
      </c>
      <c r="EV184" s="2" t="str">
        <f>HYPERLINK("http://www.ncbi.nlm.nih.gov/protein/XP_035899156.1","XP_035899156.1")</f>
        <v>XP_035899156.1</v>
      </c>
      <c r="EW184" s="2">
        <v>39</v>
      </c>
      <c r="EX184" s="2">
        <v>54</v>
      </c>
      <c r="EY184" s="2">
        <v>56</v>
      </c>
      <c r="EZ184" s="2" t="s">
        <v>370</v>
      </c>
    </row>
    <row r="185" spans="1:156" x14ac:dyDescent="0.25">
      <c r="A185" s="2" t="s">
        <v>2096</v>
      </c>
      <c r="B185" s="2">
        <v>0.32798449245554101</v>
      </c>
      <c r="C185" s="2">
        <f t="shared" si="2"/>
        <v>1.255258498423071</v>
      </c>
      <c r="D185" s="2">
        <v>5.4530659656069602</v>
      </c>
      <c r="E185" s="2">
        <v>11.4370798031389</v>
      </c>
      <c r="F185" s="2">
        <v>7.1992846010146105E-4</v>
      </c>
      <c r="G185" s="2">
        <v>2.9060416152416502E-2</v>
      </c>
      <c r="H185" s="2" t="s">
        <v>93</v>
      </c>
      <c r="I185" s="2" t="s">
        <v>94</v>
      </c>
      <c r="J185" s="2" t="str">
        <f>HYPERLINK("https://vectorbase.org/vectorbase/app/record/gene/AGAP006619","AGAP006619-RA")</f>
        <v>AGAP006619-RA</v>
      </c>
      <c r="K185" s="2" t="str">
        <f>HYPERLINK(".\links\pep\AGAP006619-PA-pep.txt","AGAP006619-PA")</f>
        <v>AGAP006619-PA</v>
      </c>
      <c r="L185" s="12" t="s">
        <v>95</v>
      </c>
      <c r="M185" s="2">
        <v>243</v>
      </c>
      <c r="N185" s="2">
        <v>0</v>
      </c>
      <c r="O185" s="2">
        <v>1</v>
      </c>
      <c r="P185" s="2" t="s">
        <v>102</v>
      </c>
      <c r="Q185" s="9" t="s">
        <v>2097</v>
      </c>
      <c r="R185" s="2" t="s">
        <v>196</v>
      </c>
      <c r="S185" s="2" t="str">
        <f>HYPERLINK(".\links\REFSEQ-INVERTEBRATE\AGAP006619-PA-REFSEQ-INVERTEBRATE.txt","REFSEQ-INVERTEBRATE")</f>
        <v>REFSEQ-INVERTEBRATE</v>
      </c>
      <c r="T185" s="2">
        <v>0</v>
      </c>
      <c r="U185" s="2">
        <v>100</v>
      </c>
      <c r="V185" s="2" t="s">
        <v>2097</v>
      </c>
      <c r="W185" s="10" t="s">
        <v>2098</v>
      </c>
      <c r="X185" s="2" t="s">
        <v>196</v>
      </c>
      <c r="Y185" s="2" t="str">
        <f>HYPERLINK(".\links\ARTHORPODA\AGAP006619-PA-ARTHORPODA.txt","ARTHORPODA")</f>
        <v>ARTHORPODA</v>
      </c>
      <c r="Z185" s="15">
        <v>0</v>
      </c>
      <c r="AA185" s="2">
        <v>100</v>
      </c>
      <c r="AB185" s="13" t="s">
        <v>102</v>
      </c>
      <c r="AC185" s="13" t="str">
        <f>HYPERLINK(".\links\Sigp\AGAP006619-PA-SigP.txt","CYT")</f>
        <v>CYT</v>
      </c>
      <c r="AD185" s="2" t="s">
        <v>102</v>
      </c>
      <c r="AE185" s="2">
        <v>27.861000000000001</v>
      </c>
      <c r="AF185" s="2">
        <v>10.35</v>
      </c>
      <c r="AG185" s="2" t="s">
        <v>102</v>
      </c>
      <c r="AH185" s="2" t="s">
        <v>102</v>
      </c>
      <c r="AI185" s="2" t="s">
        <v>211</v>
      </c>
      <c r="AJ185" s="13">
        <v>0</v>
      </c>
      <c r="AK185" s="2" t="s">
        <v>102</v>
      </c>
      <c r="AL185" s="2" t="s">
        <v>102</v>
      </c>
      <c r="AM185" s="2" t="s">
        <v>102</v>
      </c>
      <c r="AN185" s="13" t="str">
        <f>HYPERLINK(".\links\gpi\AGAP006619-PA-gpi.txt","N")</f>
        <v>N</v>
      </c>
      <c r="AO185" s="14" t="str">
        <f>HYPERLINK(".\links\netoglyc\AGAP006619-PA-netoglyc.txt","9")</f>
        <v>9</v>
      </c>
      <c r="AP185" s="13">
        <v>13.2</v>
      </c>
      <c r="AQ185" s="2">
        <v>3.7</v>
      </c>
      <c r="AR185" s="2">
        <v>7.8</v>
      </c>
      <c r="AS185" s="2" t="s">
        <v>104</v>
      </c>
      <c r="AT185" s="9" t="str">
        <f>HYPERLINK(".\links\NR-LIGHT\AGAP006619-PA-NR-LIGHT.txt","AGAP006619-PA")</f>
        <v>AGAP006619-PA</v>
      </c>
      <c r="AU185" s="2" t="str">
        <f>HYPERLINK("http://www.ncbi.nlm.nih.gov/sutils/blink.cgi?pid=XP_001688934.1","1E-134")</f>
        <v>1E-134</v>
      </c>
      <c r="AV185" s="2" t="str">
        <f>HYPERLINK("http://www.ncbi.nlm.nih.gov/protein/XP_001688934.1","XP_001688934.1")</f>
        <v>XP_001688934.1</v>
      </c>
      <c r="AW185" s="2">
        <v>100</v>
      </c>
      <c r="AX185" s="2">
        <v>100</v>
      </c>
      <c r="AY185" s="2">
        <v>100</v>
      </c>
      <c r="AZ185" s="2" t="s">
        <v>105</v>
      </c>
      <c r="BA185" s="9" t="str">
        <f>HYPERLINK(".\links\REFSEQ-INVERTEBRATE\AGAP006619-PA-REFSEQ-INVERTEBRATE.txt","AGAP006619-PA")</f>
        <v>AGAP006619-PA</v>
      </c>
      <c r="BB185" s="2" t="str">
        <f>HYPERLINK("http://www.ncbi.nlm.nih.gov/sutils/blink.cgi?pid=XP_001688934.1","1E-134")</f>
        <v>1E-134</v>
      </c>
      <c r="BC185" s="2" t="str">
        <f>HYPERLINK("http://www.ncbi.nlm.nih.gov/protein/XP_001688934.1","XP_001688934.1")</f>
        <v>XP_001688934.1</v>
      </c>
      <c r="BD185" s="2">
        <v>100</v>
      </c>
      <c r="BE185" s="2">
        <v>100</v>
      </c>
      <c r="BF185" s="2">
        <v>100</v>
      </c>
      <c r="BG185" s="2" t="s">
        <v>105</v>
      </c>
      <c r="BH185" s="9" t="str">
        <f>HYPERLINK(".\links\REFSEQ-PROTOZOA\AGAP006619-PA-REFSEQ-PROTOZOA.txt","hypothetical protein, conserved")</f>
        <v>hypothetical protein, conserved</v>
      </c>
      <c r="BI185" s="2" t="str">
        <f>HYPERLINK("http://www.ncbi.nlm.nih.gov/sutils/blink.cgi?pid=XP_648334.1","5E-007")</f>
        <v>5E-007</v>
      </c>
      <c r="BJ185" s="2" t="str">
        <f>HYPERLINK("http://www.ncbi.nlm.nih.gov/protein/XP_648334.1","XP_648334.1")</f>
        <v>XP_648334.1</v>
      </c>
      <c r="BK185" s="2">
        <v>21</v>
      </c>
      <c r="BL185" s="2">
        <v>43</v>
      </c>
      <c r="BM185" s="2">
        <v>38</v>
      </c>
      <c r="BN185" s="2" t="s">
        <v>2099</v>
      </c>
      <c r="BO185" s="9" t="str">
        <f>HYPERLINK(".\links\SWISSP\AGAP006619-PA-SWISSP.txt","Protein FAM207A")</f>
        <v>Protein FAM207A</v>
      </c>
      <c r="BP185" s="2" t="str">
        <f>HYPERLINK("http://www.uniprot.org/uniprot/P58468","1E-006")</f>
        <v>1E-006</v>
      </c>
      <c r="BQ185" s="2" t="str">
        <f>HYPERLINK("http://www.uniprot.org/uniprot/P58468#expression","P58468")</f>
        <v>P58468</v>
      </c>
      <c r="BR185" s="2">
        <v>29</v>
      </c>
      <c r="BS185" s="2">
        <v>46</v>
      </c>
      <c r="BT185" s="2">
        <v>72</v>
      </c>
      <c r="BU185" s="2" t="s">
        <v>662</v>
      </c>
      <c r="BV185" s="9" t="str">
        <f>HYPERLINK(".\links\FLYBASE\AGAP006619-PA-FLYBASE.txt","FBpp0072860")</f>
        <v>FBpp0072860</v>
      </c>
      <c r="BW185" s="2" t="str">
        <f>HYPERLINK("http://flybase.org/reports/FBgn0035393#alliance_summary_container","9E-11")</f>
        <v>9E-11</v>
      </c>
      <c r="BX185" s="2">
        <v>177</v>
      </c>
      <c r="BY185" s="2">
        <v>33</v>
      </c>
      <c r="BZ185" s="2">
        <v>61</v>
      </c>
      <c r="CA185" s="2">
        <v>58</v>
      </c>
      <c r="CB185" s="9" t="str">
        <f>HYPERLINK(".\links\CDD\AGAP006619-PA-CDD.txt","SLX9, Ribosome biogenesis protein SLX9")</f>
        <v>SLX9, Ribosome biogenesis protein SLX9</v>
      </c>
      <c r="CC185" s="15">
        <v>4.0000000000000002E-9</v>
      </c>
      <c r="CD185" s="2">
        <v>142.9</v>
      </c>
      <c r="CE185" s="2" t="s">
        <v>2100</v>
      </c>
      <c r="CF185" s="2" t="s">
        <v>2101</v>
      </c>
      <c r="CG185" s="9" t="str">
        <f>HYPERLINK(".\links\KOG\AGAP006619-PA-KOG.txt","Nuclear-export-signal (NES)-containing protein/polyadenylated-RNA export factor")</f>
        <v>Nuclear-export-signal (NES)-containing protein/polyadenylated-RNA export factor</v>
      </c>
      <c r="CH185" s="15">
        <v>0.2</v>
      </c>
      <c r="CI185" s="2">
        <v>17.399999999999999</v>
      </c>
      <c r="CJ185" s="2" t="s">
        <v>2102</v>
      </c>
      <c r="CK185" s="2" t="s">
        <v>722</v>
      </c>
      <c r="CL185" s="9" t="str">
        <f>HYPERLINK(".\links\PFAM\AGAP006619-PA-PFAM.txt","SLX9, Ribosome biogenesis protein SLX9")</f>
        <v>SLX9, Ribosome biogenesis protein SLX9</v>
      </c>
      <c r="CM185" s="15">
        <v>8.0000000000000003E-10</v>
      </c>
      <c r="CN185" s="2">
        <v>142.9</v>
      </c>
      <c r="CO185" s="2" t="s">
        <v>2100</v>
      </c>
      <c r="CP185" s="9" t="str">
        <f>HYPERLINK(".\links\SMART\AGAP006619-PA-SMART.txt","CTD, Spt5 C-terminal nonapeptide repeat binding Spt4")</f>
        <v>CTD, Spt5 C-terminal nonapeptide repeat binding Spt4</v>
      </c>
      <c r="CQ185" s="15">
        <v>0.56000000000000005</v>
      </c>
      <c r="CR185" s="2">
        <v>18.2</v>
      </c>
      <c r="CS185" s="2" t="s">
        <v>2103</v>
      </c>
      <c r="CT185" s="2" t="s">
        <v>2097</v>
      </c>
      <c r="CU185" s="2" t="s">
        <v>2097</v>
      </c>
      <c r="CV185" s="2" t="s">
        <v>2097</v>
      </c>
      <c r="CW185" s="2" t="str">
        <f>HYPERLINK(".\links\pep\AGAP006619-PA-pep.txt","AGAP006619-PA")</f>
        <v>AGAP006619-PA</v>
      </c>
      <c r="CX185" s="2" t="s">
        <v>95</v>
      </c>
      <c r="CY185" s="2">
        <v>243</v>
      </c>
      <c r="CZ185" s="2" t="s">
        <v>113</v>
      </c>
      <c r="DA185" s="2" t="s">
        <v>2104</v>
      </c>
      <c r="DB185" s="2">
        <v>0</v>
      </c>
      <c r="DC185" s="2">
        <v>1</v>
      </c>
      <c r="DD185" s="2" t="str">
        <f>HYPERLINK("https://www.kegg.jp/kegg-bin/search_pathway_text?map=aga&amp;keyword=AGAP006619&amp;mode=1&amp;viewImage=true","AGAP006619")</f>
        <v>AGAP006619</v>
      </c>
      <c r="DE185" s="2" t="s">
        <v>2096</v>
      </c>
      <c r="DF185" s="2" t="s">
        <v>93</v>
      </c>
      <c r="DG185" s="2" t="s">
        <v>94</v>
      </c>
      <c r="DH185" s="2" t="str">
        <f>HYPERLINK("https://vectorbase.org/vectorbase/app/record/gene/AGAP006619","AGAP006619-RA")</f>
        <v>AGAP006619-RA</v>
      </c>
      <c r="DI185" s="2" t="s">
        <v>135</v>
      </c>
      <c r="DJ185" s="2">
        <v>866</v>
      </c>
      <c r="DK185" s="2" t="str">
        <f>HYPERLINK(".\links\netoglyc\AGAP006619-PA-netoglyc.txt","9")</f>
        <v>9</v>
      </c>
      <c r="DL185" s="2">
        <v>13.2</v>
      </c>
      <c r="DM185" s="2">
        <v>3.7</v>
      </c>
      <c r="DN185" s="2">
        <v>7.8</v>
      </c>
      <c r="DO185" s="2" t="s">
        <v>104</v>
      </c>
      <c r="DP185" s="2" t="s">
        <v>2105</v>
      </c>
      <c r="DQ185" s="2" t="str">
        <f>HYPERLINK(".\links\Sigp\AGAP006619-PA-SigP.txt","CYT")</f>
        <v>CYT</v>
      </c>
      <c r="DR185" s="2" t="s">
        <v>102</v>
      </c>
      <c r="DS185" s="2">
        <v>27.861000000000001</v>
      </c>
      <c r="DT185" s="2">
        <v>10.35</v>
      </c>
      <c r="DU185" s="2" t="s">
        <v>102</v>
      </c>
      <c r="DV185" s="2" t="s">
        <v>102</v>
      </c>
      <c r="DW185" s="2" t="s">
        <v>211</v>
      </c>
      <c r="DX185" s="2">
        <v>243</v>
      </c>
      <c r="DY185" s="12">
        <v>0</v>
      </c>
      <c r="DZ185" s="2" t="s">
        <v>102</v>
      </c>
      <c r="EA185" s="2" t="s">
        <v>102</v>
      </c>
      <c r="EB185" s="2" t="s">
        <v>102</v>
      </c>
      <c r="EC185" s="2" t="str">
        <f>HYPERLINK(".\links\gpi\AGAP006619-PA-gpi.txt","N")</f>
        <v>N</v>
      </c>
      <c r="ED185" s="2">
        <v>0.45</v>
      </c>
      <c r="EE185" s="2" t="s">
        <v>2106</v>
      </c>
      <c r="EF185" s="2">
        <v>1</v>
      </c>
      <c r="EG185" s="2" t="s">
        <v>102</v>
      </c>
      <c r="EH185" s="2" t="s">
        <v>102</v>
      </c>
      <c r="EI185" s="2">
        <v>13.1687242798354</v>
      </c>
      <c r="EJ185" s="2">
        <v>7.8189300411522602</v>
      </c>
      <c r="EK185" s="2">
        <v>3.7037037037037002</v>
      </c>
      <c r="EL185" s="2">
        <v>11.522633744856</v>
      </c>
      <c r="EM185" s="2" t="s">
        <v>102</v>
      </c>
      <c r="EN185" s="2">
        <v>1</v>
      </c>
      <c r="EO185" s="2">
        <v>1</v>
      </c>
      <c r="EP185" s="2" t="s">
        <v>102</v>
      </c>
      <c r="EQ185" s="2" t="s">
        <v>102</v>
      </c>
      <c r="ER185" s="2" t="s">
        <v>102</v>
      </c>
      <c r="ES185" s="2" t="s">
        <v>102</v>
      </c>
      <c r="ET185" s="2" t="str">
        <f>HYPERLINK(".\links\REFSEQ-INVERTEBRATE\AGAP006619-PA-REFSEQ-INVERTEBRATE.txt","AGAP006619-PA")</f>
        <v>AGAP006619-PA</v>
      </c>
      <c r="EU185" s="2" t="str">
        <f>HYPERLINK("http://www.ncbi.nlm.nih.gov/sutils/blink.cgi?pid=XP_001688934.1","1E-172")</f>
        <v>1E-172</v>
      </c>
      <c r="EV185" s="2" t="str">
        <f>HYPERLINK("http://www.ncbi.nlm.nih.gov/protein/XP_001688934.1","XP_001688934.1")</f>
        <v>XP_001688934.1</v>
      </c>
      <c r="EW185" s="2">
        <v>100</v>
      </c>
      <c r="EX185" s="2">
        <v>100</v>
      </c>
      <c r="EY185" s="2">
        <v>100</v>
      </c>
      <c r="EZ185" s="2" t="s">
        <v>105</v>
      </c>
    </row>
    <row r="186" spans="1:156" x14ac:dyDescent="0.25">
      <c r="A186" s="2" t="s">
        <v>2107</v>
      </c>
      <c r="B186" s="2">
        <v>0.32664577243294501</v>
      </c>
      <c r="C186" s="2">
        <f t="shared" si="2"/>
        <v>1.254094246648674</v>
      </c>
      <c r="D186" s="2">
        <v>8.2545436793142901</v>
      </c>
      <c r="E186" s="2">
        <v>10.0224555290271</v>
      </c>
      <c r="F186" s="2">
        <v>1.5464316170970399E-3</v>
      </c>
      <c r="G186" s="2">
        <v>3.8582490092383202E-2</v>
      </c>
      <c r="H186" s="2" t="s">
        <v>2108</v>
      </c>
      <c r="I186" s="2" t="s">
        <v>94</v>
      </c>
      <c r="J186" s="2" t="str">
        <f>HYPERLINK("https://vectorbase.org/vectorbase/app/record/gene/AGAP004682","AGAP004682-RA")</f>
        <v>AGAP004682-RA</v>
      </c>
      <c r="K186" s="2" t="str">
        <f>HYPERLINK(".\links\pep\AGAP004682-PA-pep.txt","AGAP004682-PA")</f>
        <v>AGAP004682-PA</v>
      </c>
      <c r="L186" s="12" t="s">
        <v>95</v>
      </c>
      <c r="M186" s="2">
        <v>549</v>
      </c>
      <c r="N186" s="2">
        <v>0</v>
      </c>
      <c r="O186" s="2">
        <v>1</v>
      </c>
      <c r="P186" s="2" t="s">
        <v>2109</v>
      </c>
      <c r="Q186" s="9" t="s">
        <v>2110</v>
      </c>
      <c r="R186" s="2" t="s">
        <v>420</v>
      </c>
      <c r="S186" s="2" t="str">
        <f>HYPERLINK(".\links\KOG\AGAP004682-PA-KOG.txt","KOG")</f>
        <v>KOG</v>
      </c>
      <c r="T186" s="2">
        <v>0</v>
      </c>
      <c r="U186" s="2">
        <v>82.7</v>
      </c>
      <c r="V186" s="2" t="s">
        <v>2111</v>
      </c>
      <c r="W186" s="10" t="s">
        <v>2112</v>
      </c>
      <c r="X186" s="2" t="s">
        <v>420</v>
      </c>
      <c r="Y186" s="2" t="str">
        <f>HYPERLINK(".\links\KOG\AGAP004682-PA-KOG.txt","KOG")</f>
        <v>KOG</v>
      </c>
      <c r="Z186" s="15">
        <v>0</v>
      </c>
      <c r="AA186" s="2">
        <v>69.099999999999994</v>
      </c>
      <c r="AB186" s="13" t="s">
        <v>102</v>
      </c>
      <c r="AC186" s="13" t="str">
        <f>HYPERLINK(".\links\Sigp\AGAP004682-PA-SigP.txt","CYT")</f>
        <v>CYT</v>
      </c>
      <c r="AD186" s="2" t="s">
        <v>102</v>
      </c>
      <c r="AE186" s="2">
        <v>63.164000000000001</v>
      </c>
      <c r="AF186" s="2">
        <v>9.66</v>
      </c>
      <c r="AG186" s="2" t="s">
        <v>102</v>
      </c>
      <c r="AH186" s="2" t="s">
        <v>102</v>
      </c>
      <c r="AI186" s="2" t="s">
        <v>1167</v>
      </c>
      <c r="AJ186" s="13">
        <v>0</v>
      </c>
      <c r="AK186" s="2" t="s">
        <v>102</v>
      </c>
      <c r="AL186" s="2" t="s">
        <v>102</v>
      </c>
      <c r="AM186" s="2" t="s">
        <v>102</v>
      </c>
      <c r="AN186" s="13" t="str">
        <f>HYPERLINK(".\links\gpi\AGAP004682-PA-gpi.txt","N")</f>
        <v>N</v>
      </c>
      <c r="AO186" s="14" t="str">
        <f>HYPERLINK(".\links\netoglyc\AGAP004682-PA-netoglyc.txt","1")</f>
        <v>1</v>
      </c>
      <c r="AP186" s="13">
        <v>12.2</v>
      </c>
      <c r="AQ186" s="2">
        <v>3.8</v>
      </c>
      <c r="AR186" s="2">
        <v>4.2</v>
      </c>
      <c r="AS186" s="2" t="s">
        <v>104</v>
      </c>
      <c r="AT186" s="9" t="str">
        <f>HYPERLINK(".\links\NR-LIGHT\AGAP004682-PA-NR-LIGHT.txt","AGAP004682-PA")</f>
        <v>AGAP004682-PA</v>
      </c>
      <c r="AU186" s="2" t="str">
        <f>HYPERLINK("http://www.ncbi.nlm.nih.gov/sutils/blink.cgi?pid=XP_307259.4","0.0")</f>
        <v>0.0</v>
      </c>
      <c r="AV186" s="2" t="str">
        <f>HYPERLINK("http://www.ncbi.nlm.nih.gov/protein/XP_307259.4","XP_307259.4")</f>
        <v>XP_307259.4</v>
      </c>
      <c r="AW186" s="2">
        <v>100</v>
      </c>
      <c r="AX186" s="2">
        <v>100</v>
      </c>
      <c r="AY186" s="2">
        <v>100</v>
      </c>
      <c r="AZ186" s="2" t="s">
        <v>105</v>
      </c>
      <c r="BA186" s="9" t="str">
        <f>HYPERLINK(".\links\REFSEQ-INVERTEBRATE\AGAP004682-PA-REFSEQ-INVERTEBRATE.txt","AGAP004682-PA")</f>
        <v>AGAP004682-PA</v>
      </c>
      <c r="BB186" s="2" t="str">
        <f>HYPERLINK("http://www.ncbi.nlm.nih.gov/sutils/blink.cgi?pid=XP_307259.4","0.0")</f>
        <v>0.0</v>
      </c>
      <c r="BC186" s="2" t="str">
        <f>HYPERLINK("http://www.ncbi.nlm.nih.gov/protein/XP_307259.4","XP_307259.4")</f>
        <v>XP_307259.4</v>
      </c>
      <c r="BD186" s="2">
        <v>100</v>
      </c>
      <c r="BE186" s="2">
        <v>100</v>
      </c>
      <c r="BF186" s="2">
        <v>100</v>
      </c>
      <c r="BG186" s="2" t="s">
        <v>105</v>
      </c>
      <c r="BH186" s="9" t="str">
        <f>HYPERLINK(".\links\REFSEQ-PROTOZOA\AGAP004682-PA-REFSEQ-PROTOZOA.txt","hypothetical protein PTSG_12874")</f>
        <v>hypothetical protein PTSG_12874</v>
      </c>
      <c r="BI186" s="2" t="str">
        <f>HYPERLINK("http://www.ncbi.nlm.nih.gov/sutils/blink.cgi?pid=XP_004989608.1","5E-097")</f>
        <v>5E-097</v>
      </c>
      <c r="BJ186" s="2" t="str">
        <f>HYPERLINK("http://www.ncbi.nlm.nih.gov/protein/XP_004989608.1","XP_004989608.1")</f>
        <v>XP_004989608.1</v>
      </c>
      <c r="BK186" s="2">
        <v>38</v>
      </c>
      <c r="BL186" s="2">
        <v>56</v>
      </c>
      <c r="BM186" s="2">
        <v>101</v>
      </c>
      <c r="BN186" s="2" t="s">
        <v>435</v>
      </c>
      <c r="BO186" s="9" t="str">
        <f>HYPERLINK(".\links\SWISSP\AGAP004682-PA-SWISSP.txt","U4/U6 small nuclear ribonucleoprotein Prp3")</f>
        <v>U4/U6 small nuclear ribonucleoprotein Prp3</v>
      </c>
      <c r="BP186" s="2" t="str">
        <f>HYPERLINK("http://www.uniprot.org/uniprot/Q5ZJ85","1E-140")</f>
        <v>1E-140</v>
      </c>
      <c r="BQ186" s="2" t="str">
        <f>HYPERLINK("http://www.uniprot.org/uniprot/Q5ZJ85#expression","Q5ZJ85")</f>
        <v>Q5ZJ85</v>
      </c>
      <c r="BR186" s="2">
        <v>50</v>
      </c>
      <c r="BS186" s="2">
        <v>65</v>
      </c>
      <c r="BT186" s="2">
        <v>82</v>
      </c>
      <c r="BU186" s="2" t="s">
        <v>483</v>
      </c>
      <c r="BV186" s="9" t="str">
        <f>HYPERLINK(".\links\FLYBASE\AGAP004682-PA-FLYBASE.txt","FBpp0074660")</f>
        <v>FBpp0074660</v>
      </c>
      <c r="BW186" s="2" t="str">
        <f>HYPERLINK("http://flybase.org/reports/FBgn0036915#alliance_summary_container","0.0")</f>
        <v>0.0</v>
      </c>
      <c r="BX186" s="2">
        <v>598</v>
      </c>
      <c r="BY186" s="2">
        <v>65</v>
      </c>
      <c r="BZ186" s="2">
        <v>75</v>
      </c>
      <c r="CA186" s="2">
        <v>94</v>
      </c>
      <c r="CB186" s="9" t="str">
        <f>HYPERLINK(".\links\CDD\AGAP004682-PA-CDD.txt","PRP3, pre-mRNA processing factor 3 (PRP3)")</f>
        <v>PRP3, pre-mRNA processing factor 3 (PRP3)</v>
      </c>
      <c r="CC186" s="15">
        <v>6.9999999999999999E-78</v>
      </c>
      <c r="CD186" s="2">
        <v>101.4</v>
      </c>
      <c r="CE186" s="2" t="s">
        <v>2113</v>
      </c>
      <c r="CF186" s="2" t="s">
        <v>2114</v>
      </c>
      <c r="CG186" s="9" t="str">
        <f>HYPERLINK(".\links\KOG\AGAP004682-PA-KOG.txt","Putative u4/u6 small nuclear ribonucleoprotein")</f>
        <v>Putative u4/u6 small nuclear ribonucleoprotein</v>
      </c>
      <c r="CH186" s="15">
        <v>1.0000000000000001E-133</v>
      </c>
      <c r="CI186" s="2">
        <v>82.8</v>
      </c>
      <c r="CJ186" s="2" t="s">
        <v>2115</v>
      </c>
      <c r="CK186" s="2" t="s">
        <v>722</v>
      </c>
      <c r="CL186" s="9" t="str">
        <f>HYPERLINK(".\links\PFAM\AGAP004682-PA-PFAM.txt","PRP3, pre-mRNA processing factor 3 (PRP3)")</f>
        <v>PRP3, pre-mRNA processing factor 3 (PRP3)</v>
      </c>
      <c r="CM186" s="15">
        <v>1E-78</v>
      </c>
      <c r="CN186" s="2">
        <v>101.4</v>
      </c>
      <c r="CO186" s="2" t="s">
        <v>2113</v>
      </c>
      <c r="CP186" s="9" t="str">
        <f>HYPERLINK(".\links\SMART\AGAP004682-PA-SMART.txt","PIPKc, Phosphatidylinositol phosphate kinases")</f>
        <v>PIPKc, Phosphatidylinositol phosphate kinases</v>
      </c>
      <c r="CQ186" s="15">
        <v>0.11</v>
      </c>
      <c r="CR186" s="2">
        <v>50.6</v>
      </c>
      <c r="CS186" s="2" t="s">
        <v>2116</v>
      </c>
      <c r="CT186" s="2" t="s">
        <v>2111</v>
      </c>
      <c r="CU186" s="2" t="s">
        <v>2111</v>
      </c>
      <c r="CV186" s="2" t="s">
        <v>2111</v>
      </c>
      <c r="CW186" s="2" t="str">
        <f>HYPERLINK(".\links\pep\AGAP004682-PA-pep.txt","AGAP004682-PA")</f>
        <v>AGAP004682-PA</v>
      </c>
      <c r="CX186" s="2" t="s">
        <v>95</v>
      </c>
      <c r="CY186" s="2">
        <v>549</v>
      </c>
      <c r="CZ186" s="2" t="s">
        <v>113</v>
      </c>
      <c r="DA186" s="2" t="s">
        <v>2117</v>
      </c>
      <c r="DB186" s="2">
        <v>0</v>
      </c>
      <c r="DC186" s="2">
        <v>1</v>
      </c>
      <c r="DD186" s="2" t="str">
        <f>HYPERLINK("https://www.kegg.jp/kegg-bin/search_pathway_text?map=aga&amp;keyword=AGAP004682&amp;mode=1&amp;viewImage=true","AGAP004682")</f>
        <v>AGAP004682</v>
      </c>
      <c r="DE186" s="2" t="s">
        <v>2107</v>
      </c>
      <c r="DF186" s="2" t="s">
        <v>2108</v>
      </c>
      <c r="DG186" s="2" t="s">
        <v>94</v>
      </c>
      <c r="DH186" s="2" t="str">
        <f>HYPERLINK("https://vectorbase.org/vectorbase/app/record/gene/AGAP004682","AGAP004682-RA")</f>
        <v>AGAP004682-RA</v>
      </c>
      <c r="DI186" s="2" t="s">
        <v>90</v>
      </c>
      <c r="DJ186" s="2">
        <v>2073</v>
      </c>
      <c r="DK186" s="2" t="str">
        <f>HYPERLINK(".\links\netoglyc\AGAP004682-PA-netoglyc.txt","1")</f>
        <v>1</v>
      </c>
      <c r="DL186" s="2">
        <v>12.2</v>
      </c>
      <c r="DM186" s="2">
        <v>3.8</v>
      </c>
      <c r="DN186" s="2">
        <v>4.2</v>
      </c>
      <c r="DO186" s="2" t="s">
        <v>104</v>
      </c>
      <c r="DP186" s="2" t="s">
        <v>2118</v>
      </c>
      <c r="DQ186" s="2" t="str">
        <f>HYPERLINK(".\links\Sigp\AGAP004682-PA-SigP.txt","CYT")</f>
        <v>CYT</v>
      </c>
      <c r="DR186" s="2" t="s">
        <v>102</v>
      </c>
      <c r="DS186" s="2">
        <v>63.164000000000001</v>
      </c>
      <c r="DT186" s="2">
        <v>9.66</v>
      </c>
      <c r="DU186" s="2" t="s">
        <v>102</v>
      </c>
      <c r="DV186" s="2" t="s">
        <v>102</v>
      </c>
      <c r="DW186" s="2" t="s">
        <v>1167</v>
      </c>
      <c r="DX186" s="2">
        <v>549</v>
      </c>
      <c r="DY186" s="12">
        <v>0</v>
      </c>
      <c r="DZ186" s="2" t="s">
        <v>102</v>
      </c>
      <c r="EA186" s="2" t="s">
        <v>102</v>
      </c>
      <c r="EB186" s="2" t="s">
        <v>102</v>
      </c>
      <c r="EC186" s="2" t="str">
        <f>HYPERLINK(".\links\gpi\AGAP004682-PA-gpi.txt","Y-NoSP")</f>
        <v>Y-NoSP</v>
      </c>
      <c r="ED186" s="2">
        <v>0.24</v>
      </c>
      <c r="EF186" s="2">
        <v>3</v>
      </c>
      <c r="EG186" s="2" t="s">
        <v>102</v>
      </c>
      <c r="EH186" s="2" t="s">
        <v>102</v>
      </c>
      <c r="EI186" s="2">
        <v>12.2040072859745</v>
      </c>
      <c r="EJ186" s="2">
        <v>4.1894353369763202</v>
      </c>
      <c r="EK186" s="2">
        <v>3.8251366120218599</v>
      </c>
      <c r="EL186" s="2">
        <v>8.0145719489981797</v>
      </c>
      <c r="EM186" s="2" t="s">
        <v>102</v>
      </c>
      <c r="EN186" s="2" t="s">
        <v>102</v>
      </c>
      <c r="EO186" s="2">
        <v>1</v>
      </c>
      <c r="EP186" s="2" t="s">
        <v>102</v>
      </c>
      <c r="EQ186" s="2" t="s">
        <v>102</v>
      </c>
      <c r="ER186" s="2" t="s">
        <v>102</v>
      </c>
      <c r="ES186" s="2" t="s">
        <v>102</v>
      </c>
      <c r="ET186" s="2" t="str">
        <f>HYPERLINK(".\links\REFSEQ-INVERTEBRATE\AGAP004682-PA-REFSEQ-INVERTEBRATE.txt","AGAP004682-PA")</f>
        <v>AGAP004682-PA</v>
      </c>
      <c r="EU186" s="2" t="str">
        <f>HYPERLINK("http://www.ncbi.nlm.nih.gov/sutils/blink.cgi?pid=XP_307259.4","0.0")</f>
        <v>0.0</v>
      </c>
      <c r="EV186" s="2" t="str">
        <f>HYPERLINK("http://www.ncbi.nlm.nih.gov/protein/XP_307259.4","XP_307259.4")</f>
        <v>XP_307259.4</v>
      </c>
      <c r="EW186" s="2">
        <v>100</v>
      </c>
      <c r="EX186" s="2">
        <v>100</v>
      </c>
      <c r="EY186" s="2">
        <v>100</v>
      </c>
      <c r="EZ186" s="2" t="s">
        <v>105</v>
      </c>
    </row>
    <row r="187" spans="1:156" x14ac:dyDescent="0.25">
      <c r="A187" s="2" t="s">
        <v>2119</v>
      </c>
      <c r="B187" s="2">
        <v>0.32625740730504998</v>
      </c>
      <c r="C187" s="2">
        <f t="shared" si="2"/>
        <v>1.2537566971946794</v>
      </c>
      <c r="D187" s="2">
        <v>5.5858443487048604</v>
      </c>
      <c r="E187" s="2">
        <v>8.8393503653400192</v>
      </c>
      <c r="F187" s="2">
        <v>2.9480406343855101E-3</v>
      </c>
      <c r="G187" s="2">
        <v>4.9803632520221103E-2</v>
      </c>
      <c r="H187" s="2" t="s">
        <v>2120</v>
      </c>
      <c r="I187" s="2" t="s">
        <v>94</v>
      </c>
      <c r="J187" s="2" t="str">
        <f>HYPERLINK("https://vectorbase.org/vectorbase/app/record/gene/AGAP003725","AGAP003725-RA")</f>
        <v>AGAP003725-RA</v>
      </c>
      <c r="K187" s="2" t="str">
        <f>HYPERLINK(".\links\pep\AGAP003725-PA-pep.txt","AGAP003725-PA")</f>
        <v>AGAP003725-PA</v>
      </c>
      <c r="L187" s="12" t="s">
        <v>95</v>
      </c>
      <c r="M187" s="2">
        <v>834</v>
      </c>
      <c r="N187" s="2">
        <v>0</v>
      </c>
      <c r="O187" s="2">
        <v>6</v>
      </c>
      <c r="P187" s="2" t="s">
        <v>2121</v>
      </c>
      <c r="Q187" s="9" t="s">
        <v>2122</v>
      </c>
      <c r="R187" s="2" t="s">
        <v>1193</v>
      </c>
      <c r="S187" s="2" t="str">
        <f>HYPERLINK(".\links\PFAM\AGAP003725-PA-PFAM.txt","PFAM")</f>
        <v>PFAM</v>
      </c>
      <c r="T187" s="2">
        <v>9.0000000000000002E-40</v>
      </c>
      <c r="U187" s="2">
        <v>100.5</v>
      </c>
      <c r="V187" s="2" t="s">
        <v>2123</v>
      </c>
      <c r="W187" s="10" t="s">
        <v>2124</v>
      </c>
      <c r="X187" s="2" t="s">
        <v>2125</v>
      </c>
      <c r="Y187" s="2" t="str">
        <f>HYPERLINK(".\links\UNIPROTKB\AGAP003725-PA-UNIPROTKB.txt","UNIPROTKB")</f>
        <v>UNIPROTKB</v>
      </c>
      <c r="Z187" s="2">
        <v>0</v>
      </c>
      <c r="AA187" s="2">
        <v>98.3</v>
      </c>
      <c r="AB187" s="13" t="s">
        <v>102</v>
      </c>
      <c r="AC187" s="13" t="str">
        <f>HYPERLINK(".\links\Sigp\AGAP003725-PA-SigP.txt","CYT")</f>
        <v>CYT</v>
      </c>
      <c r="AD187" s="2" t="s">
        <v>102</v>
      </c>
      <c r="AE187" s="2">
        <v>92.284999999999997</v>
      </c>
      <c r="AF187" s="2">
        <v>6.65</v>
      </c>
      <c r="AG187" s="2" t="s">
        <v>102</v>
      </c>
      <c r="AH187" s="2" t="s">
        <v>102</v>
      </c>
      <c r="AI187" s="2" t="s">
        <v>2126</v>
      </c>
      <c r="AJ187" s="13" t="str">
        <f>HYPERLINK(".\links\tmhmm\AGAP003725-PA-tmhmm.txt","1")</f>
        <v>1</v>
      </c>
      <c r="AK187" s="2">
        <v>2.6</v>
      </c>
      <c r="AL187" s="2">
        <v>92.1</v>
      </c>
      <c r="AM187" s="2">
        <v>5.3</v>
      </c>
      <c r="AN187" s="13" t="str">
        <f>HYPERLINK(".\links\gpi\AGAP003725-PA-gpi.txt","N")</f>
        <v>N</v>
      </c>
      <c r="AO187" s="14" t="str">
        <f>HYPERLINK(".\links\netoglyc\AGAP003725-PA-netoglyc.txt","1")</f>
        <v>1</v>
      </c>
      <c r="AP187" s="13">
        <v>15.2</v>
      </c>
      <c r="AQ187" s="2">
        <v>6</v>
      </c>
      <c r="AR187" s="2">
        <v>5.5</v>
      </c>
      <c r="AS187" s="2" t="s">
        <v>104</v>
      </c>
      <c r="AT187" s="9" t="str">
        <f>HYPERLINK(".\links\NR-LIGHT\AGAP003725-PA-NR-LIGHT.txt","AGAP003725-PB")</f>
        <v>AGAP003725-PB</v>
      </c>
      <c r="AU187" s="2" t="str">
        <f>HYPERLINK("http://www.ncbi.nlm.nih.gov/sutils/blink.cgi?pid=XP_003436586.1","0.0")</f>
        <v>0.0</v>
      </c>
      <c r="AV187" s="2" t="str">
        <f>HYPERLINK("http://www.ncbi.nlm.nih.gov/protein/XP_003436586.1","XP_003436586.1")</f>
        <v>XP_003436586.1</v>
      </c>
      <c r="AW187" s="2">
        <v>100</v>
      </c>
      <c r="AX187" s="2">
        <v>100</v>
      </c>
      <c r="AY187" s="2">
        <v>100</v>
      </c>
      <c r="AZ187" s="2" t="s">
        <v>105</v>
      </c>
      <c r="BA187" s="9" t="str">
        <f>HYPERLINK(".\links\REFSEQ-INVERTEBRATE\AGAP003725-PA-REFSEQ-INVERTEBRATE.txt","AGAP003725-PA")</f>
        <v>AGAP003725-PA</v>
      </c>
      <c r="BB187" s="2" t="str">
        <f>HYPERLINK("http://www.ncbi.nlm.nih.gov/sutils/blink.cgi?pid=XP_559490.6","0.0")</f>
        <v>0.0</v>
      </c>
      <c r="BC187" s="2" t="str">
        <f>HYPERLINK("http://www.ncbi.nlm.nih.gov/protein/XP_559490.6","XP_559490.6")</f>
        <v>XP_559490.6</v>
      </c>
      <c r="BD187" s="2">
        <v>100</v>
      </c>
      <c r="BE187" s="2">
        <v>100</v>
      </c>
      <c r="BF187" s="2">
        <v>100</v>
      </c>
      <c r="BG187" s="2" t="s">
        <v>105</v>
      </c>
      <c r="BH187" s="9" t="str">
        <f>HYPERLINK(".\links\REFSEQ-PROTOZOA\AGAP003725-PA-REFSEQ-PROTOZOA.txt","plant synaptotagmin")</f>
        <v>plant synaptotagmin</v>
      </c>
      <c r="BI187" s="2" t="str">
        <f>HYPERLINK("http://www.ncbi.nlm.nih.gov/sutils/blink.cgi?pid=XP_013761147.1","2E-039")</f>
        <v>2E-039</v>
      </c>
      <c r="BJ187" s="2" t="str">
        <f>HYPERLINK("http://www.ncbi.nlm.nih.gov/protein/XP_013761147.1","XP_013761147.1")</f>
        <v>XP_013761147.1</v>
      </c>
      <c r="BK187" s="2">
        <v>27</v>
      </c>
      <c r="BL187" s="2">
        <v>44</v>
      </c>
      <c r="BM187" s="2">
        <v>51</v>
      </c>
      <c r="BN187" s="2" t="s">
        <v>1686</v>
      </c>
      <c r="BO187" s="9" t="str">
        <f>HYPERLINK(".\links\SWISSP\AGAP003725-PA-SWISSP.txt","Extended synaptotagmin-2")</f>
        <v>Extended synaptotagmin-2</v>
      </c>
      <c r="BP187" s="2" t="str">
        <f>HYPERLINK("http://www.uniprot.org/uniprot/A0FGR8","1E-133")</f>
        <v>1E-133</v>
      </c>
      <c r="BQ187" s="2" t="str">
        <f>HYPERLINK("http://www.uniprot.org/uniprot/A0FGR8#expression","A0FGR8")</f>
        <v>A0FGR8</v>
      </c>
      <c r="BR187" s="2">
        <v>33</v>
      </c>
      <c r="BS187" s="2">
        <v>56</v>
      </c>
      <c r="BT187" s="2">
        <v>92</v>
      </c>
      <c r="BU187" s="2" t="s">
        <v>127</v>
      </c>
      <c r="BV187" s="9" t="str">
        <f>HYPERLINK(".\links\FLYBASE\AGAP003725-PA-FLYBASE.txt","FBpp0084032")</f>
        <v>FBpp0084032</v>
      </c>
      <c r="BW187" s="2" t="str">
        <f>HYPERLINK("http://flybase.org/reports/FBgn0266758#alliance_summary_container","0.0")</f>
        <v>0.0</v>
      </c>
      <c r="BX187" s="2">
        <v>849</v>
      </c>
      <c r="BY187" s="2">
        <v>61</v>
      </c>
      <c r="BZ187" s="2">
        <v>77</v>
      </c>
      <c r="CA187" s="2">
        <v>96</v>
      </c>
      <c r="CB187" s="9" t="str">
        <f>HYPERLINK(".\links\CDD\AGAP003725-PA-CDD.txt","C2C_KIAA1228, C2 domain third repeat present in uncharacterized human KIAA1228-like proteins")</f>
        <v>C2C_KIAA1228, C2 domain third repeat present in uncharacterized human KIAA1228-like proteins</v>
      </c>
      <c r="CC187" s="15">
        <v>3.0000000000000002E-44</v>
      </c>
      <c r="CD187" s="2">
        <v>100.8</v>
      </c>
      <c r="CE187" s="2" t="s">
        <v>2127</v>
      </c>
      <c r="CF187" s="2" t="s">
        <v>2128</v>
      </c>
      <c r="CG187" s="9" t="str">
        <f>HYPERLINK(".\links\KOG\AGAP003725-PA-KOG.txt","Phosphoinositide 3-kinase")</f>
        <v>Phosphoinositide 3-kinase</v>
      </c>
      <c r="CH187" s="15">
        <v>1.0000000000000001E-17</v>
      </c>
      <c r="CI187" s="2">
        <v>7.6</v>
      </c>
      <c r="CJ187" s="2" t="s">
        <v>2129</v>
      </c>
      <c r="CK187" s="2" t="s">
        <v>173</v>
      </c>
      <c r="CL187" s="9" t="str">
        <f>HYPERLINK(".\links\PFAM\AGAP003725-PA-PFAM.txt","SMP_LBD, Synaptotagmin-like mitochondrial-lipid-binding domain")</f>
        <v>SMP_LBD, Synaptotagmin-like mitochondrial-lipid-binding domain</v>
      </c>
      <c r="CM187" s="15">
        <v>9.0000000000000002E-40</v>
      </c>
      <c r="CN187" s="2">
        <v>100.6</v>
      </c>
      <c r="CO187" s="2" t="s">
        <v>2130</v>
      </c>
      <c r="CP187" s="9" t="str">
        <f>HYPERLINK(".\links\SMART\AGAP003725-PA-SMART.txt","detects C2 domains using one or both of two profiles")</f>
        <v>detects C2 domains using one or both of two profiles</v>
      </c>
      <c r="CQ187" s="15">
        <v>7.9999999999999998E-16</v>
      </c>
      <c r="CR187" s="2">
        <v>106.9</v>
      </c>
      <c r="CS187" s="2" t="s">
        <v>2131</v>
      </c>
      <c r="CT187" s="2" t="s">
        <v>2123</v>
      </c>
      <c r="CU187" s="2" t="s">
        <v>2123</v>
      </c>
      <c r="CV187" s="2" t="s">
        <v>2123</v>
      </c>
      <c r="CW187" s="2" t="str">
        <f>HYPERLINK(".\links\pep\AGAP003725-PA-pep.txt","AGAP003725-PA")</f>
        <v>AGAP003725-PA</v>
      </c>
      <c r="CX187" s="2" t="s">
        <v>95</v>
      </c>
      <c r="CY187" s="2">
        <v>834</v>
      </c>
      <c r="CZ187" s="2" t="s">
        <v>113</v>
      </c>
      <c r="DA187" s="2" t="s">
        <v>2132</v>
      </c>
      <c r="DB187" s="2">
        <v>0</v>
      </c>
      <c r="DC187" s="2">
        <v>6</v>
      </c>
      <c r="DD187" s="2" t="str">
        <f>HYPERLINK("https://www.kegg.jp/kegg-bin/search_pathway_text?map=aga&amp;keyword=AGAP003725&amp;mode=1&amp;viewImage=true","AGAP003725")</f>
        <v>AGAP003725</v>
      </c>
      <c r="DE187" s="2" t="s">
        <v>2119</v>
      </c>
      <c r="DF187" s="2" t="s">
        <v>2120</v>
      </c>
      <c r="DG187" s="2" t="s">
        <v>94</v>
      </c>
      <c r="DH187" s="2" t="str">
        <f>HYPERLINK("https://vectorbase.org/vectorbase/app/record/gene/AGAP003725","AGAP003725-RA")</f>
        <v>AGAP003725-RA</v>
      </c>
      <c r="DI187" s="2" t="s">
        <v>135</v>
      </c>
      <c r="DJ187" s="2">
        <v>2505</v>
      </c>
      <c r="DK187" s="2" t="str">
        <f>HYPERLINK(".\links\netoglyc\AGAP003725-PA-netoglyc.txt","1")</f>
        <v>1</v>
      </c>
      <c r="DL187" s="2">
        <v>15.2</v>
      </c>
      <c r="DM187" s="2">
        <v>6</v>
      </c>
      <c r="DN187" s="2">
        <v>5.5</v>
      </c>
      <c r="DO187" s="2" t="s">
        <v>104</v>
      </c>
      <c r="DP187" s="2" t="s">
        <v>102</v>
      </c>
      <c r="DQ187" s="2" t="str">
        <f>HYPERLINK(".\links\Sigp\AGAP003725-PA-SigP.txt","CYT")</f>
        <v>CYT</v>
      </c>
      <c r="DR187" s="2" t="s">
        <v>102</v>
      </c>
      <c r="DS187" s="2">
        <v>92.284999999999997</v>
      </c>
      <c r="DT187" s="2">
        <v>6.65</v>
      </c>
      <c r="DU187" s="2" t="s">
        <v>102</v>
      </c>
      <c r="DV187" s="2" t="s">
        <v>102</v>
      </c>
      <c r="DW187" s="2" t="s">
        <v>2126</v>
      </c>
      <c r="DX187" s="2">
        <v>834</v>
      </c>
      <c r="DY187" s="12" t="str">
        <f>HYPERLINK(".\links\tmhmm\AGAP003725-PA-tmhmm.txt","1")</f>
        <v>1</v>
      </c>
      <c r="DZ187" s="2">
        <v>2.6</v>
      </c>
      <c r="EA187" s="2">
        <v>92.1</v>
      </c>
      <c r="EB187" s="2">
        <v>5.3</v>
      </c>
      <c r="EC187" s="2" t="str">
        <f>HYPERLINK(".\links\gpi\AGAP003725-PA-gpi.txt","Y-NoSP")</f>
        <v>Y-NoSP</v>
      </c>
      <c r="ED187" s="2">
        <v>0.17</v>
      </c>
      <c r="EF187" s="2">
        <v>5</v>
      </c>
      <c r="EG187" s="2" t="s">
        <v>102</v>
      </c>
      <c r="EH187" s="2" t="s">
        <v>102</v>
      </c>
      <c r="EI187" s="2">
        <v>15.227817745803399</v>
      </c>
      <c r="EJ187" s="2">
        <v>5.5155875299760204</v>
      </c>
      <c r="EK187" s="2">
        <v>5.9952038369304601</v>
      </c>
      <c r="EL187" s="2">
        <v>11.510791366906499</v>
      </c>
      <c r="EM187" s="2">
        <v>1</v>
      </c>
      <c r="EN187" s="2">
        <v>2</v>
      </c>
      <c r="EO187" s="2">
        <v>2</v>
      </c>
      <c r="EP187" s="2" t="s">
        <v>102</v>
      </c>
      <c r="EQ187" s="2" t="s">
        <v>102</v>
      </c>
      <c r="ER187" s="2" t="s">
        <v>102</v>
      </c>
      <c r="ES187" s="2" t="s">
        <v>102</v>
      </c>
      <c r="ET187" s="2" t="str">
        <f>HYPERLINK(".\links\REFSEQ-INVERTEBRATE\AGAP003725-PA-REFSEQ-INVERTEBRATE.txt","AGAP003725-PA")</f>
        <v>AGAP003725-PA</v>
      </c>
      <c r="EU187" s="2" t="str">
        <f>HYPERLINK("http://www.ncbi.nlm.nih.gov/sutils/blink.cgi?pid=XP_559490.6","0.0")</f>
        <v>0.0</v>
      </c>
      <c r="EV187" s="2" t="str">
        <f>HYPERLINK("http://www.ncbi.nlm.nih.gov/protein/XP_559490.6","XP_559490.6")</f>
        <v>XP_559490.6</v>
      </c>
      <c r="EW187" s="2">
        <v>100</v>
      </c>
      <c r="EX187" s="2">
        <v>100</v>
      </c>
      <c r="EY187" s="2">
        <v>100</v>
      </c>
      <c r="EZ187" s="2" t="s">
        <v>105</v>
      </c>
    </row>
    <row r="188" spans="1:156" x14ac:dyDescent="0.25">
      <c r="A188" s="2" t="s">
        <v>2133</v>
      </c>
      <c r="B188" s="2">
        <v>0.32614980489227802</v>
      </c>
      <c r="C188" s="2">
        <f t="shared" si="2"/>
        <v>1.2536631901048461</v>
      </c>
      <c r="D188" s="2">
        <v>6.5225523077098098</v>
      </c>
      <c r="E188" s="2">
        <v>10.8389676019817</v>
      </c>
      <c r="F188" s="2">
        <v>9.9386129990038097E-4</v>
      </c>
      <c r="G188" s="2">
        <v>3.2113124952518897E-2</v>
      </c>
      <c r="H188" s="2" t="s">
        <v>2134</v>
      </c>
      <c r="I188" s="2" t="s">
        <v>94</v>
      </c>
      <c r="J188" s="2" t="str">
        <f>HYPERLINK("https://vectorbase.org/vectorbase/app/record/gene/AGAP004467","AGAP004467-RA")</f>
        <v>AGAP004467-RA</v>
      </c>
      <c r="K188" s="2" t="str">
        <f>HYPERLINK(".\links\pep\AGAP004467-PA-pep.txt","AGAP004467-PA")</f>
        <v>AGAP004467-PA</v>
      </c>
      <c r="L188" s="12" t="s">
        <v>95</v>
      </c>
      <c r="M188" s="2">
        <v>685</v>
      </c>
      <c r="N188" s="2">
        <v>0</v>
      </c>
      <c r="O188" s="2">
        <v>1</v>
      </c>
      <c r="P188" s="2" t="s">
        <v>2135</v>
      </c>
      <c r="Q188" s="9" t="s">
        <v>2136</v>
      </c>
      <c r="R188" s="2" t="s">
        <v>388</v>
      </c>
      <c r="S188" s="2" t="str">
        <f>HYPERLINK(".\links\KOG\AGAP004467-PA-KOG.txt","KOG")</f>
        <v>KOG</v>
      </c>
      <c r="T188" s="2">
        <v>2E-70</v>
      </c>
      <c r="U188" s="2">
        <v>96.6</v>
      </c>
      <c r="V188" s="2" t="s">
        <v>2137</v>
      </c>
      <c r="W188" s="10" t="s">
        <v>2138</v>
      </c>
      <c r="X188" s="2" t="s">
        <v>388</v>
      </c>
      <c r="Y188" s="2" t="str">
        <f>HYPERLINK(".\links\KOG\AGAP004467-PA-KOG.txt","KOG")</f>
        <v>KOG</v>
      </c>
      <c r="Z188" s="15">
        <v>2.9999999999999999E-46</v>
      </c>
      <c r="AA188" s="2">
        <v>70</v>
      </c>
      <c r="AB188" s="13" t="str">
        <f>HYPERLINK(".\links\pep\AGAP004467-PA-sulf.txt","2")</f>
        <v>2</v>
      </c>
      <c r="AC188" s="13" t="str">
        <f>HYPERLINK(".\links\Sigp\AGAP004467-PA-SigP.txt","CYT")</f>
        <v>CYT</v>
      </c>
      <c r="AD188" s="2" t="s">
        <v>102</v>
      </c>
      <c r="AE188" s="2">
        <v>79.012</v>
      </c>
      <c r="AF188" s="2">
        <v>5.2</v>
      </c>
      <c r="AG188" s="2" t="s">
        <v>102</v>
      </c>
      <c r="AH188" s="2" t="s">
        <v>102</v>
      </c>
      <c r="AI188" s="2" t="s">
        <v>611</v>
      </c>
      <c r="AJ188" s="13">
        <v>0</v>
      </c>
      <c r="AK188" s="2" t="s">
        <v>102</v>
      </c>
      <c r="AL188" s="2" t="s">
        <v>102</v>
      </c>
      <c r="AM188" s="2" t="s">
        <v>102</v>
      </c>
      <c r="AN188" s="13" t="str">
        <f>HYPERLINK(".\links\gpi\AGAP004467-PA-gpi.txt","N")</f>
        <v>N</v>
      </c>
      <c r="AO188" s="14" t="str">
        <f>HYPERLINK(".\links\netoglyc\AGAP004467-PA-netoglyc.txt","0")</f>
        <v>0</v>
      </c>
      <c r="AP188" s="13">
        <v>11.8</v>
      </c>
      <c r="AQ188" s="2">
        <v>3.1</v>
      </c>
      <c r="AR188" s="2">
        <v>1.8</v>
      </c>
      <c r="AS188" s="2" t="s">
        <v>104</v>
      </c>
      <c r="AT188" s="9" t="str">
        <f>HYPERLINK(".\links\NR-LIGHT\AGAP004467-PA-NR-LIGHT.txt","AGAP004467-PA")</f>
        <v>AGAP004467-PA</v>
      </c>
      <c r="AU188" s="2" t="str">
        <f>HYPERLINK("http://www.ncbi.nlm.nih.gov/sutils/blink.cgi?pid=XP_313765.5","0.0")</f>
        <v>0.0</v>
      </c>
      <c r="AV188" s="2" t="str">
        <f>HYPERLINK("http://www.ncbi.nlm.nih.gov/protein/XP_313765.5","XP_313765.5")</f>
        <v>XP_313765.5</v>
      </c>
      <c r="AW188" s="2">
        <v>100</v>
      </c>
      <c r="AX188" s="2">
        <v>100</v>
      </c>
      <c r="AY188" s="2">
        <v>100</v>
      </c>
      <c r="AZ188" s="2" t="s">
        <v>105</v>
      </c>
      <c r="BA188" s="9" t="str">
        <f>HYPERLINK(".\links\REFSEQ-INVERTEBRATE\AGAP004467-PA-REFSEQ-INVERTEBRATE.txt","AGAP004467-PA")</f>
        <v>AGAP004467-PA</v>
      </c>
      <c r="BB188" s="2" t="str">
        <f>HYPERLINK("http://www.ncbi.nlm.nih.gov/sutils/blink.cgi?pid=XP_313765.5","0.0")</f>
        <v>0.0</v>
      </c>
      <c r="BC188" s="2" t="str">
        <f>HYPERLINK("http://www.ncbi.nlm.nih.gov/protein/XP_313765.5","XP_313765.5")</f>
        <v>XP_313765.5</v>
      </c>
      <c r="BD188" s="2">
        <v>100</v>
      </c>
      <c r="BE188" s="2">
        <v>100</v>
      </c>
      <c r="BF188" s="2">
        <v>100</v>
      </c>
      <c r="BG188" s="2" t="s">
        <v>105</v>
      </c>
      <c r="BH188" s="9" t="str">
        <f>HYPERLINK(".\links\REFSEQ-PROTOZOA\AGAP004467-PA-REFSEQ-PROTOZOA.txt","centromere/kinetochore protein zw10")</f>
        <v>centromere/kinetochore protein zw10</v>
      </c>
      <c r="BI188" s="2" t="str">
        <f>HYPERLINK("http://www.ncbi.nlm.nih.gov/sutils/blink.cgi?pid=XP_004365116.1","9E-021")</f>
        <v>9E-021</v>
      </c>
      <c r="BJ188" s="2" t="str">
        <f>HYPERLINK("http://www.ncbi.nlm.nih.gov/protein/XP_004365116.1","XP_004365116.1")</f>
        <v>XP_004365116.1</v>
      </c>
      <c r="BK188" s="2">
        <v>25</v>
      </c>
      <c r="BL188" s="2">
        <v>44</v>
      </c>
      <c r="BM188" s="2">
        <v>39</v>
      </c>
      <c r="BN188" s="2" t="s">
        <v>106</v>
      </c>
      <c r="BO188" s="9" t="str">
        <f>HYPERLINK(".\links\SWISSP\AGAP004467-PA-SWISSP.txt","Centromere/kinetochore protein zw10")</f>
        <v>Centromere/kinetochore protein zw10</v>
      </c>
      <c r="BP188" s="2" t="str">
        <f>HYPERLINK("http://www.uniprot.org/uniprot/O44218","1E-100")</f>
        <v>1E-100</v>
      </c>
      <c r="BQ188" s="2" t="str">
        <f>HYPERLINK("http://www.uniprot.org/uniprot/O44218#expression","O44218")</f>
        <v>O44218</v>
      </c>
      <c r="BR188" s="2">
        <v>30</v>
      </c>
      <c r="BS188" s="2">
        <v>54</v>
      </c>
      <c r="BT188" s="2">
        <v>98</v>
      </c>
      <c r="BU188" s="2" t="s">
        <v>1327</v>
      </c>
      <c r="BV188" s="9" t="str">
        <f>HYPERLINK(".\links\FLYBASE\AGAP004467-PA-FLYBASE.txt","FBpp0070425")</f>
        <v>FBpp0070425</v>
      </c>
      <c r="BW188" s="2" t="str">
        <f>HYPERLINK("http://flybase.org/reports/FBgn0004643#alliance_summary_container","1E-109")</f>
        <v>1E-109</v>
      </c>
      <c r="BX188" s="2">
        <v>721</v>
      </c>
      <c r="BY188" s="2">
        <v>30</v>
      </c>
      <c r="BZ188" s="2">
        <v>54</v>
      </c>
      <c r="CA188" s="2">
        <v>96</v>
      </c>
      <c r="CB188" s="9" t="str">
        <f>HYPERLINK(".\links\CDD\AGAP004467-PA-CDD.txt","Zw10, Centromere/kinetochore Zw10")</f>
        <v>Zw10, Centromere/kinetochore Zw10</v>
      </c>
      <c r="CC188" s="15">
        <v>4.0000000000000003E-43</v>
      </c>
      <c r="CD188" s="2">
        <v>95.8</v>
      </c>
      <c r="CE188" s="2" t="s">
        <v>2139</v>
      </c>
      <c r="CF188" s="2" t="s">
        <v>2140</v>
      </c>
      <c r="CG188" s="9" t="str">
        <f>HYPERLINK(".\links\KOG\AGAP004467-PA-KOG.txt","Centromere/kinetochore protein zw10 involved in mitotic chromosome segregation")</f>
        <v>Centromere/kinetochore protein zw10 involved in mitotic chromosome segregation</v>
      </c>
      <c r="CH188" s="15">
        <v>2E-70</v>
      </c>
      <c r="CI188" s="2">
        <v>96.7</v>
      </c>
      <c r="CJ188" s="2" t="s">
        <v>2141</v>
      </c>
      <c r="CK188" s="2" t="s">
        <v>700</v>
      </c>
      <c r="CL188" s="9" t="str">
        <f>HYPERLINK(".\links\PFAM\AGAP004467-PA-PFAM.txt","Zw10, Centromere/kinetochore Zw10")</f>
        <v>Zw10, Centromere/kinetochore Zw10</v>
      </c>
      <c r="CM188" s="15">
        <v>6.9999999999999995E-44</v>
      </c>
      <c r="CN188" s="2">
        <v>95.8</v>
      </c>
      <c r="CO188" s="2" t="s">
        <v>2139</v>
      </c>
      <c r="CP188" s="9" t="str">
        <f>HYPERLINK(".\links\SMART\AGAP004467-PA-SMART.txt","Flavin_Reduct, Flavin reductase like domain")</f>
        <v>Flavin_Reduct, Flavin reductase like domain</v>
      </c>
      <c r="CQ188" s="15">
        <v>4.2</v>
      </c>
      <c r="CR188" s="2">
        <v>21.1</v>
      </c>
      <c r="CS188" s="2" t="s">
        <v>560</v>
      </c>
      <c r="CT188" s="2" t="s">
        <v>2137</v>
      </c>
      <c r="CU188" s="2" t="s">
        <v>2137</v>
      </c>
      <c r="CV188" s="2" t="s">
        <v>2137</v>
      </c>
      <c r="CW188" s="2" t="str">
        <f>HYPERLINK(".\links\pep\AGAP004467-PA-pep.txt","AGAP004467-PA")</f>
        <v>AGAP004467-PA</v>
      </c>
      <c r="CX188" s="2" t="s">
        <v>95</v>
      </c>
      <c r="CY188" s="2">
        <v>685</v>
      </c>
      <c r="CZ188" s="2" t="s">
        <v>113</v>
      </c>
      <c r="DA188" s="2" t="s">
        <v>2142</v>
      </c>
      <c r="DB188" s="2">
        <v>0</v>
      </c>
      <c r="DC188" s="2">
        <v>1</v>
      </c>
      <c r="DD188" s="2" t="str">
        <f>HYPERLINK("https://www.kegg.jp/kegg-bin/search_pathway_text?map=aga&amp;keyword=AGAP004467&amp;mode=1&amp;viewImage=true","AGAP004467")</f>
        <v>AGAP004467</v>
      </c>
      <c r="DE188" s="2" t="s">
        <v>2133</v>
      </c>
      <c r="DF188" s="2" t="s">
        <v>2134</v>
      </c>
      <c r="DG188" s="2" t="s">
        <v>94</v>
      </c>
      <c r="DH188" s="2" t="str">
        <f>HYPERLINK("https://vectorbase.org/vectorbase/app/record/gene/AGAP004467","AGAP004467-RA")</f>
        <v>AGAP004467-RA</v>
      </c>
      <c r="DI188" s="2" t="s">
        <v>115</v>
      </c>
      <c r="DJ188" s="2">
        <v>2115</v>
      </c>
      <c r="DK188" s="2" t="str">
        <f>HYPERLINK(".\links\netoglyc\AGAP004467-PA-netoglyc.txt","0")</f>
        <v>0</v>
      </c>
      <c r="DL188" s="2">
        <v>11.8</v>
      </c>
      <c r="DM188" s="2">
        <v>3.1</v>
      </c>
      <c r="DN188" s="2">
        <v>1.8</v>
      </c>
      <c r="DO188" s="2" t="s">
        <v>104</v>
      </c>
      <c r="DP188" s="2" t="s">
        <v>102</v>
      </c>
      <c r="DQ188" s="2" t="str">
        <f>HYPERLINK(".\links\Sigp\AGAP004467-PA-SigP.txt","CYT")</f>
        <v>CYT</v>
      </c>
      <c r="DR188" s="2" t="s">
        <v>102</v>
      </c>
      <c r="DS188" s="2">
        <v>79.012</v>
      </c>
      <c r="DT188" s="2">
        <v>5.2</v>
      </c>
      <c r="DU188" s="2" t="s">
        <v>102</v>
      </c>
      <c r="DV188" s="2" t="s">
        <v>102</v>
      </c>
      <c r="DW188" s="2" t="s">
        <v>611</v>
      </c>
      <c r="DX188" s="2">
        <v>685</v>
      </c>
      <c r="DY188" s="12">
        <v>0</v>
      </c>
      <c r="DZ188" s="2" t="s">
        <v>102</v>
      </c>
      <c r="EA188" s="2" t="s">
        <v>102</v>
      </c>
      <c r="EB188" s="2" t="s">
        <v>102</v>
      </c>
      <c r="EC188" s="2" t="str">
        <f>HYPERLINK(".\links\gpi\AGAP004467-PA-gpi.txt","N")</f>
        <v>N</v>
      </c>
      <c r="ED188" s="2">
        <v>0.32</v>
      </c>
      <c r="EF188" s="2">
        <v>15</v>
      </c>
      <c r="EG188" s="2" t="str">
        <f>HYPERLINK(".\links\pep\AGAP004467-PA-sulf.txt","2")</f>
        <v>2</v>
      </c>
      <c r="EH188" s="2" t="s">
        <v>102</v>
      </c>
      <c r="EI188" s="2">
        <v>11.824817518248199</v>
      </c>
      <c r="EJ188" s="2">
        <v>1.75182481751825</v>
      </c>
      <c r="EK188" s="2">
        <v>3.0656934306569301</v>
      </c>
      <c r="EL188" s="2">
        <v>4.8175182481751797</v>
      </c>
      <c r="EM188" s="2" t="s">
        <v>102</v>
      </c>
      <c r="EN188" s="2" t="s">
        <v>102</v>
      </c>
      <c r="EO188" s="2" t="s">
        <v>102</v>
      </c>
      <c r="EP188" s="2" t="s">
        <v>102</v>
      </c>
      <c r="EQ188" s="2" t="s">
        <v>102</v>
      </c>
      <c r="ER188" s="2" t="s">
        <v>102</v>
      </c>
      <c r="ES188" s="2" t="s">
        <v>102</v>
      </c>
      <c r="ET188" s="2" t="str">
        <f>HYPERLINK(".\links\REFSEQ-INVERTEBRATE\AGAP004467-PA-REFSEQ-INVERTEBRATE.txt","AGAP004467-PA")</f>
        <v>AGAP004467-PA</v>
      </c>
      <c r="EU188" s="2" t="str">
        <f>HYPERLINK("http://www.ncbi.nlm.nih.gov/sutils/blink.cgi?pid=XP_313765.5","0.0")</f>
        <v>0.0</v>
      </c>
      <c r="EV188" s="2" t="str">
        <f>HYPERLINK("http://www.ncbi.nlm.nih.gov/protein/XP_313765.5","XP_313765.5")</f>
        <v>XP_313765.5</v>
      </c>
      <c r="EW188" s="2">
        <v>100</v>
      </c>
      <c r="EX188" s="2">
        <v>100</v>
      </c>
      <c r="EY188" s="2">
        <v>100</v>
      </c>
      <c r="EZ188" s="2" t="s">
        <v>105</v>
      </c>
    </row>
    <row r="189" spans="1:156" x14ac:dyDescent="0.25">
      <c r="A189" s="2" t="s">
        <v>2143</v>
      </c>
      <c r="B189" s="2">
        <v>0.32559035452437002</v>
      </c>
      <c r="C189" s="2">
        <f t="shared" si="2"/>
        <v>1.253177137028493</v>
      </c>
      <c r="D189" s="2">
        <v>8.0312129158900998</v>
      </c>
      <c r="E189" s="2">
        <v>10.4698473897383</v>
      </c>
      <c r="F189" s="2">
        <v>1.21338741747255E-3</v>
      </c>
      <c r="G189" s="2">
        <v>3.4920025753783702E-2</v>
      </c>
      <c r="H189" s="2" t="s">
        <v>93</v>
      </c>
      <c r="I189" s="2" t="s">
        <v>94</v>
      </c>
      <c r="J189" s="2" t="str">
        <f>HYPERLINK("https://vectorbase.org/vectorbase/app/record/gene/AGAP004886","AGAP004886-RB")</f>
        <v>AGAP004886-RB</v>
      </c>
      <c r="K189" s="2" t="str">
        <f>HYPERLINK(".\links\pep\AGAP004886-PB-pep.txt","AGAP004886-PB")</f>
        <v>AGAP004886-PB</v>
      </c>
      <c r="L189" s="12" t="s">
        <v>95</v>
      </c>
      <c r="M189" s="2">
        <v>281</v>
      </c>
      <c r="N189" s="2">
        <v>0</v>
      </c>
      <c r="O189" s="2">
        <v>0</v>
      </c>
      <c r="P189" s="2" t="s">
        <v>2144</v>
      </c>
      <c r="Q189" s="9" t="s">
        <v>2145</v>
      </c>
      <c r="R189" s="2" t="s">
        <v>388</v>
      </c>
      <c r="S189" s="2" t="str">
        <f>HYPERLINK(".\links\KOG\AGAP004886-PB-KOG.txt","KOG")</f>
        <v>KOG</v>
      </c>
      <c r="T189" s="2">
        <v>9.9999999999999993E-89</v>
      </c>
      <c r="U189" s="2">
        <v>95.9</v>
      </c>
      <c r="V189" s="2" t="s">
        <v>2146</v>
      </c>
      <c r="W189" s="10" t="s">
        <v>2147</v>
      </c>
      <c r="X189" s="2" t="s">
        <v>358</v>
      </c>
      <c r="Y189" s="2" t="str">
        <f>HYPERLINK(".\links\REFSEQVERTEBRATE95\AGAP004886-PB-REFSEQVERTEBRATE95.txt","REFSEQVERTEBRATE95")</f>
        <v>REFSEQVERTEBRATE95</v>
      </c>
      <c r="Z189" s="2">
        <v>0</v>
      </c>
      <c r="AA189" s="2">
        <v>103.9</v>
      </c>
      <c r="AB189" s="13" t="str">
        <f>HYPERLINK(".\links\pep\AGAP004886-PB-sulf.txt","2")</f>
        <v>2</v>
      </c>
      <c r="AC189" s="13" t="str">
        <f>HYPERLINK(".\links\Sigp\AGAP004886-PB-SigP.txt","CYT")</f>
        <v>CYT</v>
      </c>
      <c r="AD189" s="2" t="s">
        <v>102</v>
      </c>
      <c r="AE189" s="2">
        <v>32.01</v>
      </c>
      <c r="AF189" s="2">
        <v>5.2</v>
      </c>
      <c r="AG189" s="2" t="s">
        <v>102</v>
      </c>
      <c r="AH189" s="2" t="s">
        <v>102</v>
      </c>
      <c r="AI189" s="2" t="s">
        <v>198</v>
      </c>
      <c r="AJ189" s="13">
        <v>0</v>
      </c>
      <c r="AK189" s="2" t="s">
        <v>102</v>
      </c>
      <c r="AL189" s="2" t="s">
        <v>102</v>
      </c>
      <c r="AM189" s="2" t="s">
        <v>102</v>
      </c>
      <c r="AN189" s="13" t="str">
        <f>HYPERLINK(".\links\gpi\AGAP004886-PB-gpi.txt","N")</f>
        <v>N</v>
      </c>
      <c r="AO189" s="14" t="str">
        <f>HYPERLINK(".\links\netoglyc\AGAP004886-PB-netoglyc.txt","4")</f>
        <v>4</v>
      </c>
      <c r="AP189" s="13">
        <v>11</v>
      </c>
      <c r="AQ189" s="2">
        <v>5.7</v>
      </c>
      <c r="AR189" s="2">
        <v>6</v>
      </c>
      <c r="AS189" s="2" t="s">
        <v>104</v>
      </c>
      <c r="AT189" s="9" t="str">
        <f>HYPERLINK(".\links\NR-LIGHT\AGAP004886-PB-NR-LIGHT.txt","AGAP004886-PB")</f>
        <v>AGAP004886-PB</v>
      </c>
      <c r="AU189" s="2" t="str">
        <f>HYPERLINK("http://www.ncbi.nlm.nih.gov/sutils/blink.cgi?pid=XP_001688553.1","1E-161")</f>
        <v>1E-161</v>
      </c>
      <c r="AV189" s="2" t="str">
        <f>HYPERLINK("http://www.ncbi.nlm.nih.gov/protein/XP_001688553.1","XP_001688553.1")</f>
        <v>XP_001688553.1</v>
      </c>
      <c r="AW189" s="2">
        <v>100</v>
      </c>
      <c r="AX189" s="2">
        <v>100</v>
      </c>
      <c r="AY189" s="2">
        <v>100</v>
      </c>
      <c r="AZ189" s="2" t="s">
        <v>105</v>
      </c>
      <c r="BA189" s="9" t="str">
        <f>HYPERLINK(".\links\REFSEQ-INVERTEBRATE\AGAP004886-PB-REFSEQ-INVERTEBRATE.txt","AGAP004886-PB")</f>
        <v>AGAP004886-PB</v>
      </c>
      <c r="BB189" s="2" t="str">
        <f>HYPERLINK("http://www.ncbi.nlm.nih.gov/sutils/blink.cgi?pid=XP_001688553.1","1E-161")</f>
        <v>1E-161</v>
      </c>
      <c r="BC189" s="2" t="str">
        <f>HYPERLINK("http://www.ncbi.nlm.nih.gov/protein/XP_001688553.1","XP_001688553.1")</f>
        <v>XP_001688553.1</v>
      </c>
      <c r="BD189" s="2">
        <v>100</v>
      </c>
      <c r="BE189" s="2">
        <v>100</v>
      </c>
      <c r="BF189" s="2">
        <v>100</v>
      </c>
      <c r="BG189" s="2" t="s">
        <v>105</v>
      </c>
      <c r="BH189" s="9" t="str">
        <f>HYPERLINK(".\links\REFSEQ-PROTOZOA\AGAP004886-PB-REFSEQ-PROTOZOA.txt","hypothetical protein")</f>
        <v>hypothetical protein</v>
      </c>
      <c r="BI189" s="2" t="str">
        <f>HYPERLINK("http://www.ncbi.nlm.nih.gov/sutils/blink.cgi?pid=XP_001746781.1","1E-066")</f>
        <v>1E-066</v>
      </c>
      <c r="BJ189" s="2" t="str">
        <f>HYPERLINK("http://www.ncbi.nlm.nih.gov/protein/XP_001746781.1","XP_001746781.1")</f>
        <v>XP_001746781.1</v>
      </c>
      <c r="BK189" s="2">
        <v>46</v>
      </c>
      <c r="BL189" s="2">
        <v>63</v>
      </c>
      <c r="BM189" s="2">
        <v>91</v>
      </c>
      <c r="BN189" s="2" t="s">
        <v>248</v>
      </c>
      <c r="BO189" s="9" t="str">
        <f>HYPERLINK(".\links\SWISSP\AGAP004886-PB-SWISSP.txt","Microtubule-associated protein RP/EB family member 3")</f>
        <v>Microtubule-associated protein RP/EB family member 3</v>
      </c>
      <c r="BP189" s="2" t="str">
        <f>HYPERLINK("http://www.uniprot.org/uniprot/Q9UPY8","1E-085")</f>
        <v>1E-085</v>
      </c>
      <c r="BQ189" s="2" t="str">
        <f>HYPERLINK("http://www.uniprot.org/uniprot/Q9UPY8#expression","Q9UPY8")</f>
        <v>Q9UPY8</v>
      </c>
      <c r="BR189" s="2">
        <v>55</v>
      </c>
      <c r="BS189" s="2">
        <v>70</v>
      </c>
      <c r="BT189" s="2">
        <v>100</v>
      </c>
      <c r="BU189" s="2" t="s">
        <v>127</v>
      </c>
      <c r="BV189" s="9" t="str">
        <f>HYPERLINK(".\links\FLYBASE\AGAP004886-PB-FLYBASE.txt","FBpp0089088")</f>
        <v>FBpp0089088</v>
      </c>
      <c r="BW189" s="2" t="str">
        <f>HYPERLINK("http://flybase.org/reports/FBgn0027066#alliance_summary_container","1E-142")</f>
        <v>1E-142</v>
      </c>
      <c r="BX189" s="2">
        <v>290</v>
      </c>
      <c r="BY189" s="2">
        <v>68</v>
      </c>
      <c r="BZ189" s="2">
        <v>79</v>
      </c>
      <c r="CA189" s="2">
        <v>100</v>
      </c>
      <c r="CB189" s="9" t="str">
        <f>HYPERLINK(".\links\CDD\AGAP004886-PB-CDD.txt","BIM1, Microtubule-binding protein involved in cell cycle control")</f>
        <v>BIM1, Microtubule-binding protein involved in cell cycle control</v>
      </c>
      <c r="CC189" s="15">
        <v>5.0000000000000003E-38</v>
      </c>
      <c r="CD189" s="2">
        <v>85.4</v>
      </c>
      <c r="CE189" s="2" t="s">
        <v>2148</v>
      </c>
      <c r="CF189" s="2" t="s">
        <v>2149</v>
      </c>
      <c r="CG189" s="9" t="str">
        <f>HYPERLINK(".\links\KOG\AGAP004886-PB-KOG.txt","Microtubule-binding protein involved in cell cycle control")</f>
        <v>Microtubule-binding protein involved in cell cycle control</v>
      </c>
      <c r="CH189" s="15">
        <v>9.9999999999999993E-89</v>
      </c>
      <c r="CI189" s="2">
        <v>95.9</v>
      </c>
      <c r="CJ189" s="2" t="s">
        <v>2150</v>
      </c>
      <c r="CK189" s="2" t="s">
        <v>217</v>
      </c>
      <c r="CL189" s="9" t="str">
        <f>HYPERLINK(".\links\PFAM\AGAP004886-PB-PFAM.txt","EB1, EB1-like C-terminal motif")</f>
        <v>EB1, EB1-like C-terminal motif</v>
      </c>
      <c r="CM189" s="15">
        <v>2.0000000000000002E-15</v>
      </c>
      <c r="CN189" s="2">
        <v>100</v>
      </c>
      <c r="CO189" s="2" t="s">
        <v>2151</v>
      </c>
      <c r="CP189" s="9" t="str">
        <f>HYPERLINK(".\links\SMART\AGAP004886-PB-SMART.txt","CH, Calponin homology domain")</f>
        <v>CH, Calponin homology domain</v>
      </c>
      <c r="CQ189" s="15">
        <v>6.9999999999999994E-5</v>
      </c>
      <c r="CR189" s="2">
        <v>91.1</v>
      </c>
      <c r="CS189" s="2" t="s">
        <v>2152</v>
      </c>
      <c r="CT189" s="2" t="s">
        <v>2146</v>
      </c>
      <c r="CU189" s="2" t="s">
        <v>2146</v>
      </c>
      <c r="CV189" s="2" t="s">
        <v>2146</v>
      </c>
      <c r="CW189" s="2" t="str">
        <f>HYPERLINK(".\links\pep\AGAP004886-PB-pep.txt","AGAP004886-PB")</f>
        <v>AGAP004886-PB</v>
      </c>
      <c r="CX189" s="2" t="s">
        <v>95</v>
      </c>
      <c r="CY189" s="2">
        <v>281</v>
      </c>
      <c r="CZ189" s="2" t="s">
        <v>113</v>
      </c>
      <c r="DA189" s="2" t="s">
        <v>2153</v>
      </c>
      <c r="DB189" s="2">
        <v>0</v>
      </c>
      <c r="DC189" s="2">
        <v>0</v>
      </c>
      <c r="DD189" s="2" t="str">
        <f>HYPERLINK("https://www.kegg.jp/kegg-bin/search_pathway_text?map=aga&amp;keyword=AGAP004886&amp;mode=1&amp;viewImage=true","AGAP004886")</f>
        <v>AGAP004886</v>
      </c>
      <c r="DE189" s="2" t="s">
        <v>2143</v>
      </c>
      <c r="DF189" s="2" t="s">
        <v>93</v>
      </c>
      <c r="DG189" s="2" t="s">
        <v>94</v>
      </c>
      <c r="DH189" s="2" t="str">
        <f>HYPERLINK("https://vectorbase.org/vectorbase/app/record/gene/AGAP004886","AGAP004886-RB")</f>
        <v>AGAP004886-RB</v>
      </c>
      <c r="DI189" s="2" t="s">
        <v>135</v>
      </c>
      <c r="DJ189" s="2">
        <v>1393</v>
      </c>
      <c r="DK189" s="2" t="str">
        <f>HYPERLINK(".\links\netoglyc\AGAP004886-PB-netoglyc.txt","4")</f>
        <v>4</v>
      </c>
      <c r="DL189" s="2">
        <v>11</v>
      </c>
      <c r="DM189" s="2">
        <v>5.7</v>
      </c>
      <c r="DN189" s="2">
        <v>6</v>
      </c>
      <c r="DO189" s="2" t="s">
        <v>104</v>
      </c>
      <c r="DP189" s="2" t="s">
        <v>102</v>
      </c>
      <c r="DQ189" s="2" t="str">
        <f>HYPERLINK(".\links\Sigp\AGAP004886-PB-SigP.txt","CYT")</f>
        <v>CYT</v>
      </c>
      <c r="DR189" s="2" t="s">
        <v>102</v>
      </c>
      <c r="DS189" s="2">
        <v>31.998999999999999</v>
      </c>
      <c r="DT189" s="2">
        <v>5.2</v>
      </c>
      <c r="DU189" s="2" t="s">
        <v>102</v>
      </c>
      <c r="DV189" s="2" t="s">
        <v>102</v>
      </c>
      <c r="DW189" s="2" t="s">
        <v>198</v>
      </c>
      <c r="DX189" s="2">
        <v>281</v>
      </c>
      <c r="DY189" s="12">
        <v>0</v>
      </c>
      <c r="DZ189" s="2" t="s">
        <v>102</v>
      </c>
      <c r="EA189" s="2" t="s">
        <v>102</v>
      </c>
      <c r="EB189" s="2" t="s">
        <v>102</v>
      </c>
      <c r="EC189" s="2" t="str">
        <f>HYPERLINK(".\links\gpi\AGAP004886-PB-gpi.txt","N")</f>
        <v>N</v>
      </c>
      <c r="ED189" s="2">
        <v>0.24</v>
      </c>
      <c r="EF189" s="2">
        <v>4</v>
      </c>
      <c r="EG189" s="2" t="str">
        <f>HYPERLINK(".\links\pep\AGAP004886-PB-sulf.txt","2")</f>
        <v>2</v>
      </c>
      <c r="EH189" s="2" t="s">
        <v>102</v>
      </c>
      <c r="EI189" s="2">
        <v>11.0320284697509</v>
      </c>
      <c r="EJ189" s="2">
        <v>6.04982206405694</v>
      </c>
      <c r="EK189" s="2">
        <v>5.6939501779359398</v>
      </c>
      <c r="EL189" s="2">
        <v>11.7437722419929</v>
      </c>
      <c r="EM189" s="2" t="s">
        <v>102</v>
      </c>
      <c r="EN189" s="2">
        <v>2</v>
      </c>
      <c r="EO189" s="2">
        <v>2</v>
      </c>
      <c r="EP189" s="2" t="s">
        <v>102</v>
      </c>
      <c r="EQ189" s="2" t="s">
        <v>102</v>
      </c>
      <c r="ER189" s="2" t="s">
        <v>102</v>
      </c>
      <c r="ES189" s="2" t="s">
        <v>102</v>
      </c>
      <c r="ET189" s="2" t="str">
        <f>HYPERLINK(".\links\REFSEQ-INVERTEBRATE\AGAP004886-PB-REFSEQ-INVERTEBRATE.txt","AGAP004886-PB")</f>
        <v>AGAP004886-PB</v>
      </c>
      <c r="EU189" s="2" t="str">
        <f>HYPERLINK("http://www.ncbi.nlm.nih.gov/sutils/blink.cgi?pid=XP_001688553.1","0.0")</f>
        <v>0.0</v>
      </c>
      <c r="EV189" s="2" t="str">
        <f>HYPERLINK("http://www.ncbi.nlm.nih.gov/protein/XP_001688553.1","XP_001688553.1")</f>
        <v>XP_001688553.1</v>
      </c>
      <c r="EW189" s="2">
        <v>100</v>
      </c>
      <c r="EX189" s="2">
        <v>100</v>
      </c>
      <c r="EY189" s="2">
        <v>100</v>
      </c>
      <c r="EZ189" s="2" t="s">
        <v>105</v>
      </c>
    </row>
    <row r="190" spans="1:156" x14ac:dyDescent="0.25">
      <c r="A190" s="2" t="s">
        <v>2154</v>
      </c>
      <c r="B190" s="2">
        <v>0.32543622289953</v>
      </c>
      <c r="C190" s="2">
        <f t="shared" si="2"/>
        <v>1.2530432598712749</v>
      </c>
      <c r="D190" s="2">
        <v>5.9551314563263702</v>
      </c>
      <c r="E190" s="2">
        <v>15.066737274458401</v>
      </c>
      <c r="F190" s="2">
        <v>1.0377593293181201E-4</v>
      </c>
      <c r="G190" s="2">
        <v>1.0996901280032299E-2</v>
      </c>
      <c r="H190" s="2" t="s">
        <v>2155</v>
      </c>
      <c r="I190" s="2" t="s">
        <v>102</v>
      </c>
      <c r="J190" s="2" t="str">
        <f>HYPERLINK("https://vectorbase.org/vectorbase/app/record/gene/AGAP002454","AGAP002454-RA")</f>
        <v>AGAP002454-RA</v>
      </c>
      <c r="K190" s="2" t="str">
        <f>HYPERLINK(".\links\pep\AGAP002454-PA-pep.txt","AGAP002454-PA")</f>
        <v>AGAP002454-PA</v>
      </c>
      <c r="L190" s="12" t="s">
        <v>95</v>
      </c>
      <c r="M190" s="2">
        <v>229</v>
      </c>
      <c r="N190" s="2">
        <v>0</v>
      </c>
      <c r="O190" s="2">
        <v>0</v>
      </c>
      <c r="P190" s="2" t="s">
        <v>2156</v>
      </c>
      <c r="Q190" s="9" t="s">
        <v>2157</v>
      </c>
      <c r="R190" s="2" t="s">
        <v>1079</v>
      </c>
      <c r="S190" s="2" t="str">
        <f>HYPERLINK(".\links\KOG\AGAP002454-PA-KOG.txt","KOG")</f>
        <v>KOG</v>
      </c>
      <c r="T190" s="2">
        <v>7.0000000000000003E-62</v>
      </c>
      <c r="U190" s="2">
        <v>102</v>
      </c>
      <c r="V190" s="2" t="s">
        <v>2158</v>
      </c>
      <c r="W190" s="10" t="s">
        <v>2159</v>
      </c>
      <c r="X190" s="2" t="s">
        <v>1079</v>
      </c>
      <c r="Y190" s="2" t="str">
        <f>HYPERLINK(".\links\REFSEQVERTEBRATE95\AGAP002454-PA-REFSEQVERTEBRATE95.txt","REFSEQVERTEBRATE95")</f>
        <v>REFSEQVERTEBRATE95</v>
      </c>
      <c r="Z190" s="15">
        <v>5E-74</v>
      </c>
      <c r="AA190" s="2">
        <v>97.1</v>
      </c>
      <c r="AB190" s="13" t="s">
        <v>102</v>
      </c>
      <c r="AC190" s="13" t="str">
        <f>HYPERLINK(".\links\Sigp\AGAP002454-PA-SigP.txt","CYT")</f>
        <v>CYT</v>
      </c>
      <c r="AD190" s="2" t="s">
        <v>102</v>
      </c>
      <c r="AE190" s="2">
        <v>25.962</v>
      </c>
      <c r="AF190" s="2">
        <v>9.07</v>
      </c>
      <c r="AG190" s="2" t="s">
        <v>102</v>
      </c>
      <c r="AH190" s="2" t="s">
        <v>102</v>
      </c>
      <c r="AI190" s="2" t="s">
        <v>2160</v>
      </c>
      <c r="AJ190" s="13" t="str">
        <f>HYPERLINK(".\links\tmhmm\AGAP002454-PA-tmhmm.txt","1")</f>
        <v>1</v>
      </c>
      <c r="AK190" s="2">
        <v>8.3000000000000007</v>
      </c>
      <c r="AL190" s="2">
        <v>0.4</v>
      </c>
      <c r="AM190" s="2">
        <v>91.3</v>
      </c>
      <c r="AN190" s="13" t="str">
        <f>HYPERLINK(".\links\gpi\AGAP002454-PA-gpi.txt","N")</f>
        <v>N</v>
      </c>
      <c r="AO190" s="14" t="str">
        <f>HYPERLINK(".\links\netoglyc\AGAP002454-PA-netoglyc.txt","2")</f>
        <v>2</v>
      </c>
      <c r="AP190" s="13">
        <v>17</v>
      </c>
      <c r="AQ190" s="2">
        <v>5.7</v>
      </c>
      <c r="AR190" s="2">
        <v>2.2000000000000002</v>
      </c>
      <c r="AS190" s="2" t="s">
        <v>104</v>
      </c>
      <c r="AT190" s="9" t="str">
        <f>HYPERLINK(".\links\NR-LIGHT\AGAP002454-PA-NR-LIGHT.txt","AGAP002454-PA")</f>
        <v>AGAP002454-PA</v>
      </c>
      <c r="AU190" s="2" t="str">
        <f>HYPERLINK("http://www.ncbi.nlm.nih.gov/sutils/blink.cgi?pid=XP_312491.4","1E-125")</f>
        <v>1E-125</v>
      </c>
      <c r="AV190" s="2" t="str">
        <f>HYPERLINK("http://www.ncbi.nlm.nih.gov/protein/XP_312491.4","XP_312491.4")</f>
        <v>XP_312491.4</v>
      </c>
      <c r="AW190" s="2">
        <v>100</v>
      </c>
      <c r="AX190" s="2">
        <v>100</v>
      </c>
      <c r="AY190" s="2">
        <v>100</v>
      </c>
      <c r="AZ190" s="2" t="s">
        <v>105</v>
      </c>
      <c r="BA190" s="9" t="str">
        <f>HYPERLINK(".\links\REFSEQ-INVERTEBRATE\AGAP002454-PA-REFSEQ-INVERTEBRATE.txt","AGAP002454-PA")</f>
        <v>AGAP002454-PA</v>
      </c>
      <c r="BB190" s="2" t="str">
        <f>HYPERLINK("http://www.ncbi.nlm.nih.gov/sutils/blink.cgi?pid=XP_312491.4","1E-125")</f>
        <v>1E-125</v>
      </c>
      <c r="BC190" s="2" t="str">
        <f>HYPERLINK("http://www.ncbi.nlm.nih.gov/protein/XP_312491.4","XP_312491.4")</f>
        <v>XP_312491.4</v>
      </c>
      <c r="BD190" s="2">
        <v>100</v>
      </c>
      <c r="BE190" s="2">
        <v>100</v>
      </c>
      <c r="BF190" s="2">
        <v>100</v>
      </c>
      <c r="BG190" s="2" t="s">
        <v>105</v>
      </c>
      <c r="BH190" s="9" t="str">
        <f>HYPERLINK(".\links\REFSEQ-PROTOZOA\AGAP002454-PA-REFSEQ-PROTOZOA.txt","vesicle transport V-SNARE protein")</f>
        <v>vesicle transport V-SNARE protein</v>
      </c>
      <c r="BI190" s="2" t="str">
        <f>HYPERLINK("http://www.ncbi.nlm.nih.gov/sutils/blink.cgi?pid=XP_004344399.1","7E-043")</f>
        <v>7E-043</v>
      </c>
      <c r="BJ190" s="2" t="str">
        <f>HYPERLINK("http://www.ncbi.nlm.nih.gov/protein/XP_004344399.1","XP_004344399.1")</f>
        <v>XP_004344399.1</v>
      </c>
      <c r="BK190" s="2">
        <v>42</v>
      </c>
      <c r="BL190" s="2">
        <v>63</v>
      </c>
      <c r="BM190" s="2">
        <v>99</v>
      </c>
      <c r="BN190" s="2" t="s">
        <v>106</v>
      </c>
      <c r="BO190" s="9" t="str">
        <f>HYPERLINK(".\links\SWISSP\AGAP002454-PA-SWISSP.txt","Golgi SNAP receptor complex member 1")</f>
        <v>Golgi SNAP receptor complex member 1</v>
      </c>
      <c r="BP190" s="2" t="str">
        <f>HYPERLINK("http://www.uniprot.org/uniprot/Q9VE50","1E-085")</f>
        <v>1E-085</v>
      </c>
      <c r="BQ190" s="2" t="str">
        <f>HYPERLINK("http://www.uniprot.org/uniprot/Q9VE50#expression","Q9VE50")</f>
        <v>Q9VE50</v>
      </c>
      <c r="BR190" s="2">
        <v>69</v>
      </c>
      <c r="BS190" s="2">
        <v>83</v>
      </c>
      <c r="BT190" s="2">
        <v>99</v>
      </c>
      <c r="BU190" s="2" t="s">
        <v>107</v>
      </c>
      <c r="BV190" s="9" t="str">
        <f>HYPERLINK(".\links\FLYBASE\AGAP002454-PA-FLYBASE.txt","FBpp0083076")</f>
        <v>FBpp0083076</v>
      </c>
      <c r="BW190" s="2" t="str">
        <f>HYPERLINK("http://flybase.org/reports/FBgn0044871#alliance_summary_container","1E-111")</f>
        <v>1E-111</v>
      </c>
      <c r="BX190" s="2">
        <v>232</v>
      </c>
      <c r="BY190" s="2">
        <v>69</v>
      </c>
      <c r="BZ190" s="2">
        <v>83</v>
      </c>
      <c r="CA190" s="2">
        <v>99</v>
      </c>
      <c r="CB190" s="9" t="str">
        <f>HYPERLINK(".\links\CDD\AGAP002454-PA-CDD.txt","SNARE_GS28, SNARE motif of GS28")</f>
        <v>SNARE_GS28, SNARE motif of GS28</v>
      </c>
      <c r="CC190" s="15">
        <v>7.9999999999999993E-21</v>
      </c>
      <c r="CD190" s="2">
        <v>100</v>
      </c>
      <c r="CE190" s="2" t="s">
        <v>2161</v>
      </c>
      <c r="CF190" s="2" t="s">
        <v>2162</v>
      </c>
      <c r="CG190" s="9" t="str">
        <f>HYPERLINK(".\links\KOG\AGAP002454-PA-KOG.txt","SNARE protein GS28")</f>
        <v>SNARE protein GS28</v>
      </c>
      <c r="CH190" s="15">
        <v>7.0000000000000003E-62</v>
      </c>
      <c r="CI190" s="2">
        <v>102.6</v>
      </c>
      <c r="CJ190" s="2" t="s">
        <v>2163</v>
      </c>
      <c r="CK190" s="2" t="s">
        <v>154</v>
      </c>
      <c r="CL190" s="9" t="str">
        <f>HYPERLINK(".\links\PFAM\AGAP002454-PA-PFAM.txt","V-SNARE_C, Snare region anchored in the vesicle membrane C-terminus")</f>
        <v>V-SNARE_C, Snare region anchored in the vesicle membrane C-terminus</v>
      </c>
      <c r="CM190" s="15">
        <v>4.0000000000000001E-13</v>
      </c>
      <c r="CN190" s="2">
        <v>100</v>
      </c>
      <c r="CO190" s="2" t="s">
        <v>2164</v>
      </c>
      <c r="CP190" s="9" t="str">
        <f>HYPERLINK(".\links\SMART\AGAP002454-PA-SMART.txt","MUTSac, ATPase domain of DNA mismatch repair MUTS family")</f>
        <v>MUTSac, ATPase domain of DNA mismatch repair MUTS family</v>
      </c>
      <c r="CQ190" s="15">
        <v>1.8</v>
      </c>
      <c r="CR190" s="2">
        <v>17.3</v>
      </c>
      <c r="CS190" s="2" t="s">
        <v>755</v>
      </c>
      <c r="CT190" s="2" t="s">
        <v>2158</v>
      </c>
      <c r="CU190" s="2" t="s">
        <v>2158</v>
      </c>
      <c r="CV190" s="2" t="s">
        <v>2158</v>
      </c>
      <c r="CW190" s="2" t="str">
        <f>HYPERLINK(".\links\pep\AGAP002454-PA-pep.txt","AGAP002454-PA")</f>
        <v>AGAP002454-PA</v>
      </c>
      <c r="CX190" s="2" t="s">
        <v>95</v>
      </c>
      <c r="CY190" s="2">
        <v>229</v>
      </c>
      <c r="CZ190" s="2" t="s">
        <v>113</v>
      </c>
      <c r="DA190" s="2">
        <v>0</v>
      </c>
      <c r="DB190" s="2">
        <v>0</v>
      </c>
      <c r="DD190" s="2" t="str">
        <f>HYPERLINK("https://www.kegg.jp/kegg-bin/search_pathway_text?map=aga&amp;keyword=AGAP002454&amp;mode=1&amp;viewImage=true","AGAP002454")</f>
        <v>AGAP002454</v>
      </c>
      <c r="DE190" s="2" t="s">
        <v>2154</v>
      </c>
      <c r="DF190" s="2" t="s">
        <v>2155</v>
      </c>
      <c r="DG190" s="2" t="s">
        <v>102</v>
      </c>
      <c r="DH190" s="2" t="str">
        <f>HYPERLINK("https://vectorbase.org/vectorbase/app/record/gene/AGAP002454","AGAP002454-RA")</f>
        <v>AGAP002454-RA</v>
      </c>
      <c r="DI190" s="2" t="s">
        <v>115</v>
      </c>
      <c r="DJ190" s="2">
        <v>1062</v>
      </c>
      <c r="DK190" s="2" t="str">
        <f>HYPERLINK(".\links\netoglyc\AGAP002454-PA-netoglyc.txt","2")</f>
        <v>2</v>
      </c>
      <c r="DL190" s="2">
        <v>17</v>
      </c>
      <c r="DM190" s="2">
        <v>5.7</v>
      </c>
      <c r="DN190" s="2">
        <v>2.2000000000000002</v>
      </c>
      <c r="DO190" s="2" t="s">
        <v>104</v>
      </c>
      <c r="DP190" s="2" t="s">
        <v>102</v>
      </c>
      <c r="DQ190" s="2" t="str">
        <f>HYPERLINK(".\links\Sigp\AGAP002454-PA-SigP.txt","CYT")</f>
        <v>CYT</v>
      </c>
      <c r="DR190" s="2" t="s">
        <v>102</v>
      </c>
      <c r="DS190" s="2">
        <v>25.962</v>
      </c>
      <c r="DT190" s="2">
        <v>9.07</v>
      </c>
      <c r="DU190" s="2" t="s">
        <v>102</v>
      </c>
      <c r="DV190" s="2" t="s">
        <v>102</v>
      </c>
      <c r="DW190" s="2" t="s">
        <v>2160</v>
      </c>
      <c r="DX190" s="2">
        <v>229</v>
      </c>
      <c r="DY190" s="12" t="str">
        <f>HYPERLINK(".\links\tmhmm\AGAP002454-PA-tmhmm.txt","1")</f>
        <v>1</v>
      </c>
      <c r="DZ190" s="2">
        <v>8.3000000000000007</v>
      </c>
      <c r="EA190" s="2">
        <v>0.4</v>
      </c>
      <c r="EB190" s="2">
        <v>91.3</v>
      </c>
      <c r="EC190" s="2" t="str">
        <f>HYPERLINK(".\links\gpi\AGAP002454-PA-gpi.txt","Y-NoSP")</f>
        <v>Y-NoSP</v>
      </c>
      <c r="ED190" s="2">
        <v>0.33</v>
      </c>
      <c r="EF190" s="2">
        <v>1</v>
      </c>
      <c r="EG190" s="2" t="s">
        <v>102</v>
      </c>
      <c r="EH190" s="2" t="s">
        <v>102</v>
      </c>
      <c r="EI190" s="2">
        <v>17.030567685589499</v>
      </c>
      <c r="EJ190" s="2">
        <v>2.1834061135371199</v>
      </c>
      <c r="EK190" s="2">
        <v>5.6768558951965096</v>
      </c>
      <c r="EL190" s="2">
        <v>7.8602620087336197</v>
      </c>
      <c r="EM190" s="2" t="s">
        <v>102</v>
      </c>
      <c r="EN190" s="2" t="s">
        <v>102</v>
      </c>
      <c r="EO190" s="2" t="s">
        <v>102</v>
      </c>
      <c r="EP190" s="2" t="s">
        <v>102</v>
      </c>
      <c r="EQ190" s="2" t="s">
        <v>102</v>
      </c>
      <c r="ER190" s="2" t="s">
        <v>102</v>
      </c>
      <c r="ES190" s="2" t="s">
        <v>102</v>
      </c>
      <c r="ET190" s="2" t="str">
        <f>HYPERLINK(".\links\REFSEQ-INVERTEBRATE\AGAP002454-PA-REFSEQ-INVERTEBRATE.txt","AGAP002454-PA")</f>
        <v>AGAP002454-PA</v>
      </c>
      <c r="EU190" s="2" t="str">
        <f>HYPERLINK("http://www.ncbi.nlm.nih.gov/sutils/blink.cgi?pid=XP_312491.4","1E-169")</f>
        <v>1E-169</v>
      </c>
      <c r="EV190" s="2" t="str">
        <f>HYPERLINK("http://www.ncbi.nlm.nih.gov/protein/XP_312491.4","XP_312491.4")</f>
        <v>XP_312491.4</v>
      </c>
      <c r="EW190" s="2">
        <v>100</v>
      </c>
      <c r="EX190" s="2">
        <v>100</v>
      </c>
      <c r="EY190" s="2">
        <v>100</v>
      </c>
      <c r="EZ190" s="2" t="s">
        <v>105</v>
      </c>
    </row>
    <row r="191" spans="1:156" x14ac:dyDescent="0.25">
      <c r="A191" s="2" t="s">
        <v>2165</v>
      </c>
      <c r="B191" s="2">
        <v>0.32413924182732001</v>
      </c>
      <c r="C191" s="2">
        <f t="shared" si="2"/>
        <v>1.2519172817199038</v>
      </c>
      <c r="D191" s="2">
        <v>5.8881639228587597</v>
      </c>
      <c r="E191" s="2">
        <v>8.9690193582731705</v>
      </c>
      <c r="F191" s="2">
        <v>2.7459594078680098E-3</v>
      </c>
      <c r="G191" s="2">
        <v>4.8323982079534297E-2</v>
      </c>
      <c r="H191" s="2" t="s">
        <v>93</v>
      </c>
      <c r="I191" s="2" t="s">
        <v>94</v>
      </c>
      <c r="J191" s="2" t="str">
        <f>HYPERLINK("https://vectorbase.org/vectorbase/app/record/gene/AGAP007003","AGAP007003-RA")</f>
        <v>AGAP007003-RA</v>
      </c>
      <c r="K191" s="2" t="str">
        <f>HYPERLINK(".\links\pep\AGAP007003-PA-pep.txt","AGAP007003-PA")</f>
        <v>AGAP007003-PA</v>
      </c>
      <c r="L191" s="12" t="s">
        <v>95</v>
      </c>
      <c r="M191" s="2">
        <v>381</v>
      </c>
      <c r="N191" s="2">
        <v>0</v>
      </c>
      <c r="O191" s="2">
        <v>0</v>
      </c>
      <c r="P191" s="2" t="s">
        <v>102</v>
      </c>
      <c r="Q191" s="9" t="s">
        <v>854</v>
      </c>
      <c r="R191" s="2" t="s">
        <v>98</v>
      </c>
      <c r="S191" s="2" t="str">
        <f>HYPERLINK(".\links\REFSEQ-INVERTEBRATE\AGAP007003-PA-REFSEQ-INVERTEBRATE.txt","REFSEQ-INVERTEBRATE")</f>
        <v>REFSEQ-INVERTEBRATE</v>
      </c>
      <c r="T191" s="2">
        <v>0</v>
      </c>
      <c r="V191" s="2" t="s">
        <v>2166</v>
      </c>
      <c r="W191" s="10" t="s">
        <v>2167</v>
      </c>
      <c r="X191" s="2" t="s">
        <v>2168</v>
      </c>
      <c r="Y191" s="2" t="str">
        <f>HYPERLINK(".\links\REFSEQ-VIRUS\AGAP007003-PA-REFSEQ-VIRUS.txt","REFSEQ-VIRUS")</f>
        <v>REFSEQ-VIRUS</v>
      </c>
      <c r="Z191" s="15">
        <v>1.0000000000000001E-18</v>
      </c>
      <c r="AA191" s="2">
        <v>7.9</v>
      </c>
      <c r="AB191" s="13" t="str">
        <f>HYPERLINK(".\links\pep\AGAP007003-PA-sulf.txt","1")</f>
        <v>1</v>
      </c>
      <c r="AC191" s="13" t="str">
        <f>HYPERLINK(".\links\Sigp\AGAP007003-PA-SigP.txt","CYT")</f>
        <v>CYT</v>
      </c>
      <c r="AD191" s="2" t="s">
        <v>102</v>
      </c>
      <c r="AE191" s="2">
        <v>41.793999999999997</v>
      </c>
      <c r="AF191" s="2">
        <v>5.0599999999999996</v>
      </c>
      <c r="AG191" s="2" t="s">
        <v>102</v>
      </c>
      <c r="AH191" s="2" t="s">
        <v>102</v>
      </c>
      <c r="AI191" s="2" t="s">
        <v>2169</v>
      </c>
      <c r="AJ191" s="13" t="str">
        <f>HYPERLINK(".\links\tmhmm\AGAP007003-PA-tmhmm.txt","1")</f>
        <v>1</v>
      </c>
      <c r="AK191" s="2">
        <v>5.8</v>
      </c>
      <c r="AL191" s="2">
        <v>52</v>
      </c>
      <c r="AM191" s="2">
        <v>42.3</v>
      </c>
      <c r="AN191" s="13" t="str">
        <f>HYPERLINK(".\links\gpi\AGAP007003-PA-gpi.txt","N")</f>
        <v>N</v>
      </c>
      <c r="AO191" s="14" t="str">
        <f>HYPERLINK(".\links\netoglyc\AGAP007003-PA-netoglyc.txt","6")</f>
        <v>6</v>
      </c>
      <c r="AP191" s="13">
        <v>15.7</v>
      </c>
      <c r="AQ191" s="2">
        <v>6</v>
      </c>
      <c r="AR191" s="2">
        <v>5.8</v>
      </c>
      <c r="AS191" s="2" t="s">
        <v>104</v>
      </c>
      <c r="AT191" s="9" t="str">
        <f>HYPERLINK(".\links\NR-LIGHT\AGAP007003-PA-NR-LIGHT.txt","AGAP007003-PA")</f>
        <v>AGAP007003-PA</v>
      </c>
      <c r="AU191" s="2" t="str">
        <f>HYPERLINK("http://www.ncbi.nlm.nih.gov/sutils/blink.cgi?pid=XP_565200.3","0.0")</f>
        <v>0.0</v>
      </c>
      <c r="AV191" s="2" t="str">
        <f>HYPERLINK("http://www.ncbi.nlm.nih.gov/protein/XP_565200.3","XP_565200.3")</f>
        <v>XP_565200.3</v>
      </c>
      <c r="AW191" s="2">
        <v>100</v>
      </c>
      <c r="AX191" s="2">
        <v>100</v>
      </c>
      <c r="AY191" s="2">
        <v>100</v>
      </c>
      <c r="AZ191" s="2" t="s">
        <v>105</v>
      </c>
      <c r="BA191" s="9" t="str">
        <f>HYPERLINK(".\links\REFSEQ-INVERTEBRATE\AGAP007003-PA-REFSEQ-INVERTEBRATE.txt","AGAP007003-PA")</f>
        <v>AGAP007003-PA</v>
      </c>
      <c r="BB191" s="2" t="str">
        <f>HYPERLINK("http://www.ncbi.nlm.nih.gov/sutils/blink.cgi?pid=XP_565200.3","0.0")</f>
        <v>0.0</v>
      </c>
      <c r="BC191" s="2" t="str">
        <f>HYPERLINK("http://www.ncbi.nlm.nih.gov/protein/XP_565200.3","XP_565200.3")</f>
        <v>XP_565200.3</v>
      </c>
      <c r="BD191" s="2">
        <v>100</v>
      </c>
      <c r="BE191" s="2">
        <v>100</v>
      </c>
      <c r="BF191" s="2">
        <v>100</v>
      </c>
      <c r="BG191" s="2" t="s">
        <v>105</v>
      </c>
      <c r="BH191" s="9" t="str">
        <f>HYPERLINK(".\links\REFSEQ-PROTOZOA\AGAP007003-PA-REFSEQ-PROTOZOA.txt","hypothetical protein PPTG_13324")</f>
        <v>hypothetical protein PPTG_13324</v>
      </c>
      <c r="BI191" s="2" t="str">
        <f>HYPERLINK("http://www.ncbi.nlm.nih.gov/sutils/blink.cgi?pid=XP_008907172.1","0.001")</f>
        <v>0.001</v>
      </c>
      <c r="BJ191" s="2" t="str">
        <f>HYPERLINK("http://www.ncbi.nlm.nih.gov/protein/XP_008907172.1","XP_008907172.1")</f>
        <v>XP_008907172.1</v>
      </c>
      <c r="BK191" s="2">
        <v>24</v>
      </c>
      <c r="BL191" s="2">
        <v>40</v>
      </c>
      <c r="BM191" s="2">
        <v>54</v>
      </c>
      <c r="BN191" s="2" t="s">
        <v>556</v>
      </c>
      <c r="BO191" s="9" t="str">
        <f>HYPERLINK(".\links\SWISSP\AGAP007003-PA-SWISSP.txt","Chromodomain-helicase-DNA-binding protein 1")</f>
        <v>Chromodomain-helicase-DNA-binding protein 1</v>
      </c>
      <c r="BP191" s="2" t="str">
        <f>HYPERLINK("http://www.uniprot.org/uniprot/Q7KU24","0.003")</f>
        <v>0.003</v>
      </c>
      <c r="BQ191" s="2" t="str">
        <f>HYPERLINK("http://www.uniprot.org/uniprot/Q7KU24#expression","Q7KU24")</f>
        <v>Q7KU24</v>
      </c>
      <c r="BR191" s="2">
        <v>25</v>
      </c>
      <c r="BS191" s="2">
        <v>40</v>
      </c>
      <c r="BT191" s="2">
        <v>7</v>
      </c>
      <c r="BU191" s="2" t="s">
        <v>107</v>
      </c>
      <c r="BV191" s="9" t="str">
        <f>HYPERLINK(".\links\FLYBASE\AGAP007003-PA-FLYBASE.txt","FBpp0306010")</f>
        <v>FBpp0306010</v>
      </c>
      <c r="BW191" s="2" t="str">
        <f>HYPERLINK("http://flybase.org/reports/FBgn0036908#alliance_summary_container","6E-23")</f>
        <v>6E-23</v>
      </c>
      <c r="BX191" s="2">
        <v>301</v>
      </c>
      <c r="BY191" s="2">
        <v>30</v>
      </c>
      <c r="BZ191" s="2">
        <v>45</v>
      </c>
      <c r="CA191" s="2">
        <v>73</v>
      </c>
      <c r="CB191" s="9" t="str">
        <f>HYPERLINK(".\links\CDD\AGAP007003-PA-CDD.txt","SLC5sbd, Solute carrier 5 family, sodium/glucose transporters and related proteins")</f>
        <v>SLC5sbd, Solute carrier 5 family, sodium/glucose transporters and related proteins</v>
      </c>
      <c r="CC191" s="15">
        <v>0.28999999999999998</v>
      </c>
      <c r="CD191" s="2">
        <v>5.5</v>
      </c>
      <c r="CE191" s="2" t="s">
        <v>2170</v>
      </c>
      <c r="CF191" s="2" t="s">
        <v>2171</v>
      </c>
      <c r="CG191" s="9" t="str">
        <f>HYPERLINK(".\links\KOG\AGAP007003-PA-KOG.txt","Integral membrane protein")</f>
        <v>Integral membrane protein</v>
      </c>
      <c r="CH191" s="15">
        <v>0.13</v>
      </c>
      <c r="CI191" s="2">
        <v>17.8</v>
      </c>
      <c r="CJ191" s="2" t="s">
        <v>2172</v>
      </c>
      <c r="CK191" s="2" t="s">
        <v>191</v>
      </c>
      <c r="CL191" s="9" t="str">
        <f>HYPERLINK(".\links\PFAM\AGAP007003-PA-PFAM.txt","DUF4718, Domain of unknown function (DUF4718)")</f>
        <v>DUF4718, Domain of unknown function (DUF4718)</v>
      </c>
      <c r="CM191" s="15">
        <v>0.23</v>
      </c>
      <c r="CN191" s="2">
        <v>50.8</v>
      </c>
      <c r="CO191" s="2" t="s">
        <v>2173</v>
      </c>
      <c r="CP191" s="9" t="str">
        <f>HYPERLINK(".\links\SMART\AGAP007003-PA-SMART.txt","Fungal_trans, Fungal specific transcription factor domain")</f>
        <v>Fungal_trans, Fungal specific transcription factor domain</v>
      </c>
      <c r="CQ191" s="15">
        <v>0.83</v>
      </c>
      <c r="CR191" s="2">
        <v>41.9</v>
      </c>
      <c r="CS191" s="2" t="s">
        <v>2174</v>
      </c>
      <c r="CT191" s="2" t="s">
        <v>2166</v>
      </c>
      <c r="CU191" s="2" t="s">
        <v>2166</v>
      </c>
      <c r="CV191" s="2" t="s">
        <v>2166</v>
      </c>
      <c r="CW191" s="2" t="str">
        <f>HYPERLINK(".\links\pep\AGAP007003-PA-pep.txt","AGAP007003-PA")</f>
        <v>AGAP007003-PA</v>
      </c>
      <c r="CX191" s="2" t="s">
        <v>95</v>
      </c>
      <c r="CY191" s="2">
        <v>422</v>
      </c>
      <c r="CZ191" s="2" t="s">
        <v>113</v>
      </c>
      <c r="DA191" s="2" t="s">
        <v>2175</v>
      </c>
      <c r="DB191" s="2">
        <v>0</v>
      </c>
      <c r="DC191" s="2">
        <v>1</v>
      </c>
      <c r="DD191" s="2" t="str">
        <f>HYPERLINK("https://www.kegg.jp/kegg-bin/search_pathway_text?map=aga&amp;keyword=AGAP007003&amp;mode=1&amp;viewImage=true","AGAP007003")</f>
        <v>AGAP007003</v>
      </c>
      <c r="DE191" s="2" t="s">
        <v>2165</v>
      </c>
      <c r="DF191" s="2" t="s">
        <v>93</v>
      </c>
      <c r="DG191" s="2" t="s">
        <v>94</v>
      </c>
      <c r="DH191" s="2" t="str">
        <f>HYPERLINK("https://vectorbase.org/vectorbase/app/record/gene/AGAP007003","AGAP007003-RA")</f>
        <v>AGAP007003-RA</v>
      </c>
      <c r="DI191" s="2" t="s">
        <v>118</v>
      </c>
      <c r="DJ191" s="2">
        <v>1657</v>
      </c>
      <c r="DK191" s="2" t="str">
        <f>HYPERLINK(".\links\netoglyc\AGAP007003-PA-netoglyc.txt","6")</f>
        <v>6</v>
      </c>
      <c r="DL191" s="2">
        <v>15.9</v>
      </c>
      <c r="DM191" s="2">
        <v>6.2</v>
      </c>
      <c r="DN191" s="2">
        <v>6.6</v>
      </c>
      <c r="DO191" s="2" t="s">
        <v>104</v>
      </c>
      <c r="DP191" s="2" t="s">
        <v>2176</v>
      </c>
      <c r="DQ191" s="2" t="str">
        <f>HYPERLINK(".\links\Sigp\AGAP007003-PA-SigP.txt","CYT")</f>
        <v>CYT</v>
      </c>
      <c r="DR191" s="2" t="s">
        <v>102</v>
      </c>
      <c r="DS191" s="2">
        <v>46.253</v>
      </c>
      <c r="DT191" s="2">
        <v>5.29</v>
      </c>
      <c r="DU191" s="2" t="s">
        <v>102</v>
      </c>
      <c r="DV191" s="2" t="s">
        <v>102</v>
      </c>
      <c r="DW191" s="2" t="s">
        <v>2177</v>
      </c>
      <c r="DX191" s="2">
        <v>422</v>
      </c>
      <c r="DY191" s="12" t="str">
        <f>HYPERLINK(".\links\tmhmm\AGAP007003-PA-tmhmm.txt","1")</f>
        <v>1</v>
      </c>
      <c r="DZ191" s="2">
        <v>5.2</v>
      </c>
      <c r="EA191" s="2">
        <v>46.9</v>
      </c>
      <c r="EB191" s="2">
        <v>47.9</v>
      </c>
      <c r="EC191" s="2" t="str">
        <f>HYPERLINK(".\links\gpi\AGAP007003-PA-gpi.txt","Y-NoSP")</f>
        <v>Y-NoSP</v>
      </c>
      <c r="ED191" s="2">
        <v>0.19</v>
      </c>
      <c r="EF191" s="2">
        <v>4</v>
      </c>
      <c r="EG191" s="2" t="str">
        <f>HYPERLINK(".\links\pep\AGAP007003-PA-sulf.txt","1")</f>
        <v>1</v>
      </c>
      <c r="EH191" s="2" t="s">
        <v>102</v>
      </c>
      <c r="EI191" s="2">
        <v>15.8767772511848</v>
      </c>
      <c r="EJ191" s="2">
        <v>6.6350710900473899</v>
      </c>
      <c r="EK191" s="2">
        <v>6.1611374407582904</v>
      </c>
      <c r="EL191" s="2">
        <v>12.7962085308057</v>
      </c>
      <c r="EM191" s="2">
        <v>1</v>
      </c>
      <c r="EN191" s="2" t="s">
        <v>102</v>
      </c>
      <c r="EO191" s="2">
        <v>3</v>
      </c>
      <c r="EP191" s="2" t="s">
        <v>102</v>
      </c>
      <c r="EQ191" s="2" t="s">
        <v>102</v>
      </c>
      <c r="ER191" s="2" t="s">
        <v>102</v>
      </c>
      <c r="ES191" s="2" t="s">
        <v>102</v>
      </c>
      <c r="ET191" s="2" t="str">
        <f>HYPERLINK(".\links\REFSEQ-INVERTEBRATE\AGAP007003-PA-REFSEQ-INVERTEBRATE.txt","AGAP007003-PA")</f>
        <v>AGAP007003-PA</v>
      </c>
      <c r="EU191" s="2" t="str">
        <f>HYPERLINK("http://www.ncbi.nlm.nih.gov/sutils/blink.cgi?pid=XP_565200.3","0.0")</f>
        <v>0.0</v>
      </c>
      <c r="EV191" s="2" t="str">
        <f>HYPERLINK("http://www.ncbi.nlm.nih.gov/protein/XP_565200.3","XP_565200.3")</f>
        <v>XP_565200.3</v>
      </c>
      <c r="EW191" s="2">
        <v>100</v>
      </c>
      <c r="EX191" s="2">
        <v>100</v>
      </c>
      <c r="EY191" s="2">
        <v>100</v>
      </c>
      <c r="EZ191" s="2" t="s">
        <v>105</v>
      </c>
    </row>
    <row r="192" spans="1:156" x14ac:dyDescent="0.25">
      <c r="A192" s="2" t="s">
        <v>2178</v>
      </c>
      <c r="B192" s="2">
        <v>0.32371936974660698</v>
      </c>
      <c r="C192" s="2">
        <f t="shared" si="2"/>
        <v>1.2515529853049276</v>
      </c>
      <c r="D192" s="2">
        <v>5.66843828554686</v>
      </c>
      <c r="E192" s="2">
        <v>13.0701696444621</v>
      </c>
      <c r="F192" s="2">
        <v>3.0003595835248101E-4</v>
      </c>
      <c r="G192" s="2">
        <v>1.92003530491149E-2</v>
      </c>
      <c r="H192" s="2" t="s">
        <v>93</v>
      </c>
      <c r="I192" s="2" t="s">
        <v>94</v>
      </c>
      <c r="J192" s="2" t="str">
        <f>HYPERLINK("https://vectorbase.org/vectorbase/app/record/gene/AGAP011478","AGAP011478-RA")</f>
        <v>AGAP011478-RA</v>
      </c>
      <c r="K192" s="2" t="str">
        <f>HYPERLINK(".\links\pep\AGAP011478-PA-pep.txt","AGAP011478-PA")</f>
        <v>AGAP011478-PA</v>
      </c>
      <c r="L192" s="12" t="s">
        <v>95</v>
      </c>
      <c r="M192" s="2">
        <v>278</v>
      </c>
      <c r="N192" s="2">
        <v>0</v>
      </c>
      <c r="O192" s="2">
        <v>2</v>
      </c>
      <c r="P192" s="2" t="s">
        <v>102</v>
      </c>
      <c r="Q192" s="9" t="s">
        <v>2179</v>
      </c>
      <c r="R192" s="2" t="s">
        <v>2180</v>
      </c>
      <c r="S192" s="2" t="str">
        <f>HYPERLINK(".\links\KOG\AGAP011478-PA-KOG.txt","KOG")</f>
        <v>KOG</v>
      </c>
      <c r="T192" s="2">
        <v>3.0000000000000001E-12</v>
      </c>
      <c r="U192" s="2">
        <v>84.8</v>
      </c>
      <c r="V192" s="2" t="s">
        <v>2181</v>
      </c>
      <c r="W192" s="10" t="s">
        <v>2182</v>
      </c>
      <c r="X192" s="2" t="s">
        <v>181</v>
      </c>
      <c r="Y192" s="2" t="str">
        <f>HYPERLINK(".\links\UNIPROTKB\AGAP011478-PA-UNIPROTKB.txt","UNIPROTKB")</f>
        <v>UNIPROTKB</v>
      </c>
      <c r="Z192" s="2">
        <v>9.9999999999999998E-13</v>
      </c>
      <c r="AA192" s="2">
        <v>95.7</v>
      </c>
      <c r="AB192" s="13" t="str">
        <f>HYPERLINK(".\links\pep\AGAP011478-PA-sulf.txt","1")</f>
        <v>1</v>
      </c>
      <c r="AC192" s="13" t="str">
        <f>HYPERLINK(".\links\Sigp\AGAP011478-PA-SigP.txt","SIG")</f>
        <v>SIG</v>
      </c>
      <c r="AD192" s="2" t="s">
        <v>2183</v>
      </c>
      <c r="AE192" s="2">
        <v>30.773</v>
      </c>
      <c r="AF192" s="2">
        <v>6.53</v>
      </c>
      <c r="AG192" s="2">
        <v>28.196000000000002</v>
      </c>
      <c r="AH192" s="2">
        <v>6</v>
      </c>
      <c r="AI192" s="2" t="s">
        <v>2184</v>
      </c>
      <c r="AJ192" s="13" t="str">
        <f>HYPERLINK(".\links\tmhmm\AGAP011478-PA-tmhmm.txt","1")</f>
        <v>1</v>
      </c>
      <c r="AK192" s="2">
        <v>7.9</v>
      </c>
      <c r="AL192" s="2">
        <v>89.6</v>
      </c>
      <c r="AM192" s="2">
        <v>2.5</v>
      </c>
      <c r="AN192" s="13" t="str">
        <f>HYPERLINK(".\links\gpi\AGAP011478-PA-gpi.txt","N")</f>
        <v>N</v>
      </c>
      <c r="AO192" s="14" t="str">
        <f>HYPERLINK(".\links\netoglyc\AGAP011478-PA-netoglyc.txt","1")</f>
        <v>1</v>
      </c>
      <c r="AP192" s="13">
        <v>15.1</v>
      </c>
      <c r="AQ192" s="2">
        <v>6.5</v>
      </c>
      <c r="AR192" s="2">
        <v>5</v>
      </c>
      <c r="AS192" s="2" t="s">
        <v>104</v>
      </c>
      <c r="AT192" s="9" t="str">
        <f>HYPERLINK(".\links\NR-LIGHT\AGAP011478-PA-NR-LIGHT.txt","AGAP011478-PA")</f>
        <v>AGAP011478-PA</v>
      </c>
      <c r="AU192" s="2" t="str">
        <f>HYPERLINK("http://www.ncbi.nlm.nih.gov/sutils/blink.cgi?pid=XP_001689062.1","1E-159")</f>
        <v>1E-159</v>
      </c>
      <c r="AV192" s="2" t="str">
        <f>HYPERLINK("http://www.ncbi.nlm.nih.gov/protein/XP_001689062.1","XP_001689062.1")</f>
        <v>XP_001689062.1</v>
      </c>
      <c r="AW192" s="2">
        <v>100</v>
      </c>
      <c r="AX192" s="2">
        <v>100</v>
      </c>
      <c r="AY192" s="2">
        <v>100</v>
      </c>
      <c r="AZ192" s="2" t="s">
        <v>105</v>
      </c>
      <c r="BA192" s="9" t="str">
        <f>HYPERLINK(".\links\REFSEQ-INVERTEBRATE\AGAP011478-PA-REFSEQ-INVERTEBRATE.txt","AGAP011478-PA")</f>
        <v>AGAP011478-PA</v>
      </c>
      <c r="BB192" s="2" t="str">
        <f>HYPERLINK("http://www.ncbi.nlm.nih.gov/sutils/blink.cgi?pid=XP_001689062.1","1E-159")</f>
        <v>1E-159</v>
      </c>
      <c r="BC192" s="2" t="str">
        <f>HYPERLINK("http://www.ncbi.nlm.nih.gov/protein/XP_001689062.1","XP_001689062.1")</f>
        <v>XP_001689062.1</v>
      </c>
      <c r="BD192" s="2">
        <v>100</v>
      </c>
      <c r="BE192" s="2">
        <v>100</v>
      </c>
      <c r="BF192" s="2">
        <v>100</v>
      </c>
      <c r="BG192" s="2" t="s">
        <v>105</v>
      </c>
      <c r="BH192" s="9" t="str">
        <f>HYPERLINK(".\links\REFSEQ-PROTOZOA\AGAP011478-PA-REFSEQ-PROTOZOA.txt","predicted protein")</f>
        <v>predicted protein</v>
      </c>
      <c r="BI192" s="2" t="str">
        <f>HYPERLINK("http://www.ncbi.nlm.nih.gov/sutils/blink.cgi?pid=XP_002677621.1","1E-007")</f>
        <v>1E-007</v>
      </c>
      <c r="BJ192" s="2" t="str">
        <f>HYPERLINK("http://www.ncbi.nlm.nih.gov/protein/XP_002677621.1","XP_002677621.1")</f>
        <v>XP_002677621.1</v>
      </c>
      <c r="BK192" s="2">
        <v>25</v>
      </c>
      <c r="BL192" s="2">
        <v>39</v>
      </c>
      <c r="BM192" s="2">
        <v>105</v>
      </c>
      <c r="BN192" s="2" t="s">
        <v>1212</v>
      </c>
      <c r="BO192" s="9" t="str">
        <f>HYPERLINK(".\links\SWISSP\AGAP011478-PA-SWISSP.txt","Apolipoprotein D")</f>
        <v>Apolipoprotein D</v>
      </c>
      <c r="BP192" s="2" t="str">
        <f>HYPERLINK("http://www.uniprot.org/uniprot/P05090","6E-012")</f>
        <v>6E-012</v>
      </c>
      <c r="BQ192" s="2" t="str">
        <f>HYPERLINK("http://www.uniprot.org/uniprot/P05090#expression","P05090")</f>
        <v>P05090</v>
      </c>
      <c r="BR192" s="2">
        <v>26</v>
      </c>
      <c r="BS192" s="2">
        <v>45</v>
      </c>
      <c r="BT192" s="2">
        <v>99</v>
      </c>
      <c r="BU192" s="2" t="s">
        <v>127</v>
      </c>
      <c r="BV192" s="9" t="str">
        <f>HYPERLINK(".\links\FLYBASE\AGAP011478-PA-FLYBASE.txt","FBpp0301840")</f>
        <v>FBpp0301840</v>
      </c>
      <c r="BW192" s="2" t="str">
        <f>HYPERLINK("http://flybase.org/reports/FBgn0033799#alliance_summary_container","1E-11")</f>
        <v>1E-11</v>
      </c>
      <c r="BX192" s="2">
        <v>212</v>
      </c>
      <c r="BY192" s="2">
        <v>26</v>
      </c>
      <c r="BZ192" s="2">
        <v>41</v>
      </c>
      <c r="CA192" s="2">
        <v>96</v>
      </c>
      <c r="CB192" s="9" t="str">
        <f>HYPERLINK(".\links\CDD\AGAP011478-PA-CDD.txt","Lipocalin, Lipocalin / cytosolic fatty-acid binding protein family")</f>
        <v>Lipocalin, Lipocalin / cytosolic fatty-acid binding protein family</v>
      </c>
      <c r="CC192" s="15">
        <v>2E-3</v>
      </c>
      <c r="CD192" s="2">
        <v>62.1</v>
      </c>
      <c r="CE192" s="2" t="s">
        <v>2185</v>
      </c>
      <c r="CF192" s="2" t="s">
        <v>2186</v>
      </c>
      <c r="CG192" s="9" t="str">
        <f>HYPERLINK(".\links\KOG\AGAP011478-PA-KOG.txt","Apolipoprotein D/Lipocalin")</f>
        <v>Apolipoprotein D/Lipocalin</v>
      </c>
      <c r="CH192" s="15">
        <v>3.0000000000000001E-12</v>
      </c>
      <c r="CI192" s="2">
        <v>84.8</v>
      </c>
      <c r="CJ192" s="2" t="s">
        <v>2187</v>
      </c>
      <c r="CK192" s="2" t="s">
        <v>1472</v>
      </c>
      <c r="CL192" s="9" t="str">
        <f>HYPERLINK(".\links\PFAM\AGAP011478-PA-PFAM.txt","Lipocalin, Lipocalin / cytosolic fatty-acid binding protein family")</f>
        <v>Lipocalin, Lipocalin / cytosolic fatty-acid binding protein family</v>
      </c>
      <c r="CM192" s="15">
        <v>5.0000000000000001E-4</v>
      </c>
      <c r="CN192" s="2">
        <v>62.1</v>
      </c>
      <c r="CO192" s="2" t="s">
        <v>2185</v>
      </c>
      <c r="CP192" s="9" t="str">
        <f>HYPERLINK(".\links\SMART\AGAP011478-PA-SMART.txt","UBA_e1_C, Ubiquitin-activating enzyme e1 C-terminal domain")</f>
        <v>UBA_e1_C, Ubiquitin-activating enzyme e1 C-terminal domain</v>
      </c>
      <c r="CQ192" s="15">
        <v>0.77</v>
      </c>
      <c r="CR192" s="2">
        <v>23.4</v>
      </c>
      <c r="CS192" s="2" t="s">
        <v>734</v>
      </c>
      <c r="CT192" s="2" t="s">
        <v>2181</v>
      </c>
      <c r="CU192" s="2" t="s">
        <v>2181</v>
      </c>
      <c r="CV192" s="2" t="s">
        <v>2181</v>
      </c>
      <c r="CW192" s="2" t="str">
        <f>HYPERLINK(".\links\pep\AGAP011478-PA-pep.txt","AGAP011478-PA")</f>
        <v>AGAP011478-PA</v>
      </c>
      <c r="CX192" s="2" t="s">
        <v>95</v>
      </c>
      <c r="CY192" s="2">
        <v>278</v>
      </c>
      <c r="CZ192" s="2" t="s">
        <v>113</v>
      </c>
      <c r="DA192" s="2" t="s">
        <v>2188</v>
      </c>
      <c r="DB192" s="2">
        <v>0</v>
      </c>
      <c r="DC192" s="2">
        <v>2</v>
      </c>
      <c r="DD192" s="2" t="str">
        <f>HYPERLINK("https://www.kegg.jp/kegg-bin/search_pathway_text?map=aga&amp;keyword=AGAP011478&amp;mode=1&amp;viewImage=true","AGAP011478")</f>
        <v>AGAP011478</v>
      </c>
      <c r="DE192" s="2" t="s">
        <v>2178</v>
      </c>
      <c r="DF192" s="2" t="s">
        <v>93</v>
      </c>
      <c r="DG192" s="2" t="s">
        <v>94</v>
      </c>
      <c r="DH192" s="2" t="str">
        <f>HYPERLINK("https://vectorbase.org/vectorbase/app/record/gene/AGAP011478","AGAP011478-RA")</f>
        <v>AGAP011478-RA</v>
      </c>
      <c r="DI192" s="2" t="s">
        <v>135</v>
      </c>
      <c r="DJ192" s="2">
        <v>1032</v>
      </c>
      <c r="DK192" s="2" t="str">
        <f>HYPERLINK(".\links\netoglyc\AGAP011478-PA-netoglyc.txt","1")</f>
        <v>1</v>
      </c>
      <c r="DL192" s="2">
        <v>15.1</v>
      </c>
      <c r="DM192" s="2">
        <v>6.5</v>
      </c>
      <c r="DN192" s="2">
        <v>5</v>
      </c>
      <c r="DO192" s="2" t="s">
        <v>104</v>
      </c>
      <c r="DP192" s="2" t="s">
        <v>102</v>
      </c>
      <c r="DQ192" s="2" t="str">
        <f>HYPERLINK(".\links\Sigp\AGAP011478-PA-SigP.txt","SIG")</f>
        <v>SIG</v>
      </c>
      <c r="DR192" s="2" t="s">
        <v>2183</v>
      </c>
      <c r="DS192" s="2">
        <v>30.773</v>
      </c>
      <c r="DT192" s="2">
        <v>6.53</v>
      </c>
      <c r="DU192" s="2">
        <v>28.196000000000002</v>
      </c>
      <c r="DV192" s="2">
        <v>6</v>
      </c>
      <c r="DW192" s="2" t="s">
        <v>2184</v>
      </c>
      <c r="DX192" s="2">
        <v>278</v>
      </c>
      <c r="DY192" s="12" t="str">
        <f>HYPERLINK(".\links\tmhmm\AGAP011478-PA-tmhmm.txt","1")</f>
        <v>1</v>
      </c>
      <c r="DZ192" s="2">
        <v>7.9</v>
      </c>
      <c r="EA192" s="2">
        <v>89.6</v>
      </c>
      <c r="EB192" s="2">
        <v>2.5</v>
      </c>
      <c r="EC192" s="2" t="str">
        <f>HYPERLINK(".\links\gpi\AGAP011478-PA-gpi.txt","N")</f>
        <v>N</v>
      </c>
      <c r="ED192" s="2">
        <v>0.24</v>
      </c>
      <c r="EF192" s="2">
        <v>5</v>
      </c>
      <c r="EG192" s="2" t="str">
        <f>HYPERLINK(".\links\pep\AGAP011478-PA-sulf.txt","1")</f>
        <v>1</v>
      </c>
      <c r="EH192" s="2" t="s">
        <v>102</v>
      </c>
      <c r="EI192" s="2">
        <v>15.1079136690647</v>
      </c>
      <c r="EJ192" s="2">
        <v>5.0359712230215798</v>
      </c>
      <c r="EK192" s="2">
        <v>6.47482014388489</v>
      </c>
      <c r="EL192" s="2">
        <v>11.510791366906499</v>
      </c>
      <c r="EM192" s="2" t="s">
        <v>102</v>
      </c>
      <c r="EN192" s="2" t="s">
        <v>102</v>
      </c>
      <c r="EO192" s="2" t="s">
        <v>102</v>
      </c>
      <c r="EP192" s="2" t="s">
        <v>102</v>
      </c>
      <c r="EQ192" s="2" t="s">
        <v>102</v>
      </c>
      <c r="ER192" s="2" t="s">
        <v>102</v>
      </c>
      <c r="ES192" s="2" t="s">
        <v>102</v>
      </c>
      <c r="ET192" s="2" t="str">
        <f>HYPERLINK(".\links\REFSEQ-INVERTEBRATE\AGAP011478-PA-REFSEQ-INVERTEBRATE.txt","AGAP011478-PA")</f>
        <v>AGAP011478-PA</v>
      </c>
      <c r="EU192" s="2" t="str">
        <f>HYPERLINK("http://www.ncbi.nlm.nih.gov/sutils/blink.cgi?pid=XP_001689062.1","0.0")</f>
        <v>0.0</v>
      </c>
      <c r="EV192" s="2" t="str">
        <f>HYPERLINK("http://www.ncbi.nlm.nih.gov/protein/XP_001689062.1","XP_001689062.1")</f>
        <v>XP_001689062.1</v>
      </c>
      <c r="EW192" s="2">
        <v>100</v>
      </c>
      <c r="EX192" s="2">
        <v>100</v>
      </c>
      <c r="EY192" s="2">
        <v>100</v>
      </c>
      <c r="EZ192" s="2" t="s">
        <v>105</v>
      </c>
    </row>
    <row r="193" spans="1:156" x14ac:dyDescent="0.25">
      <c r="A193" s="2" t="s">
        <v>2189</v>
      </c>
      <c r="B193" s="2">
        <v>0.32342261027004399</v>
      </c>
      <c r="C193" s="2">
        <f t="shared" si="2"/>
        <v>1.2512955698416899</v>
      </c>
      <c r="D193" s="2">
        <v>5.7761452807057401</v>
      </c>
      <c r="E193" s="2">
        <v>11.921319102669701</v>
      </c>
      <c r="F193" s="2">
        <v>5.5495170965525105E-4</v>
      </c>
      <c r="G193" s="2">
        <v>2.6293505281983199E-2</v>
      </c>
      <c r="H193" s="2" t="s">
        <v>93</v>
      </c>
      <c r="I193" s="2" t="s">
        <v>94</v>
      </c>
      <c r="J193" s="2" t="str">
        <f>HYPERLINK("https://vectorbase.org/vectorbase/app/record/gene/AGAP010500","AGAP010500-RA")</f>
        <v>AGAP010500-RA</v>
      </c>
      <c r="K193" s="2" t="str">
        <f>HYPERLINK(".\links\pep\AGAP010500-PA-pep.txt","AGAP010500-PA")</f>
        <v>AGAP010500-PA</v>
      </c>
      <c r="L193" s="12" t="s">
        <v>95</v>
      </c>
      <c r="M193" s="2">
        <v>676</v>
      </c>
      <c r="N193" s="2">
        <v>0</v>
      </c>
      <c r="O193" s="2">
        <v>0</v>
      </c>
      <c r="P193" s="2" t="s">
        <v>102</v>
      </c>
      <c r="Q193" s="9" t="s">
        <v>2190</v>
      </c>
      <c r="R193" s="2" t="s">
        <v>196</v>
      </c>
      <c r="S193" s="2" t="str">
        <f>HYPERLINK(".\links\REFSEQ-INVERTEBRATE\AGAP010500-PA-REFSEQ-INVERTEBRATE.txt","REFSEQ-INVERTEBRATE")</f>
        <v>REFSEQ-INVERTEBRATE</v>
      </c>
      <c r="T193" s="2">
        <v>0</v>
      </c>
      <c r="U193" s="2">
        <v>104.4</v>
      </c>
      <c r="V193" s="2" t="s">
        <v>2191</v>
      </c>
      <c r="W193" s="10" t="s">
        <v>740</v>
      </c>
      <c r="X193" s="2" t="s">
        <v>420</v>
      </c>
      <c r="Y193" s="2" t="str">
        <f>HYPERLINK(".\links\UNIPROTKB\AGAP010500-PA-UNIPROTKB.txt","UNIPROTKB")</f>
        <v>UNIPROTKB</v>
      </c>
      <c r="Z193" s="15">
        <v>5E-36</v>
      </c>
      <c r="AA193" s="2">
        <v>50.6</v>
      </c>
      <c r="AB193" s="13" t="str">
        <f>HYPERLINK(".\links\pep\AGAP010500-PA-sulf.txt","2")</f>
        <v>2</v>
      </c>
      <c r="AC193" s="13" t="str">
        <f>HYPERLINK(".\links\Sigp\AGAP010500-PA-SigP.txt","CYT")</f>
        <v>CYT</v>
      </c>
      <c r="AD193" s="2" t="s">
        <v>102</v>
      </c>
      <c r="AE193" s="2">
        <v>77.355999999999995</v>
      </c>
      <c r="AF193" s="2">
        <v>6.31</v>
      </c>
      <c r="AG193" s="2" t="s">
        <v>102</v>
      </c>
      <c r="AH193" s="2" t="s">
        <v>102</v>
      </c>
      <c r="AI193" s="2" t="s">
        <v>2192</v>
      </c>
      <c r="AJ193" s="13">
        <v>0</v>
      </c>
      <c r="AK193" s="2" t="s">
        <v>102</v>
      </c>
      <c r="AL193" s="2" t="s">
        <v>102</v>
      </c>
      <c r="AM193" s="2" t="s">
        <v>102</v>
      </c>
      <c r="AN193" s="13" t="str">
        <f>HYPERLINK(".\links\gpi\AGAP010500-PA-gpi.txt","N")</f>
        <v>N</v>
      </c>
      <c r="AO193" s="14" t="str">
        <f>HYPERLINK(".\links\netoglyc\AGAP010500-PA-netoglyc.txt","2")</f>
        <v>2</v>
      </c>
      <c r="AP193" s="13">
        <v>14.3</v>
      </c>
      <c r="AQ193" s="2">
        <v>3.7</v>
      </c>
      <c r="AR193" s="2">
        <v>4.3</v>
      </c>
      <c r="AS193" s="2" t="s">
        <v>104</v>
      </c>
      <c r="AT193" s="9" t="str">
        <f>HYPERLINK(".\links\NR-LIGHT\AGAP010500-PA-NR-LIGHT.txt","AGAP010500-PA, partial")</f>
        <v>AGAP010500-PA, partial</v>
      </c>
      <c r="AU193" s="2" t="str">
        <f>HYPERLINK("http://www.ncbi.nlm.nih.gov/sutils/blink.cgi?pid=XP_558034.2","0.0")</f>
        <v>0.0</v>
      </c>
      <c r="AV193" s="2" t="str">
        <f>HYPERLINK("http://www.ncbi.nlm.nih.gov/protein/XP_558034.2","XP_558034.2")</f>
        <v>XP_558034.2</v>
      </c>
      <c r="AW193" s="2">
        <v>95</v>
      </c>
      <c r="AX193" s="2">
        <v>95</v>
      </c>
      <c r="AY193" s="2">
        <v>104</v>
      </c>
      <c r="AZ193" s="2" t="s">
        <v>105</v>
      </c>
      <c r="BA193" s="9" t="str">
        <f>HYPERLINK(".\links\REFSEQ-INVERTEBRATE\AGAP010500-PA-REFSEQ-INVERTEBRATE.txt","AGAP010500-PA, partial")</f>
        <v>AGAP010500-PA, partial</v>
      </c>
      <c r="BB193" s="2" t="str">
        <f>HYPERLINK("http://www.ncbi.nlm.nih.gov/sutils/blink.cgi?pid=XP_558034.2","0.0")</f>
        <v>0.0</v>
      </c>
      <c r="BC193" s="2" t="str">
        <f>HYPERLINK("http://www.ncbi.nlm.nih.gov/protein/XP_558034.2","XP_558034.2")</f>
        <v>XP_558034.2</v>
      </c>
      <c r="BD193" s="2">
        <v>95</v>
      </c>
      <c r="BE193" s="2">
        <v>95</v>
      </c>
      <c r="BF193" s="2">
        <v>104</v>
      </c>
      <c r="BG193" s="2" t="s">
        <v>105</v>
      </c>
      <c r="BH193" s="9" t="str">
        <f>HYPERLINK(".\links\REFSEQ-PROTOZOA\AGAP010500-PA-REFSEQ-PROTOZOA.txt","zinc finger, c2h2 type family protein")</f>
        <v>zinc finger, c2h2 type family protein</v>
      </c>
      <c r="BI193" s="2" t="str">
        <f>HYPERLINK("http://www.ncbi.nlm.nih.gov/sutils/blink.cgi?pid=XP_002372116.1","4E-028")</f>
        <v>4E-028</v>
      </c>
      <c r="BJ193" s="2" t="str">
        <f>HYPERLINK("http://www.ncbi.nlm.nih.gov/protein/XP_002372116.1","XP_002372116.1")</f>
        <v>XP_002372116.1</v>
      </c>
      <c r="BK193" s="2">
        <v>27</v>
      </c>
      <c r="BL193" s="2">
        <v>42</v>
      </c>
      <c r="BM193" s="2">
        <v>102</v>
      </c>
      <c r="BN193" s="2" t="s">
        <v>741</v>
      </c>
      <c r="BO193" s="9" t="str">
        <f>HYPERLINK(".\links\SWISSP\AGAP010500-PA-SWISSP.txt","Zinc finger protein 816")</f>
        <v>Zinc finger protein 816</v>
      </c>
      <c r="BP193" s="2" t="str">
        <f>HYPERLINK("http://www.uniprot.org/uniprot/Q0VGE8","1E-040")</f>
        <v>1E-040</v>
      </c>
      <c r="BQ193" s="2" t="str">
        <f>HYPERLINK("http://www.uniprot.org/uniprot/Q0VGE8#expression","Q0VGE8")</f>
        <v>Q0VGE8</v>
      </c>
      <c r="BR193" s="2">
        <v>32</v>
      </c>
      <c r="BS193" s="2">
        <v>47</v>
      </c>
      <c r="BT193" s="2">
        <v>51</v>
      </c>
      <c r="BU193" s="2" t="s">
        <v>127</v>
      </c>
      <c r="BV193" s="9" t="str">
        <f>HYPERLINK(".\links\FLYBASE\AGAP010500-PA-FLYBASE.txt","FBpp0075323")</f>
        <v>FBpp0075323</v>
      </c>
      <c r="BW193" s="2" t="str">
        <f>HYPERLINK("http://flybase.org/reports/FBgn0036522#alliance_summary_container","2E-31")</f>
        <v>2E-31</v>
      </c>
      <c r="BX193" s="2">
        <v>971</v>
      </c>
      <c r="BY193" s="2">
        <v>31</v>
      </c>
      <c r="BZ193" s="2">
        <v>48</v>
      </c>
      <c r="CA193" s="2">
        <v>24</v>
      </c>
      <c r="CB193" s="9" t="str">
        <f>HYPERLINK(".\links\CDD\AGAP010500-PA-CDD.txt","ZF_C2H2, Zinc finger, C2H2 type")</f>
        <v>ZF_C2H2, Zinc finger, C2H2 type</v>
      </c>
      <c r="CC193" s="15">
        <v>2.0000000000000001E-22</v>
      </c>
      <c r="CD193" s="2">
        <v>135.9</v>
      </c>
      <c r="CE193" s="2" t="s">
        <v>569</v>
      </c>
      <c r="CF193" s="2" t="s">
        <v>2193</v>
      </c>
      <c r="CG193" s="9" t="str">
        <f>HYPERLINK(".\links\KOG\AGAP010500-PA-KOG.txt","Zn finger proteins")</f>
        <v>Zn finger proteins</v>
      </c>
      <c r="CH193" s="15">
        <v>2.9999999999999998E-18</v>
      </c>
      <c r="CI193" s="2">
        <v>40.700000000000003</v>
      </c>
      <c r="CJ193" s="2" t="s">
        <v>686</v>
      </c>
      <c r="CK193" s="2" t="s">
        <v>191</v>
      </c>
      <c r="CL193" s="9" t="str">
        <f>HYPERLINK(".\links\PFAM\AGAP010500-PA-PFAM.txt","zf-AD, Zinc-finger associated domain (zf-AD)")</f>
        <v>zf-AD, Zinc-finger associated domain (zf-AD)</v>
      </c>
      <c r="CM193" s="15">
        <v>6.9999999999999997E-7</v>
      </c>
      <c r="CN193" s="2">
        <v>106.8</v>
      </c>
      <c r="CO193" s="2" t="s">
        <v>687</v>
      </c>
      <c r="CP193" s="9" t="str">
        <f>HYPERLINK(".\links\SMART\AGAP010500-PA-SMART.txt","zf-AD, Zinc-finger associated domain (zf-AD)")</f>
        <v>zf-AD, Zinc-finger associated domain (zf-AD)</v>
      </c>
      <c r="CQ193" s="15">
        <v>1.0000000000000001E-5</v>
      </c>
      <c r="CR193" s="2">
        <v>105.5</v>
      </c>
      <c r="CS193" s="2" t="s">
        <v>684</v>
      </c>
      <c r="CT193" s="2" t="s">
        <v>2191</v>
      </c>
      <c r="CU193" s="2" t="s">
        <v>2191</v>
      </c>
      <c r="CV193" s="2" t="s">
        <v>2191</v>
      </c>
      <c r="CW193" s="2" t="str">
        <f>HYPERLINK(".\links\pep\AGAP010500-PA-pep.txt","AGAP010500-PA")</f>
        <v>AGAP010500-PA</v>
      </c>
      <c r="CX193" s="2" t="s">
        <v>95</v>
      </c>
      <c r="CY193" s="2">
        <v>676</v>
      </c>
      <c r="CZ193" s="2" t="s">
        <v>113</v>
      </c>
      <c r="DA193" s="2" t="s">
        <v>2194</v>
      </c>
      <c r="DB193" s="2">
        <v>0</v>
      </c>
      <c r="DC193" s="2">
        <v>0</v>
      </c>
      <c r="DD193" s="2" t="str">
        <f>HYPERLINK("https://www.kegg.jp/kegg-bin/search_pathway_text?map=aga&amp;keyword=AGAP010500&amp;mode=1&amp;viewImage=true","AGAP010500")</f>
        <v>AGAP010500</v>
      </c>
      <c r="DE193" s="2" t="s">
        <v>2189</v>
      </c>
      <c r="DF193" s="2" t="s">
        <v>93</v>
      </c>
      <c r="DG193" s="2" t="s">
        <v>94</v>
      </c>
      <c r="DH193" s="2" t="str">
        <f>HYPERLINK("https://vectorbase.org/vectorbase/app/record/gene/AGAP010500","AGAP010500-RA")</f>
        <v>AGAP010500-RA</v>
      </c>
      <c r="DI193" s="2" t="s">
        <v>118</v>
      </c>
      <c r="DJ193" s="2">
        <v>2283</v>
      </c>
      <c r="DK193" s="2" t="str">
        <f>HYPERLINK(".\links\netoglyc\AGAP010500-PA-netoglyc.txt","2")</f>
        <v>2</v>
      </c>
      <c r="DL193" s="2">
        <v>14.3</v>
      </c>
      <c r="DM193" s="2">
        <v>3.7</v>
      </c>
      <c r="DN193" s="2">
        <v>4.3</v>
      </c>
      <c r="DO193" s="2" t="s">
        <v>104</v>
      </c>
      <c r="DP193" s="2" t="s">
        <v>2195</v>
      </c>
      <c r="DQ193" s="2" t="str">
        <f>HYPERLINK(".\links\Sigp\AGAP010500-PA-SigP.txt","CYT")</f>
        <v>CYT</v>
      </c>
      <c r="DR193" s="2" t="s">
        <v>102</v>
      </c>
      <c r="DS193" s="2">
        <v>77.355999999999995</v>
      </c>
      <c r="DT193" s="2">
        <v>6.31</v>
      </c>
      <c r="DU193" s="2" t="s">
        <v>102</v>
      </c>
      <c r="DV193" s="2" t="s">
        <v>102</v>
      </c>
      <c r="DW193" s="2" t="s">
        <v>2192</v>
      </c>
      <c r="DX193" s="2">
        <v>676</v>
      </c>
      <c r="DY193" s="12">
        <v>0</v>
      </c>
      <c r="DZ193" s="2" t="s">
        <v>102</v>
      </c>
      <c r="EA193" s="2" t="s">
        <v>102</v>
      </c>
      <c r="EB193" s="2" t="s">
        <v>102</v>
      </c>
      <c r="EC193" s="2" t="str">
        <f>HYPERLINK(".\links\gpi\AGAP010500-PA-gpi.txt","N")</f>
        <v>N</v>
      </c>
      <c r="ED193" s="2">
        <v>0.25</v>
      </c>
      <c r="EF193" s="2">
        <v>32</v>
      </c>
      <c r="EG193" s="2" t="str">
        <f>HYPERLINK(".\links\pep\AGAP010500-PA-sulf.txt","2")</f>
        <v>2</v>
      </c>
      <c r="EH193" s="2" t="s">
        <v>102</v>
      </c>
      <c r="EI193" s="2">
        <v>14.3491124260355</v>
      </c>
      <c r="EJ193" s="2">
        <v>4.2899408284023703</v>
      </c>
      <c r="EK193" s="2">
        <v>3.6982248520710099</v>
      </c>
      <c r="EL193" s="2">
        <v>7.9881656804733696</v>
      </c>
      <c r="EM193" s="2" t="s">
        <v>102</v>
      </c>
      <c r="EN193" s="2">
        <v>2</v>
      </c>
      <c r="EO193" s="2">
        <v>2</v>
      </c>
      <c r="EP193" s="2" t="s">
        <v>102</v>
      </c>
      <c r="EQ193" s="2" t="s">
        <v>102</v>
      </c>
      <c r="ER193" s="2" t="s">
        <v>102</v>
      </c>
      <c r="ES193" s="2" t="s">
        <v>102</v>
      </c>
      <c r="ET193" s="2" t="str">
        <f>HYPERLINK(".\links\REFSEQ-INVERTEBRATE\AGAP010500-PA-REFSEQ-INVERTEBRATE.txt","AGAP010500-PA, partial")</f>
        <v>AGAP010500-PA, partial</v>
      </c>
      <c r="EU193" s="2" t="str">
        <f>HYPERLINK("http://www.ncbi.nlm.nih.gov/sutils/blink.cgi?pid=XP_558034.2","0.0")</f>
        <v>0.0</v>
      </c>
      <c r="EV193" s="2" t="str">
        <f>HYPERLINK("http://www.ncbi.nlm.nih.gov/protein/XP_558034.2","XP_558034.2")</f>
        <v>XP_558034.2</v>
      </c>
      <c r="EW193" s="2">
        <v>95</v>
      </c>
      <c r="EX193" s="2">
        <v>95</v>
      </c>
      <c r="EY193" s="2">
        <v>104</v>
      </c>
      <c r="EZ193" s="2" t="s">
        <v>105</v>
      </c>
    </row>
    <row r="194" spans="1:156" x14ac:dyDescent="0.25">
      <c r="A194" s="2" t="s">
        <v>2196</v>
      </c>
      <c r="B194" s="2">
        <v>0.32295613635735099</v>
      </c>
      <c r="C194" s="2">
        <f t="shared" ref="C194:C257" si="3">2^B194</f>
        <v>1.2508910474934365</v>
      </c>
      <c r="D194" s="2">
        <v>7.0867738886944904</v>
      </c>
      <c r="E194" s="2">
        <v>13.2903609653278</v>
      </c>
      <c r="F194" s="2">
        <v>2.6677411447026899E-4</v>
      </c>
      <c r="G194" s="2">
        <v>1.86084079363509E-2</v>
      </c>
      <c r="H194" s="2" t="s">
        <v>2197</v>
      </c>
      <c r="I194" s="2" t="s">
        <v>94</v>
      </c>
      <c r="J194" s="2" t="str">
        <f>HYPERLINK("https://vectorbase.org/vectorbase/app/record/gene/AGAP012408","AGAP012408-RA")</f>
        <v>AGAP012408-RA</v>
      </c>
      <c r="K194" s="2" t="str">
        <f>HYPERLINK(".\links\pep\AGAP012408-PA-pep.txt","AGAP012408-PA")</f>
        <v>AGAP012408-PA</v>
      </c>
      <c r="L194" s="12" t="s">
        <v>95</v>
      </c>
      <c r="M194" s="2">
        <v>599</v>
      </c>
      <c r="N194" s="2">
        <v>0</v>
      </c>
      <c r="O194" s="2">
        <v>3</v>
      </c>
      <c r="P194" s="2" t="s">
        <v>2198</v>
      </c>
      <c r="Q194" s="9" t="s">
        <v>2199</v>
      </c>
      <c r="R194" s="2" t="s">
        <v>672</v>
      </c>
      <c r="S194" s="2" t="str">
        <f>HYPERLINK(".\links\REFSEQ-INVERTEBRATE\AGAP012408-PA-REFSEQ-INVERTEBRATE.txt","REFSEQ-INVERTEBRATE")</f>
        <v>REFSEQ-INVERTEBRATE</v>
      </c>
      <c r="T194" s="2">
        <v>0</v>
      </c>
      <c r="U194" s="2">
        <v>95.6</v>
      </c>
      <c r="V194" s="2" t="s">
        <v>2200</v>
      </c>
      <c r="W194" s="10" t="s">
        <v>2201</v>
      </c>
      <c r="X194" s="2" t="s">
        <v>781</v>
      </c>
      <c r="Y194" s="2" t="str">
        <f>HYPERLINK(".\links\REFSEQ-VIRUS\AGAP012408-PA-REFSEQ-VIRUS.txt","REFSEQ-VIRUS")</f>
        <v>REFSEQ-VIRUS</v>
      </c>
      <c r="Z194" s="15">
        <v>1E-42</v>
      </c>
      <c r="AA194" s="2">
        <v>104.5</v>
      </c>
      <c r="AB194" s="13" t="str">
        <f>HYPERLINK(".\links\pep\AGAP012408-PA-sulf.txt","2")</f>
        <v>2</v>
      </c>
      <c r="AC194" s="13" t="str">
        <f>HYPERLINK(".\links\Sigp\AGAP012408-PA-SigP.txt","CYT")</f>
        <v>CYT</v>
      </c>
      <c r="AD194" s="2" t="s">
        <v>102</v>
      </c>
      <c r="AE194" s="2">
        <v>67.209000000000003</v>
      </c>
      <c r="AF194" s="2">
        <v>6.32</v>
      </c>
      <c r="AG194" s="2" t="s">
        <v>102</v>
      </c>
      <c r="AH194" s="2" t="s">
        <v>102</v>
      </c>
      <c r="AI194" s="2" t="s">
        <v>211</v>
      </c>
      <c r="AJ194" s="13">
        <v>0</v>
      </c>
      <c r="AK194" s="2" t="s">
        <v>102</v>
      </c>
      <c r="AL194" s="2" t="s">
        <v>102</v>
      </c>
      <c r="AM194" s="2" t="s">
        <v>102</v>
      </c>
      <c r="AN194" s="13" t="str">
        <f>HYPERLINK(".\links\gpi\AGAP012408-PA-gpi.txt","N")</f>
        <v>N</v>
      </c>
      <c r="AO194" s="14" t="str">
        <f>HYPERLINK(".\links\netoglyc\AGAP012408-PA-netoglyc.txt","1")</f>
        <v>1</v>
      </c>
      <c r="AP194" s="13">
        <v>12</v>
      </c>
      <c r="AQ194" s="2">
        <v>5.8</v>
      </c>
      <c r="AR194" s="2">
        <v>5.3</v>
      </c>
      <c r="AS194" s="2" t="s">
        <v>104</v>
      </c>
      <c r="AT194" s="9" t="str">
        <f>HYPERLINK(".\links\NR-LIGHT\AGAP012408-PA-NR-LIGHT.txt","AGAP012408-PA, partial")</f>
        <v>AGAP012408-PA, partial</v>
      </c>
      <c r="AU194" s="2" t="str">
        <f>HYPERLINK("http://www.ncbi.nlm.nih.gov/sutils/blink.cgi?pid=XP_320147.4","0.0")</f>
        <v>0.0</v>
      </c>
      <c r="AV194" s="2" t="str">
        <f>HYPERLINK("http://www.ncbi.nlm.nih.gov/protein/XP_320147.4","XP_320147.4")</f>
        <v>XP_320147.4</v>
      </c>
      <c r="AW194" s="2">
        <v>100</v>
      </c>
      <c r="AX194" s="2">
        <v>100</v>
      </c>
      <c r="AY194" s="2">
        <v>100</v>
      </c>
      <c r="AZ194" s="2" t="s">
        <v>105</v>
      </c>
      <c r="BA194" s="9" t="str">
        <f>HYPERLINK(".\links\REFSEQ-INVERTEBRATE\AGAP012408-PA-REFSEQ-INVERTEBRATE.txt","AGAP012408-PA, partial")</f>
        <v>AGAP012408-PA, partial</v>
      </c>
      <c r="BB194" s="2" t="str">
        <f>HYPERLINK("http://www.ncbi.nlm.nih.gov/sutils/blink.cgi?pid=XP_320147.4","0.0")</f>
        <v>0.0</v>
      </c>
      <c r="BC194" s="2" t="str">
        <f>HYPERLINK("http://www.ncbi.nlm.nih.gov/protein/XP_320147.4","XP_320147.4")</f>
        <v>XP_320147.4</v>
      </c>
      <c r="BD194" s="2">
        <v>100</v>
      </c>
      <c r="BE194" s="2">
        <v>100</v>
      </c>
      <c r="BF194" s="2">
        <v>100</v>
      </c>
      <c r="BG194" s="2" t="s">
        <v>105</v>
      </c>
      <c r="BH194" s="9" t="str">
        <f>HYPERLINK(".\links\REFSEQ-PROTOZOA\AGAP012408-PA-REFSEQ-PROTOZOA.txt","hypothetical protein PTSG_02479")</f>
        <v>hypothetical protein PTSG_02479</v>
      </c>
      <c r="BI194" s="2" t="str">
        <f>HYPERLINK("http://www.ncbi.nlm.nih.gov/sutils/blink.cgi?pid=XP_004996970.1","1E-086")</f>
        <v>1E-086</v>
      </c>
      <c r="BJ194" s="2" t="str">
        <f>HYPERLINK("http://www.ncbi.nlm.nih.gov/protein/XP_004996970.1","XP_004996970.1")</f>
        <v>XP_004996970.1</v>
      </c>
      <c r="BK194" s="2">
        <v>35</v>
      </c>
      <c r="BL194" s="2">
        <v>54</v>
      </c>
      <c r="BM194" s="2">
        <v>79</v>
      </c>
      <c r="BN194" s="2" t="s">
        <v>435</v>
      </c>
      <c r="BO194" s="9" t="str">
        <f>HYPERLINK(".\links\SWISSP\AGAP012408-PA-SWISSP.txt","tRNA (uracil-5-)-methyltransferase homolog A")</f>
        <v>tRNA (uracil-5-)-methyltransferase homolog A</v>
      </c>
      <c r="BP194" s="2" t="str">
        <f>HYPERLINK("http://www.uniprot.org/uniprot/Q8IZ69","1E-117")</f>
        <v>1E-117</v>
      </c>
      <c r="BQ194" s="2" t="str">
        <f>HYPERLINK("http://www.uniprot.org/uniprot/Q8IZ69#expression","Q8IZ69")</f>
        <v>Q8IZ69</v>
      </c>
      <c r="BR194" s="2">
        <v>43</v>
      </c>
      <c r="BS194" s="2">
        <v>61</v>
      </c>
      <c r="BT194" s="2">
        <v>87</v>
      </c>
      <c r="BU194" s="2" t="s">
        <v>127</v>
      </c>
      <c r="BV194" s="9" t="str">
        <f>HYPERLINK(".\links\FLYBASE\AGAP012408-PA-FLYBASE.txt","FBpp0074808")</f>
        <v>FBpp0074808</v>
      </c>
      <c r="BW194" s="2" t="str">
        <f>HYPERLINK("http://flybase.org/reports/FBgn0036838#alliance_summary_container","0.0")</f>
        <v>0.0</v>
      </c>
      <c r="BX194" s="2">
        <v>615</v>
      </c>
      <c r="BY194" s="2">
        <v>48</v>
      </c>
      <c r="BZ194" s="2">
        <v>67</v>
      </c>
      <c r="CA194" s="2">
        <v>92</v>
      </c>
      <c r="CB194" s="9" t="str">
        <f>HYPERLINK(".\links\CDD\AGAP012408-PA-CDD.txt","TrmA, SAM-dependent methyltransferases related to tRNA (uracil-5-)-methyltransferase")</f>
        <v>TrmA, SAM-dependent methyltransferases related to tRNA (uracil-5-)-methyltransferase</v>
      </c>
      <c r="CC194" s="15">
        <v>3E-49</v>
      </c>
      <c r="CD194" s="2">
        <v>98.4</v>
      </c>
      <c r="CE194" s="2" t="s">
        <v>2202</v>
      </c>
      <c r="CF194" s="2" t="s">
        <v>2203</v>
      </c>
      <c r="CG194" s="9" t="str">
        <f>HYPERLINK(".\links\KOG\AGAP012408-PA-KOG.txt","tRNA uracil-5-methyltransferase and related tRNA-modifying enzymes")</f>
        <v>tRNA uracil-5-methyltransferase and related tRNA-modifying enzymes</v>
      </c>
      <c r="CH194" s="15">
        <v>9.9999999999999994E-107</v>
      </c>
      <c r="CI194" s="2">
        <v>98.7</v>
      </c>
      <c r="CJ194" s="2" t="s">
        <v>2204</v>
      </c>
      <c r="CK194" s="2" t="s">
        <v>678</v>
      </c>
      <c r="CL194" s="9" t="str">
        <f>HYPERLINK(".\links\PFAM\AGAP012408-PA-PFAM.txt","tRNA_U5-meth_tr, tRNA (Uracil-5-)-methyltransferase")</f>
        <v>tRNA_U5-meth_tr, tRNA (Uracil-5-)-methyltransferase</v>
      </c>
      <c r="CM194" s="15">
        <v>4.0000000000000001E-13</v>
      </c>
      <c r="CN194" s="2">
        <v>53.8</v>
      </c>
      <c r="CO194" s="2" t="s">
        <v>2205</v>
      </c>
      <c r="CP194" s="9" t="str">
        <f>HYPERLINK(".\links\SMART\AGAP012408-PA-SMART.txt","RRM, RNA recognition motif")</f>
        <v>RRM, RNA recognition motif</v>
      </c>
      <c r="CQ194" s="15">
        <v>2.0000000000000001E-4</v>
      </c>
      <c r="CR194" s="2">
        <v>95.9</v>
      </c>
      <c r="CS194" s="2" t="s">
        <v>1254</v>
      </c>
      <c r="CT194" s="2" t="s">
        <v>2200</v>
      </c>
      <c r="CU194" s="2" t="s">
        <v>2200</v>
      </c>
      <c r="CV194" s="2" t="s">
        <v>2200</v>
      </c>
      <c r="CW194" s="2" t="str">
        <f>HYPERLINK(".\links\pep\AGAP012408-PA-pep.txt","AGAP012408-PA")</f>
        <v>AGAP012408-PA</v>
      </c>
      <c r="CX194" s="2" t="s">
        <v>95</v>
      </c>
      <c r="CY194" s="2">
        <v>599</v>
      </c>
      <c r="CZ194" s="2" t="s">
        <v>113</v>
      </c>
      <c r="DA194" s="2" t="s">
        <v>2206</v>
      </c>
      <c r="DB194" s="2">
        <v>0</v>
      </c>
      <c r="DC194" s="2">
        <v>3</v>
      </c>
      <c r="DD194" s="2" t="str">
        <f>HYPERLINK("https://www.kegg.jp/kegg-bin/search_pathway_text?map=aga&amp;keyword=AGAP012408&amp;mode=1&amp;viewImage=true","AGAP012408")</f>
        <v>AGAP012408</v>
      </c>
      <c r="DE194" s="2" t="s">
        <v>2196</v>
      </c>
      <c r="DF194" s="2" t="s">
        <v>2197</v>
      </c>
      <c r="DG194" s="2" t="s">
        <v>94</v>
      </c>
      <c r="DH194" s="2" t="str">
        <f>HYPERLINK("https://vectorbase.org/vectorbase/app/record/gene/AGAP012408","AGAP012408-RA")</f>
        <v>AGAP012408-RA</v>
      </c>
      <c r="DI194" s="2" t="s">
        <v>115</v>
      </c>
      <c r="DJ194" s="2">
        <v>2184</v>
      </c>
      <c r="DK194" s="2" t="str">
        <f>HYPERLINK(".\links\netoglyc\AGAP012408-PA-netoglyc.txt","1")</f>
        <v>1</v>
      </c>
      <c r="DL194" s="2">
        <v>12</v>
      </c>
      <c r="DM194" s="2">
        <v>5.8</v>
      </c>
      <c r="DN194" s="2">
        <v>5.3</v>
      </c>
      <c r="DO194" s="2" t="s">
        <v>104</v>
      </c>
      <c r="DP194" s="2" t="s">
        <v>102</v>
      </c>
      <c r="DQ194" s="2" t="str">
        <f>HYPERLINK(".\links\Sigp\AGAP012408-PA-SigP.txt","CYT")</f>
        <v>CYT</v>
      </c>
      <c r="DR194" s="2" t="s">
        <v>102</v>
      </c>
      <c r="DS194" s="2">
        <v>67.209000000000003</v>
      </c>
      <c r="DT194" s="2">
        <v>6.32</v>
      </c>
      <c r="DU194" s="2" t="s">
        <v>102</v>
      </c>
      <c r="DV194" s="2" t="s">
        <v>102</v>
      </c>
      <c r="DW194" s="2" t="s">
        <v>211</v>
      </c>
      <c r="DX194" s="2">
        <v>599</v>
      </c>
      <c r="DY194" s="12">
        <v>0</v>
      </c>
      <c r="DZ194" s="2" t="s">
        <v>102</v>
      </c>
      <c r="EA194" s="2" t="s">
        <v>102</v>
      </c>
      <c r="EB194" s="2" t="s">
        <v>102</v>
      </c>
      <c r="EC194" s="2" t="str">
        <f>HYPERLINK(".\links\gpi\AGAP012408-PA-gpi.txt","N")</f>
        <v>N</v>
      </c>
      <c r="ED194" s="2">
        <v>0.18</v>
      </c>
      <c r="EF194" s="2">
        <v>14</v>
      </c>
      <c r="EG194" s="2" t="str">
        <f>HYPERLINK(".\links\pep\AGAP012408-PA-sulf.txt","2")</f>
        <v>2</v>
      </c>
      <c r="EH194" s="2" t="s">
        <v>102</v>
      </c>
      <c r="EI194" s="2">
        <v>12.0200333889816</v>
      </c>
      <c r="EJ194" s="2">
        <v>5.3422370617696204</v>
      </c>
      <c r="EK194" s="2">
        <v>5.8430717863105199</v>
      </c>
      <c r="EL194" s="2">
        <v>11.1853088480801</v>
      </c>
      <c r="EM194" s="2" t="s">
        <v>102</v>
      </c>
      <c r="EN194" s="2">
        <v>2</v>
      </c>
      <c r="EO194" s="2">
        <v>3</v>
      </c>
      <c r="EP194" s="2" t="s">
        <v>102</v>
      </c>
      <c r="EQ194" s="2" t="s">
        <v>102</v>
      </c>
      <c r="ER194" s="2" t="s">
        <v>102</v>
      </c>
      <c r="ES194" s="2" t="s">
        <v>102</v>
      </c>
      <c r="ET194" s="2" t="str">
        <f>HYPERLINK(".\links\REFSEQ-INVERTEBRATE\AGAP012408-PA-REFSEQ-INVERTEBRATE.txt","AGAP012408-PA, partial")</f>
        <v>AGAP012408-PA, partial</v>
      </c>
      <c r="EU194" s="2" t="str">
        <f>HYPERLINK("http://www.ncbi.nlm.nih.gov/sutils/blink.cgi?pid=XP_320147.4","0.0")</f>
        <v>0.0</v>
      </c>
      <c r="EV194" s="2" t="str">
        <f>HYPERLINK("http://www.ncbi.nlm.nih.gov/protein/XP_320147.4","XP_320147.4")</f>
        <v>XP_320147.4</v>
      </c>
      <c r="EW194" s="2">
        <v>100</v>
      </c>
      <c r="EX194" s="2">
        <v>100</v>
      </c>
      <c r="EY194" s="2">
        <v>100</v>
      </c>
      <c r="EZ194" s="2" t="s">
        <v>105</v>
      </c>
    </row>
    <row r="195" spans="1:156" x14ac:dyDescent="0.25">
      <c r="A195" s="2" t="s">
        <v>2207</v>
      </c>
      <c r="B195" s="2">
        <v>0.32158819329724497</v>
      </c>
      <c r="C195" s="2">
        <f t="shared" si="3"/>
        <v>1.2497055324038422</v>
      </c>
      <c r="D195" s="2">
        <v>6.7338715745991999</v>
      </c>
      <c r="E195" s="2">
        <v>9.4719591773295502</v>
      </c>
      <c r="F195" s="2">
        <v>2.0863643225412999E-3</v>
      </c>
      <c r="G195" s="2">
        <v>4.4408467383681503E-2</v>
      </c>
      <c r="H195" s="2" t="s">
        <v>2208</v>
      </c>
      <c r="I195" s="2" t="s">
        <v>94</v>
      </c>
      <c r="J195" s="2" t="str">
        <f>HYPERLINK("https://vectorbase.org/vectorbase/app/record/gene/AGAP001136","AGAP001136-RA")</f>
        <v>AGAP001136-RA</v>
      </c>
      <c r="K195" s="2" t="str">
        <f>HYPERLINK(".\links\pep\AGAP001136-PA-pep.txt","AGAP001136-PA")</f>
        <v>AGAP001136-PA</v>
      </c>
      <c r="L195" s="12" t="s">
        <v>95</v>
      </c>
      <c r="M195" s="2">
        <v>307</v>
      </c>
      <c r="N195" s="2">
        <v>0</v>
      </c>
      <c r="O195" s="2">
        <v>0</v>
      </c>
      <c r="P195" s="2" t="s">
        <v>2209</v>
      </c>
      <c r="Q195" s="9" t="s">
        <v>2210</v>
      </c>
      <c r="R195" s="2" t="s">
        <v>101</v>
      </c>
      <c r="S195" s="2" t="str">
        <f>HYPERLINK(".\links\REFSEQ-INVERTEBRATE\AGAP001136-PA-REFSEQ-INVERTEBRATE.txt","REFSEQ-INVERTEBRATE")</f>
        <v>REFSEQ-INVERTEBRATE</v>
      </c>
      <c r="T195" s="2">
        <v>0</v>
      </c>
      <c r="U195" s="2">
        <v>100</v>
      </c>
      <c r="V195" s="2" t="s">
        <v>2210</v>
      </c>
      <c r="W195" s="10" t="s">
        <v>2211</v>
      </c>
      <c r="X195" s="2" t="s">
        <v>101</v>
      </c>
      <c r="Y195" s="2" t="str">
        <f>HYPERLINK(".\links\UNIPROTKB\AGAP001136-PA-UNIPROTKB.txt","UNIPROTKB")</f>
        <v>UNIPROTKB</v>
      </c>
      <c r="Z195" s="15">
        <v>2E-87</v>
      </c>
      <c r="AA195" s="2">
        <v>98.3</v>
      </c>
      <c r="AB195" s="13" t="str">
        <f>HYPERLINK(".\links\pep\AGAP001136-PA-sulf.txt","1")</f>
        <v>1</v>
      </c>
      <c r="AC195" s="13" t="str">
        <f>HYPERLINK(".\links\Sigp\AGAP001136-PA-SigP.txt","CYT")</f>
        <v>CYT</v>
      </c>
      <c r="AD195" s="2" t="s">
        <v>102</v>
      </c>
      <c r="AE195" s="2">
        <v>34.978000000000002</v>
      </c>
      <c r="AF195" s="2">
        <v>6.76</v>
      </c>
      <c r="AG195" s="2" t="s">
        <v>102</v>
      </c>
      <c r="AH195" s="2" t="s">
        <v>102</v>
      </c>
      <c r="AI195" s="2" t="s">
        <v>2212</v>
      </c>
      <c r="AJ195" s="13">
        <v>0</v>
      </c>
      <c r="AK195" s="2" t="s">
        <v>102</v>
      </c>
      <c r="AL195" s="2" t="s">
        <v>102</v>
      </c>
      <c r="AM195" s="2" t="s">
        <v>102</v>
      </c>
      <c r="AN195" s="13" t="str">
        <f>HYPERLINK(".\links\gpi\AGAP001136-PA-gpi.txt","N")</f>
        <v>N</v>
      </c>
      <c r="AO195" s="14" t="str">
        <f>HYPERLINK(".\links\netoglyc\AGAP001136-PA-netoglyc.txt","0")</f>
        <v>0</v>
      </c>
      <c r="AP195" s="13">
        <v>8.1</v>
      </c>
      <c r="AQ195" s="2">
        <v>5.2</v>
      </c>
      <c r="AR195" s="2">
        <v>1.3</v>
      </c>
      <c r="AS195" s="2" t="s">
        <v>104</v>
      </c>
      <c r="AT195" s="9" t="str">
        <f>HYPERLINK(".\links\NR-LIGHT\AGAP001136-PA-NR-LIGHT.txt","AGAP001136-PA")</f>
        <v>AGAP001136-PA</v>
      </c>
      <c r="AU195" s="2" t="str">
        <f>HYPERLINK("http://www.ncbi.nlm.nih.gov/sutils/blink.cgi?pid=XP_322025.4","1E-175")</f>
        <v>1E-175</v>
      </c>
      <c r="AV195" s="2" t="str">
        <f>HYPERLINK("http://www.ncbi.nlm.nih.gov/protein/XP_322025.4","XP_322025.4")</f>
        <v>XP_322025.4</v>
      </c>
      <c r="AW195" s="2">
        <v>100</v>
      </c>
      <c r="AX195" s="2">
        <v>100</v>
      </c>
      <c r="AY195" s="2">
        <v>100</v>
      </c>
      <c r="AZ195" s="2" t="s">
        <v>105</v>
      </c>
      <c r="BA195" s="9" t="str">
        <f>HYPERLINK(".\links\REFSEQ-INVERTEBRATE\AGAP001136-PA-REFSEQ-INVERTEBRATE.txt","AGAP001136-PA")</f>
        <v>AGAP001136-PA</v>
      </c>
      <c r="BB195" s="2" t="str">
        <f>HYPERLINK("http://www.ncbi.nlm.nih.gov/sutils/blink.cgi?pid=XP_322025.4","1E-175")</f>
        <v>1E-175</v>
      </c>
      <c r="BC195" s="2" t="str">
        <f>HYPERLINK("http://www.ncbi.nlm.nih.gov/protein/XP_322025.4","XP_322025.4")</f>
        <v>XP_322025.4</v>
      </c>
      <c r="BD195" s="2">
        <v>100</v>
      </c>
      <c r="BE195" s="2">
        <v>100</v>
      </c>
      <c r="BF195" s="2">
        <v>100</v>
      </c>
      <c r="BG195" s="2" t="s">
        <v>105</v>
      </c>
      <c r="BH195" s="9" t="str">
        <f>HYPERLINK(".\links\REFSEQ-PROTOZOA\AGAP001136-PA-REFSEQ-PROTOZOA.txt","hypothetical protein")</f>
        <v>hypothetical protein</v>
      </c>
      <c r="BI195" s="2" t="str">
        <f>HYPERLINK("http://www.ncbi.nlm.nih.gov/sutils/blink.cgi?pid=XP_001743680.1","7E-040")</f>
        <v>7E-040</v>
      </c>
      <c r="BJ195" s="2" t="str">
        <f>HYPERLINK("http://www.ncbi.nlm.nih.gov/protein/XP_001743680.1","XP_001743680.1")</f>
        <v>XP_001743680.1</v>
      </c>
      <c r="BK195" s="2">
        <v>41</v>
      </c>
      <c r="BL195" s="2">
        <v>61</v>
      </c>
      <c r="BM195" s="2">
        <v>35</v>
      </c>
      <c r="BN195" s="2" t="s">
        <v>248</v>
      </c>
      <c r="BO195" s="9" t="str">
        <f>HYPERLINK(".\links\SWISSP\AGAP001136-PA-SWISSP.txt","ER membrane protein complex subunit 2")</f>
        <v>ER membrane protein complex subunit 2</v>
      </c>
      <c r="BP195" s="2" t="str">
        <f>HYPERLINK("http://www.uniprot.org/uniprot/Q5M7J9","1E-069")</f>
        <v>1E-069</v>
      </c>
      <c r="BQ195" s="2" t="str">
        <f>HYPERLINK("http://www.uniprot.org/uniprot/Q5M7J9#expression","Q5M7J9")</f>
        <v>Q5M7J9</v>
      </c>
      <c r="BR195" s="2">
        <v>44</v>
      </c>
      <c r="BS195" s="2">
        <v>68</v>
      </c>
      <c r="BT195" s="2">
        <v>98</v>
      </c>
      <c r="BU195" s="2" t="s">
        <v>459</v>
      </c>
      <c r="BV195" s="9" t="str">
        <f>HYPERLINK(".\links\FLYBASE\AGAP001136-PA-FLYBASE.txt","FBpp0307992")</f>
        <v>FBpp0307992</v>
      </c>
      <c r="BW195" s="2" t="str">
        <f>HYPERLINK("http://flybase.org/reports/FBgn0038462#alliance_summary_container","1E-128")</f>
        <v>1E-128</v>
      </c>
      <c r="BX195" s="2">
        <v>282</v>
      </c>
      <c r="BY195" s="2">
        <v>65</v>
      </c>
      <c r="BZ195" s="2">
        <v>80</v>
      </c>
      <c r="CA195" s="2">
        <v>93</v>
      </c>
      <c r="CB195" s="9" t="str">
        <f>HYPERLINK(".\links\CDD\AGAP001136-PA-CDD.txt","TPR_domain_protein, putative PEP-CTERM system TPR-repeat lipoprotein")</f>
        <v>TPR_domain_protein, putative PEP-CTERM system TPR-repeat lipoprotein</v>
      </c>
      <c r="CC195" s="15">
        <v>8.0000000000000002E-8</v>
      </c>
      <c r="CD195" s="2">
        <v>24.2</v>
      </c>
      <c r="CE195" s="2" t="s">
        <v>2213</v>
      </c>
      <c r="CF195" s="2" t="s">
        <v>2214</v>
      </c>
      <c r="CG195" s="9" t="str">
        <f>HYPERLINK(".\links\KOG\AGAP001136-PA-KOG.txt","Uncharacterized conserved protein")</f>
        <v>Uncharacterized conserved protein</v>
      </c>
      <c r="CH195" s="15">
        <v>2.0000000000000001E-84</v>
      </c>
      <c r="CI195" s="2">
        <v>96.9</v>
      </c>
      <c r="CJ195" s="2" t="s">
        <v>2215</v>
      </c>
      <c r="CK195" s="2" t="s">
        <v>284</v>
      </c>
      <c r="CL195" s="9" t="str">
        <f>HYPERLINK(".\links\PFAM\AGAP001136-PA-PFAM.txt","TPR_2, Tetratricopeptide repeat")</f>
        <v>TPR_2, Tetratricopeptide repeat</v>
      </c>
      <c r="CM195" s="15">
        <v>6.7000000000000004E-2</v>
      </c>
      <c r="CN195" s="2">
        <v>94.1</v>
      </c>
      <c r="CO195" s="2" t="s">
        <v>2216</v>
      </c>
      <c r="CP195" s="9" t="str">
        <f>HYPERLINK(".\links\SMART\AGAP001136-PA-SMART.txt","BTAD, Bacterial transcriptional activator domain")</f>
        <v>BTAD, Bacterial transcriptional activator domain</v>
      </c>
      <c r="CQ195" s="15">
        <v>3.0000000000000001E-3</v>
      </c>
      <c r="CR195" s="2">
        <v>37.9</v>
      </c>
      <c r="CS195" s="2" t="s">
        <v>2217</v>
      </c>
      <c r="CT195" s="2" t="s">
        <v>2210</v>
      </c>
      <c r="CU195" s="2" t="s">
        <v>2210</v>
      </c>
      <c r="CV195" s="2" t="s">
        <v>2210</v>
      </c>
      <c r="CW195" s="2" t="str">
        <f>HYPERLINK(".\links\pep\AGAP001136-PA-pep.txt","AGAP001136-PA")</f>
        <v>AGAP001136-PA</v>
      </c>
      <c r="CX195" s="2" t="s">
        <v>95</v>
      </c>
      <c r="CY195" s="2">
        <v>307</v>
      </c>
      <c r="CZ195" s="2" t="s">
        <v>113</v>
      </c>
      <c r="DA195" s="2" t="s">
        <v>2218</v>
      </c>
      <c r="DB195" s="2">
        <v>0</v>
      </c>
      <c r="DC195" s="2">
        <v>0</v>
      </c>
      <c r="DD195" s="2" t="str">
        <f>HYPERLINK("https://www.kegg.jp/kegg-bin/search_pathway_text?map=aga&amp;keyword=AGAP001136&amp;mode=1&amp;viewImage=true","AGAP001136")</f>
        <v>AGAP001136</v>
      </c>
      <c r="DE195" s="2" t="s">
        <v>2207</v>
      </c>
      <c r="DF195" s="2" t="s">
        <v>2208</v>
      </c>
      <c r="DG195" s="2" t="s">
        <v>94</v>
      </c>
      <c r="DH195" s="2" t="str">
        <f>HYPERLINK("https://vectorbase.org/vectorbase/app/record/gene/AGAP001136","AGAP001136-RA")</f>
        <v>AGAP001136-RA</v>
      </c>
      <c r="DI195" s="2" t="s">
        <v>135</v>
      </c>
      <c r="DJ195" s="2">
        <v>1453</v>
      </c>
      <c r="DK195" s="2" t="str">
        <f>HYPERLINK(".\links\netoglyc\AGAP001136-PA-netoglyc.txt","0")</f>
        <v>0</v>
      </c>
      <c r="DL195" s="2">
        <v>8.1</v>
      </c>
      <c r="DM195" s="2">
        <v>5.2</v>
      </c>
      <c r="DN195" s="2">
        <v>1.3</v>
      </c>
      <c r="DO195" s="2" t="s">
        <v>104</v>
      </c>
      <c r="DP195" s="2" t="s">
        <v>102</v>
      </c>
      <c r="DQ195" s="2" t="str">
        <f>HYPERLINK(".\links\Sigp\AGAP001136-PA-SigP.txt","CYT")</f>
        <v>CYT</v>
      </c>
      <c r="DR195" s="2" t="s">
        <v>102</v>
      </c>
      <c r="DS195" s="2">
        <v>34.978000000000002</v>
      </c>
      <c r="DT195" s="2">
        <v>6.76</v>
      </c>
      <c r="DU195" s="2" t="s">
        <v>102</v>
      </c>
      <c r="DV195" s="2" t="s">
        <v>102</v>
      </c>
      <c r="DW195" s="2" t="s">
        <v>2212</v>
      </c>
      <c r="DX195" s="2">
        <v>307</v>
      </c>
      <c r="DY195" s="12">
        <v>0</v>
      </c>
      <c r="DZ195" s="2" t="s">
        <v>102</v>
      </c>
      <c r="EA195" s="2" t="s">
        <v>102</v>
      </c>
      <c r="EB195" s="2" t="s">
        <v>102</v>
      </c>
      <c r="EC195" s="2" t="str">
        <f>HYPERLINK(".\links\gpi\AGAP001136-PA-gpi.txt","N")</f>
        <v>N</v>
      </c>
      <c r="ED195" s="2">
        <v>0.32</v>
      </c>
      <c r="EF195" s="2">
        <v>9</v>
      </c>
      <c r="EG195" s="2" t="str">
        <f>HYPERLINK(".\links\pep\AGAP001136-PA-sulf.txt","1")</f>
        <v>1</v>
      </c>
      <c r="EH195" s="2" t="s">
        <v>102</v>
      </c>
      <c r="EI195" s="2">
        <v>8.1433224755700309</v>
      </c>
      <c r="EJ195" s="2">
        <v>1.30293159609121</v>
      </c>
      <c r="EK195" s="2">
        <v>5.2117263843648196</v>
      </c>
      <c r="EL195" s="2">
        <v>6.5146579804560298</v>
      </c>
      <c r="EM195" s="2" t="s">
        <v>102</v>
      </c>
      <c r="EN195" s="2">
        <v>1</v>
      </c>
      <c r="EO195" s="2">
        <v>1</v>
      </c>
      <c r="EP195" s="2" t="s">
        <v>102</v>
      </c>
      <c r="EQ195" s="2" t="s">
        <v>102</v>
      </c>
      <c r="ER195" s="2" t="s">
        <v>102</v>
      </c>
      <c r="ES195" s="2" t="s">
        <v>102</v>
      </c>
      <c r="ET195" s="2" t="str">
        <f>HYPERLINK(".\links\REFSEQ-INVERTEBRATE\AGAP001136-PA-REFSEQ-INVERTEBRATE.txt","AGAP001136-PA")</f>
        <v>AGAP001136-PA</v>
      </c>
      <c r="EU195" s="2" t="str">
        <f>HYPERLINK("http://www.ncbi.nlm.nih.gov/sutils/blink.cgi?pid=XP_322025.4","0.0")</f>
        <v>0.0</v>
      </c>
      <c r="EV195" s="2" t="str">
        <f>HYPERLINK("http://www.ncbi.nlm.nih.gov/protein/XP_322025.4","XP_322025.4")</f>
        <v>XP_322025.4</v>
      </c>
      <c r="EW195" s="2">
        <v>100</v>
      </c>
      <c r="EX195" s="2">
        <v>100</v>
      </c>
      <c r="EY195" s="2">
        <v>100</v>
      </c>
      <c r="EZ195" s="2" t="s">
        <v>105</v>
      </c>
    </row>
    <row r="196" spans="1:156" x14ac:dyDescent="0.25">
      <c r="A196" s="2" t="s">
        <v>2219</v>
      </c>
      <c r="B196" s="2">
        <v>0.32149679753857202</v>
      </c>
      <c r="C196" s="2">
        <f t="shared" si="3"/>
        <v>1.2496263651757016</v>
      </c>
      <c r="D196" s="2">
        <v>6.5987557478946099</v>
      </c>
      <c r="E196" s="2">
        <v>11.123014313114099</v>
      </c>
      <c r="F196" s="2">
        <v>8.5263107375532104E-4</v>
      </c>
      <c r="G196" s="2">
        <v>3.0356607143661E-2</v>
      </c>
      <c r="H196" s="2" t="s">
        <v>2220</v>
      </c>
      <c r="I196" s="2" t="s">
        <v>94</v>
      </c>
      <c r="J196" s="2" t="str">
        <f>HYPERLINK("https://vectorbase.org/vectorbase/app/record/gene/AGAP010234","AGAP010234-RA")</f>
        <v>AGAP010234-RA</v>
      </c>
      <c r="K196" s="2" t="str">
        <f>HYPERLINK(".\links\pep\AGAP010234-PA-pep.txt","AGAP010234-PA")</f>
        <v>AGAP010234-PA</v>
      </c>
      <c r="L196" s="12" t="s">
        <v>95</v>
      </c>
      <c r="M196" s="2">
        <v>878</v>
      </c>
      <c r="N196" s="2">
        <v>0</v>
      </c>
      <c r="O196" s="2">
        <v>2</v>
      </c>
      <c r="P196" s="2" t="s">
        <v>2221</v>
      </c>
      <c r="Q196" s="9" t="s">
        <v>2222</v>
      </c>
      <c r="R196" s="2" t="s">
        <v>181</v>
      </c>
      <c r="S196" s="2" t="str">
        <f>HYPERLINK(".\links\KOG\AGAP010234-PA-KOG.txt","KOG")</f>
        <v>KOG</v>
      </c>
      <c r="T196" s="2">
        <v>0</v>
      </c>
      <c r="U196" s="2">
        <v>94.9</v>
      </c>
      <c r="V196" s="2" t="s">
        <v>2223</v>
      </c>
      <c r="W196" s="10" t="s">
        <v>2224</v>
      </c>
      <c r="X196" s="2" t="s">
        <v>181</v>
      </c>
      <c r="Y196" s="2" t="str">
        <f>HYPERLINK(".\links\KOG\AGAP010234-PA-KOG.txt","KOG")</f>
        <v>KOG</v>
      </c>
      <c r="Z196" s="15">
        <v>5.0000000000000003E-38</v>
      </c>
      <c r="AA196" s="2">
        <v>93</v>
      </c>
      <c r="AB196" s="13" t="str">
        <f>HYPERLINK(".\links\pep\AGAP010234-PA-sulf.txt","3")</f>
        <v>3</v>
      </c>
      <c r="AC196" s="13" t="str">
        <f>HYPERLINK(".\links\Sigp\AGAP010234-PA-SigP.txt","SIG")</f>
        <v>SIG</v>
      </c>
      <c r="AD196" s="2" t="s">
        <v>2225</v>
      </c>
      <c r="AE196" s="2">
        <v>97.793000000000006</v>
      </c>
      <c r="AF196" s="2">
        <v>6.98</v>
      </c>
      <c r="AG196" s="2">
        <v>94.858999999999995</v>
      </c>
      <c r="AH196" s="2">
        <v>6.66</v>
      </c>
      <c r="AI196" s="2" t="s">
        <v>2226</v>
      </c>
      <c r="AJ196" s="13" t="str">
        <f>HYPERLINK(".\links\tmhmm\AGAP010234-PA-tmhmm.txt","1")</f>
        <v>1</v>
      </c>
      <c r="AK196" s="2">
        <v>2.2000000000000002</v>
      </c>
      <c r="AL196" s="2">
        <v>97</v>
      </c>
      <c r="AM196" s="2">
        <v>0.8</v>
      </c>
      <c r="AN196" s="13" t="str">
        <f>HYPERLINK(".\links\gpi\AGAP010234-PA-gpi.txt","N")</f>
        <v>N</v>
      </c>
      <c r="AO196" s="14" t="str">
        <f>HYPERLINK(".\links\netoglyc\AGAP010234-PA-netoglyc.txt","0")</f>
        <v>0</v>
      </c>
      <c r="AP196" s="13">
        <v>16.100000000000001</v>
      </c>
      <c r="AQ196" s="2">
        <v>5.9</v>
      </c>
      <c r="AR196" s="2">
        <v>2.2000000000000002</v>
      </c>
      <c r="AS196" s="2" t="s">
        <v>104</v>
      </c>
      <c r="AT196" s="9" t="str">
        <f>HYPERLINK(".\links\NR-LIGHT\AGAP010234-PA-NR-LIGHT.txt","AGAP010234-PA, partial")</f>
        <v>AGAP010234-PA, partial</v>
      </c>
      <c r="AU196" s="2" t="str">
        <f>HYPERLINK("http://www.ncbi.nlm.nih.gov/sutils/blink.cgi?pid=XP_319421.4","0.0")</f>
        <v>0.0</v>
      </c>
      <c r="AV196" s="2" t="str">
        <f>HYPERLINK("http://www.ncbi.nlm.nih.gov/protein/XP_319421.4","XP_319421.4")</f>
        <v>XP_319421.4</v>
      </c>
      <c r="AW196" s="2">
        <v>100</v>
      </c>
      <c r="AX196" s="2">
        <v>100</v>
      </c>
      <c r="AY196" s="2">
        <v>99</v>
      </c>
      <c r="AZ196" s="2" t="s">
        <v>105</v>
      </c>
      <c r="BA196" s="9" t="str">
        <f>HYPERLINK(".\links\REFSEQ-INVERTEBRATE\AGAP010234-PA-REFSEQ-INVERTEBRATE.txt","AGAP010234-PA, partial")</f>
        <v>AGAP010234-PA, partial</v>
      </c>
      <c r="BB196" s="2" t="str">
        <f>HYPERLINK("http://www.ncbi.nlm.nih.gov/sutils/blink.cgi?pid=XP_319421.4","0.0")</f>
        <v>0.0</v>
      </c>
      <c r="BC196" s="2" t="str">
        <f>HYPERLINK("http://www.ncbi.nlm.nih.gov/protein/XP_319421.4","XP_319421.4")</f>
        <v>XP_319421.4</v>
      </c>
      <c r="BD196" s="2">
        <v>100</v>
      </c>
      <c r="BE196" s="2">
        <v>100</v>
      </c>
      <c r="BF196" s="2">
        <v>99</v>
      </c>
      <c r="BG196" s="2" t="s">
        <v>105</v>
      </c>
      <c r="BH196" s="9" t="str">
        <f>HYPERLINK(".\links\REFSEQ-PROTOZOA\AGAP010234-PA-REFSEQ-PROTOZOA.txt","viral A-type inclusion protein")</f>
        <v>viral A-type inclusion protein</v>
      </c>
      <c r="BI196" s="2" t="str">
        <f>HYPERLINK("http://www.ncbi.nlm.nih.gov/sutils/blink.cgi?pid=XP_001310118.1","0.007")</f>
        <v>0.007</v>
      </c>
      <c r="BJ196" s="2" t="str">
        <f>HYPERLINK("http://www.ncbi.nlm.nih.gov/protein/XP_001310118.1","XP_001310118.1")</f>
        <v>XP_001310118.1</v>
      </c>
      <c r="BK196" s="2">
        <v>19</v>
      </c>
      <c r="BL196" s="2">
        <v>41</v>
      </c>
      <c r="BM196" s="2">
        <v>9</v>
      </c>
      <c r="BN196" s="2" t="s">
        <v>292</v>
      </c>
      <c r="BO196" s="9" t="str">
        <f>HYPERLINK(".\links\SWISSP\AGAP010234-PA-SWISSP.txt","Microsomal triglyceride transfer protein large subunit")</f>
        <v>Microsomal triglyceride transfer protein large subunit</v>
      </c>
      <c r="BP196" s="2" t="str">
        <f>HYPERLINK("http://www.uniprot.org/uniprot/Q865F1","1E-058")</f>
        <v>1E-058</v>
      </c>
      <c r="BQ196" s="2" t="str">
        <f>HYPERLINK("http://www.uniprot.org/uniprot/Q865F1#expression","Q865F1")</f>
        <v>Q865F1</v>
      </c>
      <c r="BR196" s="2">
        <v>22</v>
      </c>
      <c r="BS196" s="2">
        <v>45</v>
      </c>
      <c r="BT196" s="2">
        <v>101</v>
      </c>
      <c r="BU196" s="2" t="s">
        <v>1889</v>
      </c>
      <c r="BV196" s="9" t="str">
        <f>HYPERLINK(".\links\FLYBASE\AGAP010234-PA-FLYBASE.txt","FBpp0080968")</f>
        <v>FBpp0080968</v>
      </c>
      <c r="BW196" s="2" t="str">
        <f>HYPERLINK("http://flybase.org/reports/FBgn0266369#alliance_summary_container","1E-156")</f>
        <v>1E-156</v>
      </c>
      <c r="BX196" s="2">
        <v>886</v>
      </c>
      <c r="BY196" s="2">
        <v>36</v>
      </c>
      <c r="BZ196" s="2">
        <v>56</v>
      </c>
      <c r="CA196" s="2">
        <v>95</v>
      </c>
      <c r="CB196" s="9" t="str">
        <f>HYPERLINK(".\links\CDD\AGAP010234-PA-CDD.txt","LPD_N, Lipoprotein N-terminal Domain")</f>
        <v>LPD_N, Lipoprotein N-terminal Domain</v>
      </c>
      <c r="CC196" s="15">
        <v>3.9999999999999996E-21</v>
      </c>
      <c r="CD196" s="2">
        <v>86.6</v>
      </c>
      <c r="CE196" s="2" t="s">
        <v>1731</v>
      </c>
      <c r="CF196" s="2" t="s">
        <v>2227</v>
      </c>
      <c r="CG196" s="9" t="str">
        <f>HYPERLINK(".\links\KOG\AGAP010234-PA-KOG.txt","Microsomal triglyceride transfer protein")</f>
        <v>Microsomal triglyceride transfer protein</v>
      </c>
      <c r="CH196" s="15">
        <v>1E-107</v>
      </c>
      <c r="CI196" s="2">
        <v>95</v>
      </c>
      <c r="CJ196" s="2" t="s">
        <v>2228</v>
      </c>
      <c r="CK196" s="2" t="s">
        <v>381</v>
      </c>
      <c r="CL196" s="9" t="str">
        <f>HYPERLINK(".\links\PFAM\AGAP010234-PA-PFAM.txt","Vitellogenin_N, Lipoprotein amino terminal region")</f>
        <v>Vitellogenin_N, Lipoprotein amino terminal region</v>
      </c>
      <c r="CM196" s="15">
        <v>3.0000000000000001E-17</v>
      </c>
      <c r="CN196" s="2">
        <v>102.1</v>
      </c>
      <c r="CO196" s="2" t="s">
        <v>2229</v>
      </c>
      <c r="CP196" s="9" t="str">
        <f>HYPERLINK(".\links\SMART\AGAP010234-PA-SMART.txt","LPD_N, Lipoprotein N-terminal Domain")</f>
        <v>LPD_N, Lipoprotein N-terminal Domain</v>
      </c>
      <c r="CQ196" s="15">
        <v>3E-23</v>
      </c>
      <c r="CR196" s="2">
        <v>86.6</v>
      </c>
      <c r="CS196" s="2" t="s">
        <v>1731</v>
      </c>
      <c r="CT196" s="2" t="s">
        <v>2223</v>
      </c>
      <c r="CU196" s="2" t="s">
        <v>2223</v>
      </c>
      <c r="CV196" s="2" t="s">
        <v>2223</v>
      </c>
      <c r="CW196" s="2" t="str">
        <f>HYPERLINK(".\links\pep\AGAP010234-PA-pep.txt","AGAP010234-PA")</f>
        <v>AGAP010234-PA</v>
      </c>
      <c r="CX196" s="2" t="s">
        <v>95</v>
      </c>
      <c r="CY196" s="2">
        <v>878</v>
      </c>
      <c r="CZ196" s="2" t="s">
        <v>113</v>
      </c>
      <c r="DA196" s="2" t="s">
        <v>2230</v>
      </c>
      <c r="DB196" s="2">
        <v>0</v>
      </c>
      <c r="DC196" s="2">
        <v>2</v>
      </c>
      <c r="DD196" s="2" t="str">
        <f>HYPERLINK("https://www.kegg.jp/kegg-bin/search_pathway_text?map=aga&amp;keyword=AGAP010234&amp;mode=1&amp;viewImage=true","AGAP010234")</f>
        <v>AGAP010234</v>
      </c>
      <c r="DE196" s="2" t="s">
        <v>2219</v>
      </c>
      <c r="DF196" s="2" t="s">
        <v>2220</v>
      </c>
      <c r="DG196" s="2" t="s">
        <v>94</v>
      </c>
      <c r="DH196" s="2" t="str">
        <f>HYPERLINK("https://vectorbase.org/vectorbase/app/record/gene/AGAP010234","AGAP010234-RA")</f>
        <v>AGAP010234-RA</v>
      </c>
      <c r="DI196" s="2" t="s">
        <v>90</v>
      </c>
      <c r="DJ196" s="2">
        <v>3047</v>
      </c>
      <c r="DK196" s="2" t="str">
        <f>HYPERLINK(".\links\netoglyc\AGAP010234-PA-netoglyc.txt","0")</f>
        <v>0</v>
      </c>
      <c r="DL196" s="2">
        <v>16.100000000000001</v>
      </c>
      <c r="DM196" s="2">
        <v>5.9</v>
      </c>
      <c r="DN196" s="2">
        <v>2.2000000000000002</v>
      </c>
      <c r="DO196" s="2" t="s">
        <v>104</v>
      </c>
      <c r="DP196" s="2" t="s">
        <v>102</v>
      </c>
      <c r="DQ196" s="2" t="str">
        <f>HYPERLINK(".\links\Sigp\AGAP010234-PA-SigP.txt","SIG")</f>
        <v>SIG</v>
      </c>
      <c r="DR196" s="2" t="s">
        <v>2225</v>
      </c>
      <c r="DS196" s="2">
        <v>97.793000000000006</v>
      </c>
      <c r="DT196" s="2">
        <v>6.98</v>
      </c>
      <c r="DU196" s="2">
        <v>94.858999999999995</v>
      </c>
      <c r="DV196" s="2">
        <v>6.66</v>
      </c>
      <c r="DW196" s="2" t="s">
        <v>2226</v>
      </c>
      <c r="DX196" s="2">
        <v>878</v>
      </c>
      <c r="DY196" s="12" t="str">
        <f>HYPERLINK(".\links\tmhmm\AGAP010234-PA-tmhmm.txt","1")</f>
        <v>1</v>
      </c>
      <c r="DZ196" s="2">
        <v>2.2000000000000002</v>
      </c>
      <c r="EA196" s="2">
        <v>97</v>
      </c>
      <c r="EB196" s="2">
        <v>0.8</v>
      </c>
      <c r="EC196" s="2" t="str">
        <f>HYPERLINK(".\links\gpi\AGAP010234-PA-gpi.txt","Y-NoSP")</f>
        <v>Y-NoSP</v>
      </c>
      <c r="ED196" s="2">
        <v>0.18</v>
      </c>
      <c r="EF196" s="2">
        <v>12</v>
      </c>
      <c r="EG196" s="2" t="str">
        <f>HYPERLINK(".\links\pep\AGAP010234-PA-sulf.txt","3")</f>
        <v>3</v>
      </c>
      <c r="EH196" s="2" t="s">
        <v>102</v>
      </c>
      <c r="EI196" s="2">
        <v>16.059225512528499</v>
      </c>
      <c r="EJ196" s="2">
        <v>2.1640091116173101</v>
      </c>
      <c r="EK196" s="2">
        <v>5.9225512528473798</v>
      </c>
      <c r="EL196" s="2">
        <v>8.08656036446469</v>
      </c>
      <c r="EM196" s="2" t="s">
        <v>102</v>
      </c>
      <c r="EN196" s="2">
        <v>5</v>
      </c>
      <c r="EO196" s="2">
        <v>5</v>
      </c>
      <c r="EP196" s="2" t="s">
        <v>102</v>
      </c>
      <c r="EQ196" s="2" t="s">
        <v>102</v>
      </c>
      <c r="ER196" s="2" t="s">
        <v>102</v>
      </c>
      <c r="ES196" s="2" t="s">
        <v>102</v>
      </c>
      <c r="ET196" s="2" t="str">
        <f>HYPERLINK(".\links\REFSEQ-INVERTEBRATE\AGAP010234-PA-REFSEQ-INVERTEBRATE.txt","AGAP010234-PA, partial")</f>
        <v>AGAP010234-PA, partial</v>
      </c>
      <c r="EU196" s="2" t="str">
        <f>HYPERLINK("http://www.ncbi.nlm.nih.gov/sutils/blink.cgi?pid=XP_319421.4","0.0")</f>
        <v>0.0</v>
      </c>
      <c r="EV196" s="2" t="str">
        <f>HYPERLINK("http://www.ncbi.nlm.nih.gov/protein/XP_319421.4","XP_319421.4")</f>
        <v>XP_319421.4</v>
      </c>
      <c r="EW196" s="2">
        <v>99</v>
      </c>
      <c r="EX196" s="2">
        <v>99</v>
      </c>
      <c r="EY196" s="2">
        <v>100</v>
      </c>
      <c r="EZ196" s="2" t="s">
        <v>105</v>
      </c>
    </row>
    <row r="197" spans="1:156" x14ac:dyDescent="0.25">
      <c r="A197" s="2" t="s">
        <v>2231</v>
      </c>
      <c r="B197" s="2">
        <v>0.32104549221980599</v>
      </c>
      <c r="C197" s="2">
        <f t="shared" si="3"/>
        <v>1.24923551693089</v>
      </c>
      <c r="D197" s="2">
        <v>6.0175450218948097</v>
      </c>
      <c r="E197" s="2">
        <v>13.232289732455699</v>
      </c>
      <c r="F197" s="2">
        <v>2.7516746291584302E-4</v>
      </c>
      <c r="G197" s="2">
        <v>1.8699318843585298E-2</v>
      </c>
      <c r="H197" s="2" t="s">
        <v>93</v>
      </c>
      <c r="I197" s="2" t="s">
        <v>94</v>
      </c>
      <c r="J197" s="2" t="str">
        <f>HYPERLINK("https://vectorbase.org/vectorbase/app/record/gene/AGAP006233","AGAP006233-RA")</f>
        <v>AGAP006233-RA</v>
      </c>
      <c r="K197" s="2" t="str">
        <f>HYPERLINK(".\links\pep\AGAP006233-PA-pep.txt","AGAP006233-PA")</f>
        <v>AGAP006233-PA</v>
      </c>
      <c r="L197" s="12" t="s">
        <v>95</v>
      </c>
      <c r="M197" s="2">
        <v>305</v>
      </c>
      <c r="N197" s="2">
        <v>0</v>
      </c>
      <c r="O197" s="2">
        <v>3</v>
      </c>
      <c r="P197" s="2" t="s">
        <v>102</v>
      </c>
      <c r="Q197" s="9" t="s">
        <v>2232</v>
      </c>
      <c r="R197" s="2" t="s">
        <v>447</v>
      </c>
      <c r="S197" s="2" t="str">
        <f>HYPERLINK(".\links\REFSEQ-INVERTEBRATE\AGAP006233-PA-REFSEQ-INVERTEBRATE.txt","REFSEQ-INVERTEBRATE")</f>
        <v>REFSEQ-INVERTEBRATE</v>
      </c>
      <c r="T197" s="2">
        <v>1E-42</v>
      </c>
      <c r="U197" s="2">
        <v>88.8</v>
      </c>
      <c r="V197" s="2" t="s">
        <v>2233</v>
      </c>
      <c r="W197" s="10" t="s">
        <v>2234</v>
      </c>
      <c r="X197" s="2" t="s">
        <v>771</v>
      </c>
      <c r="Y197" s="2" t="str">
        <f>HYPERLINK(".\links\CDD\AGAP006233-PA-CDD.txt","CDD")</f>
        <v>CDD</v>
      </c>
      <c r="Z197" s="2">
        <v>1.9999999999999999E-7</v>
      </c>
      <c r="AA197" s="2">
        <v>71</v>
      </c>
      <c r="AB197" s="13" t="s">
        <v>102</v>
      </c>
      <c r="AC197" s="13" t="str">
        <f>HYPERLINK(".\links\Sigp\AGAP006233-PA-SigP.txt","CYT")</f>
        <v>CYT</v>
      </c>
      <c r="AD197" s="2" t="s">
        <v>102</v>
      </c>
      <c r="AE197" s="2">
        <v>35.279000000000003</v>
      </c>
      <c r="AF197" s="2">
        <v>9.1300000000000008</v>
      </c>
      <c r="AG197" s="2" t="s">
        <v>102</v>
      </c>
      <c r="AH197" s="2" t="s">
        <v>102</v>
      </c>
      <c r="AI197" s="2" t="s">
        <v>2235</v>
      </c>
      <c r="AJ197" s="13" t="str">
        <f>HYPERLINK(".\links\tmhmm\AGAP006233-PA-tmhmm.txt","1")</f>
        <v>1</v>
      </c>
      <c r="AK197" s="2">
        <v>6.2</v>
      </c>
      <c r="AL197" s="2">
        <v>6.6</v>
      </c>
      <c r="AM197" s="2">
        <v>87.2</v>
      </c>
      <c r="AN197" s="13" t="str">
        <f>HYPERLINK(".\links\gpi\AGAP006233-PA-gpi.txt","N")</f>
        <v>N</v>
      </c>
      <c r="AO197" s="14" t="str">
        <f>HYPERLINK(".\links\netoglyc\AGAP006233-PA-netoglyc.txt","0")</f>
        <v>0</v>
      </c>
      <c r="AP197" s="13">
        <v>12.5</v>
      </c>
      <c r="AQ197" s="2">
        <v>4.3</v>
      </c>
      <c r="AR197" s="2">
        <v>5.9</v>
      </c>
      <c r="AS197" s="2" t="s">
        <v>104</v>
      </c>
      <c r="AT197" s="9" t="str">
        <f>HYPERLINK(".\links\NR-LIGHT\AGAP006233-PA-NR-LIGHT.txt","AGAP006233-PA")</f>
        <v>AGAP006233-PA</v>
      </c>
      <c r="AU197" s="2" t="str">
        <f>HYPERLINK("http://www.ncbi.nlm.nih.gov/sutils/blink.cgi?pid=XP_316301.2","1E-178")</f>
        <v>1E-178</v>
      </c>
      <c r="AV197" s="2" t="str">
        <f>HYPERLINK("http://www.ncbi.nlm.nih.gov/protein/XP_316301.2","XP_316301.2")</f>
        <v>XP_316301.2</v>
      </c>
      <c r="AW197" s="2">
        <v>100</v>
      </c>
      <c r="AX197" s="2">
        <v>100</v>
      </c>
      <c r="AY197" s="2">
        <v>100</v>
      </c>
      <c r="AZ197" s="2" t="s">
        <v>105</v>
      </c>
      <c r="BA197" s="9" t="str">
        <f>HYPERLINK(".\links\REFSEQ-INVERTEBRATE\AGAP006233-PA-REFSEQ-INVERTEBRATE.txt","AGAP006233-PA")</f>
        <v>AGAP006233-PA</v>
      </c>
      <c r="BB197" s="2" t="str">
        <f>HYPERLINK("http://www.ncbi.nlm.nih.gov/sutils/blink.cgi?pid=XP_316301.2","1E-179")</f>
        <v>1E-179</v>
      </c>
      <c r="BC197" s="2" t="str">
        <f>HYPERLINK("http://www.ncbi.nlm.nih.gov/protein/XP_316301.2","XP_316301.2")</f>
        <v>XP_316301.2</v>
      </c>
      <c r="BD197" s="2">
        <v>100</v>
      </c>
      <c r="BE197" s="2">
        <v>100</v>
      </c>
      <c r="BF197" s="2">
        <v>100</v>
      </c>
      <c r="BG197" s="2" t="s">
        <v>105</v>
      </c>
      <c r="BH197" s="9" t="str">
        <f>HYPERLINK(".\links\REFSEQ-PROTOZOA\AGAP006233-PA-REFSEQ-PROTOZOA.txt","hypothetical protein, variant 1")</f>
        <v>hypothetical protein, variant 1</v>
      </c>
      <c r="BI197" s="2" t="str">
        <f>HYPERLINK("http://www.ncbi.nlm.nih.gov/sutils/blink.cgi?pid=XP_008903142.1","7E-005")</f>
        <v>7E-005</v>
      </c>
      <c r="BJ197" s="2" t="str">
        <f>HYPERLINK("http://www.ncbi.nlm.nih.gov/protein/XP_008903142.1","XP_008903142.1")</f>
        <v>XP_008903142.1</v>
      </c>
      <c r="BK197" s="2">
        <v>32</v>
      </c>
      <c r="BL197" s="2">
        <v>57</v>
      </c>
      <c r="BM197" s="2">
        <v>36</v>
      </c>
      <c r="BN197" s="2" t="s">
        <v>556</v>
      </c>
      <c r="BO197" s="9" t="str">
        <f>HYPERLINK(".\links\SWISSP\AGAP006233-PA-SWISSP.txt","Mitochondrial cardiolipin hydrolase")</f>
        <v>Mitochondrial cardiolipin hydrolase</v>
      </c>
      <c r="BP197" s="2" t="str">
        <f>HYPERLINK("http://www.uniprot.org/uniprot/Q9VKD7","5E-007")</f>
        <v>5E-007</v>
      </c>
      <c r="BQ197" s="2" t="str">
        <f>HYPERLINK("http://www.uniprot.org/uniprot/Q9VKD7#expression","Q9VKD7")</f>
        <v>Q9VKD7</v>
      </c>
      <c r="BR197" s="2">
        <v>26</v>
      </c>
      <c r="BS197" s="2">
        <v>50</v>
      </c>
      <c r="BT197" s="2">
        <v>60</v>
      </c>
      <c r="BU197" s="2" t="s">
        <v>107</v>
      </c>
      <c r="BV197" s="9" t="str">
        <f>HYPERLINK(".\links\FLYBASE\AGAP006233-PA-FLYBASE.txt","FBpp0079900")</f>
        <v>FBpp0079900</v>
      </c>
      <c r="BW197" s="2" t="str">
        <f>HYPERLINK("http://flybase.org/reports/FBgn0261266#alliance_summary_container","7E-08")</f>
        <v>7E-08</v>
      </c>
      <c r="BX197" s="2">
        <v>253</v>
      </c>
      <c r="BY197" s="2">
        <v>26</v>
      </c>
      <c r="BZ197" s="2">
        <v>50</v>
      </c>
      <c r="CA197" s="2">
        <v>60</v>
      </c>
      <c r="CB197" s="9" t="str">
        <f>HYPERLINK(".\links\CDD\AGAP006233-PA-CDD.txt","PLDc_vPLD6_like, Catalytic domain of vertebrate phospholipase D6 and similar proteins")</f>
        <v>PLDc_vPLD6_like, Catalytic domain of vertebrate phospholipase D6 and similar proteins</v>
      </c>
      <c r="CC197" s="15">
        <v>7.0000000000000003E-17</v>
      </c>
      <c r="CD197" s="2">
        <v>74.3</v>
      </c>
      <c r="CE197" s="2" t="s">
        <v>2236</v>
      </c>
      <c r="CF197" s="2" t="s">
        <v>2237</v>
      </c>
      <c r="CG197" s="9" t="str">
        <f>HYPERLINK(".\links\KOG\AGAP006233-PA-KOG.txt","Aldehyde dehydrogenase")</f>
        <v>Aldehyde dehydrogenase</v>
      </c>
      <c r="CH197" s="15">
        <v>2.1</v>
      </c>
      <c r="CI197" s="2">
        <v>5.9</v>
      </c>
      <c r="CJ197" s="2" t="s">
        <v>2238</v>
      </c>
      <c r="CK197" s="2" t="s">
        <v>1449</v>
      </c>
      <c r="CL197" s="9" t="str">
        <f>HYPERLINK(".\links\PFAM\AGAP006233-PA-PFAM.txt","PLDc_2, PLD-like domain")</f>
        <v>PLDc_2, PLD-like domain</v>
      </c>
      <c r="CM197" s="15">
        <v>9.9999999999999998E-13</v>
      </c>
      <c r="CN197" s="2">
        <v>70.5</v>
      </c>
      <c r="CO197" s="2" t="s">
        <v>2239</v>
      </c>
      <c r="CP197" s="9" t="str">
        <f>HYPERLINK(".\links\SMART\AGAP006233-PA-SMART.txt","RNB, This domain is the catalytic domain of ribonuclease II")</f>
        <v>RNB, This domain is the catalytic domain of ribonuclease II</v>
      </c>
      <c r="CQ197" s="15">
        <v>0.57999999999999996</v>
      </c>
      <c r="CR197" s="2">
        <v>15</v>
      </c>
      <c r="CS197" s="2" t="s">
        <v>1597</v>
      </c>
      <c r="CT197" s="2" t="s">
        <v>2233</v>
      </c>
      <c r="CU197" s="2" t="s">
        <v>2233</v>
      </c>
      <c r="CV197" s="2" t="s">
        <v>2233</v>
      </c>
      <c r="CW197" s="2" t="str">
        <f>HYPERLINK(".\links\pep\AGAP006233-PA-pep.txt","AGAP006233-PA")</f>
        <v>AGAP006233-PA</v>
      </c>
      <c r="CX197" s="2" t="s">
        <v>95</v>
      </c>
      <c r="CY197" s="2">
        <v>305</v>
      </c>
      <c r="CZ197" s="2" t="s">
        <v>113</v>
      </c>
      <c r="DA197" s="2" t="s">
        <v>2240</v>
      </c>
      <c r="DB197" s="2">
        <v>0</v>
      </c>
      <c r="DC197" s="2">
        <v>3</v>
      </c>
      <c r="DD197" s="2" t="str">
        <f>HYPERLINK("https://www.kegg.jp/kegg-bin/search_pathway_text?map=aga&amp;keyword=AGAP006233&amp;mode=1&amp;viewImage=true","AGAP006233")</f>
        <v>AGAP006233</v>
      </c>
      <c r="DE197" s="2" t="s">
        <v>2231</v>
      </c>
      <c r="DF197" s="2" t="s">
        <v>93</v>
      </c>
      <c r="DG197" s="2" t="s">
        <v>94</v>
      </c>
      <c r="DH197" s="2" t="str">
        <f>HYPERLINK("https://vectorbase.org/vectorbase/app/record/gene/AGAP006233","AGAP006233-RA")</f>
        <v>AGAP006233-RA</v>
      </c>
      <c r="DI197" s="2" t="s">
        <v>118</v>
      </c>
      <c r="DJ197" s="2">
        <v>1230</v>
      </c>
      <c r="DK197" s="2" t="str">
        <f>HYPERLINK(".\links\netoglyc\AGAP006233-PA-netoglyc.txt","0")</f>
        <v>0</v>
      </c>
      <c r="DL197" s="2">
        <v>12.5</v>
      </c>
      <c r="DM197" s="2">
        <v>4.3</v>
      </c>
      <c r="DN197" s="2">
        <v>5.9</v>
      </c>
      <c r="DO197" s="2" t="s">
        <v>104</v>
      </c>
      <c r="DP197" s="2" t="s">
        <v>2241</v>
      </c>
      <c r="DQ197" s="2" t="str">
        <f>HYPERLINK(".\links\Sigp\AGAP006233-PA-SigP.txt","CYT")</f>
        <v>CYT</v>
      </c>
      <c r="DR197" s="2" t="s">
        <v>102</v>
      </c>
      <c r="DS197" s="2">
        <v>35.279000000000003</v>
      </c>
      <c r="DT197" s="2">
        <v>9.1300000000000008</v>
      </c>
      <c r="DU197" s="2" t="s">
        <v>102</v>
      </c>
      <c r="DV197" s="2" t="s">
        <v>102</v>
      </c>
      <c r="DW197" s="2" t="s">
        <v>2235</v>
      </c>
      <c r="DX197" s="2">
        <v>305</v>
      </c>
      <c r="DY197" s="12" t="str">
        <f>HYPERLINK(".\links\tmhmm\AGAP006233-PA-tmhmm.txt","1")</f>
        <v>1</v>
      </c>
      <c r="DZ197" s="2">
        <v>6.2</v>
      </c>
      <c r="EA197" s="2">
        <v>6.6</v>
      </c>
      <c r="EB197" s="2">
        <v>87.2</v>
      </c>
      <c r="EC197" s="2" t="str">
        <f>HYPERLINK(".\links\gpi\AGAP006233-PA-gpi.txt","N")</f>
        <v>N</v>
      </c>
      <c r="ED197" s="2">
        <v>0.23</v>
      </c>
      <c r="EF197" s="2">
        <v>8</v>
      </c>
      <c r="EG197" s="2" t="s">
        <v>102</v>
      </c>
      <c r="EH197" s="2" t="s">
        <v>102</v>
      </c>
      <c r="EI197" s="2">
        <v>12.459016393442599</v>
      </c>
      <c r="EJ197" s="2">
        <v>5.9016393442622999</v>
      </c>
      <c r="EK197" s="2">
        <v>4.2622950819672099</v>
      </c>
      <c r="EL197" s="2">
        <v>10.163934426229501</v>
      </c>
      <c r="EM197" s="2" t="s">
        <v>102</v>
      </c>
      <c r="EN197" s="2" t="s">
        <v>102</v>
      </c>
      <c r="EO197" s="2">
        <v>2</v>
      </c>
      <c r="EP197" s="2" t="s">
        <v>102</v>
      </c>
      <c r="EQ197" s="2" t="s">
        <v>102</v>
      </c>
      <c r="ER197" s="2" t="s">
        <v>102</v>
      </c>
      <c r="ES197" s="2" t="s">
        <v>102</v>
      </c>
      <c r="ET197" s="2" t="str">
        <f>HYPERLINK(".\links\REFSEQ-INVERTEBRATE\AGAP006233-PA-REFSEQ-INVERTEBRATE.txt","AGAP006233-PA")</f>
        <v>AGAP006233-PA</v>
      </c>
      <c r="EU197" s="2" t="str">
        <f>HYPERLINK("http://www.ncbi.nlm.nih.gov/sutils/blink.cgi?pid=XP_316301.2","0.0")</f>
        <v>0.0</v>
      </c>
      <c r="EV197" s="2" t="str">
        <f>HYPERLINK("http://www.ncbi.nlm.nih.gov/protein/XP_316301.2","XP_316301.2")</f>
        <v>XP_316301.2</v>
      </c>
      <c r="EW197" s="2">
        <v>100</v>
      </c>
      <c r="EX197" s="2">
        <v>100</v>
      </c>
      <c r="EY197" s="2">
        <v>100</v>
      </c>
      <c r="EZ197" s="2" t="s">
        <v>105</v>
      </c>
    </row>
    <row r="198" spans="1:156" x14ac:dyDescent="0.25">
      <c r="A198" s="2" t="s">
        <v>2242</v>
      </c>
      <c r="B198" s="2">
        <v>0.31996849629278901</v>
      </c>
      <c r="C198" s="2">
        <f t="shared" si="3"/>
        <v>1.2483032897722621</v>
      </c>
      <c r="D198" s="2">
        <v>8.4849769029950295</v>
      </c>
      <c r="E198" s="2">
        <v>10.998609352828501</v>
      </c>
      <c r="F198" s="2">
        <v>9.1180275062078099E-4</v>
      </c>
      <c r="G198" s="2">
        <v>3.06863845079768E-2</v>
      </c>
      <c r="H198" s="2" t="s">
        <v>2243</v>
      </c>
      <c r="I198" s="2" t="s">
        <v>102</v>
      </c>
      <c r="J198" s="2" t="str">
        <f>HYPERLINK("https://vectorbase.org/vectorbase/app/record/gene/AGAP007948","AGAP007948-RA")</f>
        <v>AGAP007948-RA</v>
      </c>
      <c r="K198" s="2" t="str">
        <f>HYPERLINK(".\links\pep\AGAP007948-PA-pep.txt","AGAP007948-PA")</f>
        <v>AGAP007948-PA</v>
      </c>
      <c r="L198" s="12" t="s">
        <v>95</v>
      </c>
      <c r="M198" s="2">
        <v>1121</v>
      </c>
      <c r="N198" s="2">
        <v>0</v>
      </c>
      <c r="O198" s="2">
        <v>1</v>
      </c>
      <c r="P198" s="2" t="s">
        <v>2244</v>
      </c>
      <c r="Q198" s="9" t="s">
        <v>2245</v>
      </c>
      <c r="R198" s="2" t="s">
        <v>388</v>
      </c>
      <c r="S198" s="2" t="str">
        <f>HYPERLINK(".\links\REFSEQ-INVERTEBRATE\AGAP007948-PA-REFSEQ-INVERTEBRATE.txt","REFSEQ-INVERTEBRATE")</f>
        <v>REFSEQ-INVERTEBRATE</v>
      </c>
      <c r="T198" s="2">
        <v>0</v>
      </c>
      <c r="U198" s="2">
        <v>100.3</v>
      </c>
      <c r="V198" s="2" t="s">
        <v>2246</v>
      </c>
      <c r="W198" s="10" t="s">
        <v>2247</v>
      </c>
      <c r="X198" s="2" t="s">
        <v>388</v>
      </c>
      <c r="Y198" s="2" t="str">
        <f>HYPERLINK(".\links\ARTHORPODA\AGAP007948-PA-ARTHORPODA.txt","ARTHORPODA")</f>
        <v>ARTHORPODA</v>
      </c>
      <c r="Z198" s="2">
        <v>0</v>
      </c>
      <c r="AA198" s="2">
        <v>100</v>
      </c>
      <c r="AB198" s="13" t="s">
        <v>102</v>
      </c>
      <c r="AC198" s="13" t="str">
        <f>HYPERLINK(".\links\Sigp\AGAP007948-PA-SigP.txt","CYT")</f>
        <v>CYT</v>
      </c>
      <c r="AD198" s="2" t="s">
        <v>102</v>
      </c>
      <c r="AE198" s="2">
        <v>126.36</v>
      </c>
      <c r="AF198" s="2">
        <v>8.8699999999999992</v>
      </c>
      <c r="AG198" s="2" t="s">
        <v>102</v>
      </c>
      <c r="AH198" s="2" t="s">
        <v>102</v>
      </c>
      <c r="AI198" s="2" t="s">
        <v>1274</v>
      </c>
      <c r="AJ198" s="13">
        <v>0</v>
      </c>
      <c r="AK198" s="2" t="s">
        <v>102</v>
      </c>
      <c r="AL198" s="2" t="s">
        <v>102</v>
      </c>
      <c r="AM198" s="2" t="s">
        <v>102</v>
      </c>
      <c r="AN198" s="13" t="str">
        <f>HYPERLINK(".\links\gpi\AGAP007948-PA-gpi.txt","N")</f>
        <v>N</v>
      </c>
      <c r="AO198" s="14" t="str">
        <f>HYPERLINK(".\links\netoglyc\AGAP007948-PA-netoglyc.txt","0")</f>
        <v>0</v>
      </c>
      <c r="AP198" s="13">
        <v>16.100000000000001</v>
      </c>
      <c r="AQ198" s="2">
        <v>4.8</v>
      </c>
      <c r="AR198" s="2">
        <v>3.6</v>
      </c>
      <c r="AS198" s="2" t="s">
        <v>104</v>
      </c>
      <c r="AT198" s="9" t="str">
        <f>HYPERLINK(".\links\NR-LIGHT\AGAP007948-PA-NR-LIGHT.txt","AGAP007948-PA, partial")</f>
        <v>AGAP007948-PA, partial</v>
      </c>
      <c r="AU198" s="2" t="str">
        <f>HYPERLINK("http://www.ncbi.nlm.nih.gov/sutils/blink.cgi?pid=XP_317524.4","0.0")</f>
        <v>0.0</v>
      </c>
      <c r="AV198" s="2" t="str">
        <f>HYPERLINK("http://www.ncbi.nlm.nih.gov/protein/XP_317524.4","XP_317524.4")</f>
        <v>XP_317524.4</v>
      </c>
      <c r="AW198" s="2">
        <v>98</v>
      </c>
      <c r="AX198" s="2">
        <v>98</v>
      </c>
      <c r="AY198" s="2">
        <v>100</v>
      </c>
      <c r="AZ198" s="2" t="s">
        <v>105</v>
      </c>
      <c r="BA198" s="9" t="str">
        <f>HYPERLINK(".\links\REFSEQ-INVERTEBRATE\AGAP007948-PA-REFSEQ-INVERTEBRATE.txt","AGAP007948-PA, partial")</f>
        <v>AGAP007948-PA, partial</v>
      </c>
      <c r="BB198" s="2" t="str">
        <f>HYPERLINK("http://www.ncbi.nlm.nih.gov/sutils/blink.cgi?pid=XP_317524.4","0.0")</f>
        <v>0.0</v>
      </c>
      <c r="BC198" s="2" t="str">
        <f>HYPERLINK("http://www.ncbi.nlm.nih.gov/protein/XP_317524.4","XP_317524.4")</f>
        <v>XP_317524.4</v>
      </c>
      <c r="BD198" s="2">
        <v>98</v>
      </c>
      <c r="BE198" s="2">
        <v>98</v>
      </c>
      <c r="BF198" s="2">
        <v>100</v>
      </c>
      <c r="BG198" s="2" t="s">
        <v>105</v>
      </c>
      <c r="BH198" s="9" t="str">
        <f>HYPERLINK(".\links\REFSEQ-PROTOZOA\AGAP007948-PA-REFSEQ-PROTOZOA.txt","hypothetical protein CAOG_08091")</f>
        <v>hypothetical protein CAOG_08091</v>
      </c>
      <c r="BI198" s="2" t="str">
        <f>HYPERLINK("http://www.ncbi.nlm.nih.gov/sutils/blink.cgi?pid=XP_004342692.1","7E-029")</f>
        <v>7E-029</v>
      </c>
      <c r="BJ198" s="2" t="str">
        <f>HYPERLINK("http://www.ncbi.nlm.nih.gov/protein/XP_004342692.1","XP_004342692.1")</f>
        <v>XP_004342692.1</v>
      </c>
      <c r="BK198" s="2">
        <v>28</v>
      </c>
      <c r="BL198" s="2">
        <v>42</v>
      </c>
      <c r="BM198" s="2">
        <v>36</v>
      </c>
      <c r="BN198" s="2" t="s">
        <v>106</v>
      </c>
      <c r="BO198" s="9" t="str">
        <f>HYPERLINK(".\links\SWISSP\AGAP007948-PA-SWISSP.txt","WD repeat-containing protein 75")</f>
        <v>WD repeat-containing protein 75</v>
      </c>
      <c r="BP198" s="2" t="str">
        <f>HYPERLINK("http://www.uniprot.org/uniprot/Q3U821","1E-054")</f>
        <v>1E-054</v>
      </c>
      <c r="BQ198" s="2" t="str">
        <f>HYPERLINK("http://www.uniprot.org/uniprot/Q3U821#expression","Q3U821")</f>
        <v>Q3U821</v>
      </c>
      <c r="BR198" s="2">
        <v>28</v>
      </c>
      <c r="BS198" s="2">
        <v>44</v>
      </c>
      <c r="BT198" s="2">
        <v>69</v>
      </c>
      <c r="BU198" s="2" t="s">
        <v>662</v>
      </c>
      <c r="BV198" s="9" t="str">
        <f>HYPERLINK(".\links\FLYBASE\AGAP007948-PA-FLYBASE.txt","FBpp0113107")</f>
        <v>FBpp0113107</v>
      </c>
      <c r="BW198" s="2" t="str">
        <f>HYPERLINK("http://flybase.org/reports/FBgn0284251#alliance_summary_container","1E-159")</f>
        <v>1E-159</v>
      </c>
      <c r="BX198" s="2">
        <v>1071</v>
      </c>
      <c r="BY198" s="2">
        <v>31</v>
      </c>
      <c r="BZ198" s="2">
        <v>51</v>
      </c>
      <c r="CA198" s="2">
        <v>96</v>
      </c>
      <c r="CB198" s="9" t="str">
        <f>HYPERLINK(".\links\CDD\AGAP007948-PA-CDD.txt","7WD40, WD40 repeats in seven bladed beta propellers")</f>
        <v>7WD40, WD40 repeats in seven bladed beta propellers</v>
      </c>
      <c r="CC198" s="15">
        <v>2.9999999999999999E-7</v>
      </c>
      <c r="CD198" s="2">
        <v>103.4</v>
      </c>
      <c r="CE198" s="2" t="s">
        <v>2248</v>
      </c>
      <c r="CF198" s="2" t="s">
        <v>2249</v>
      </c>
      <c r="CG198" s="9" t="str">
        <f>HYPERLINK(".\links\KOG\AGAP007948-PA-KOG.txt","WD40 repeat protein")</f>
        <v>WD40 repeat protein</v>
      </c>
      <c r="CH198" s="15">
        <v>9.0000000000000004E-72</v>
      </c>
      <c r="CI198" s="2">
        <v>72</v>
      </c>
      <c r="CJ198" s="2" t="s">
        <v>2250</v>
      </c>
      <c r="CK198" s="2" t="s">
        <v>191</v>
      </c>
      <c r="CL198" s="9" t="str">
        <f>HYPERLINK(".\links\PFAM\AGAP007948-PA-PFAM.txt","WD40, WD domain, G-beta repeat")</f>
        <v>WD40, WD domain, G-beta repeat</v>
      </c>
      <c r="CM198" s="15">
        <v>5.7000000000000002E-2</v>
      </c>
      <c r="CN198" s="2">
        <v>84.6</v>
      </c>
      <c r="CO198" s="2" t="s">
        <v>1871</v>
      </c>
      <c r="CP198" s="9" t="str">
        <f>HYPERLINK(".\links\SMART\AGAP007948-PA-SMART.txt","WD40, WD40 repeats")</f>
        <v>WD40, WD40 repeats</v>
      </c>
      <c r="CQ198" s="15">
        <v>2E-3</v>
      </c>
      <c r="CR198" s="2">
        <v>82.5</v>
      </c>
      <c r="CS198" s="2" t="s">
        <v>1720</v>
      </c>
      <c r="CT198" s="2" t="s">
        <v>2246</v>
      </c>
      <c r="CU198" s="2" t="s">
        <v>2246</v>
      </c>
      <c r="CV198" s="2" t="s">
        <v>2246</v>
      </c>
      <c r="CW198" s="2" t="str">
        <f>HYPERLINK(".\links\pep\AGAP007948-PA-pep.txt","AGAP007948-PA")</f>
        <v>AGAP007948-PA</v>
      </c>
      <c r="CX198" s="2" t="s">
        <v>95</v>
      </c>
      <c r="CY198" s="2">
        <v>1121</v>
      </c>
      <c r="CZ198" s="2" t="s">
        <v>113</v>
      </c>
      <c r="DA198" s="2">
        <v>0</v>
      </c>
      <c r="DB198" s="2">
        <v>1</v>
      </c>
      <c r="DD198" s="2" t="str">
        <f>HYPERLINK("https://www.kegg.jp/kegg-bin/search_pathway_text?map=aga&amp;keyword=AGAP007948&amp;mode=1&amp;viewImage=true","AGAP007948")</f>
        <v>AGAP007948</v>
      </c>
      <c r="DE198" s="2" t="s">
        <v>2242</v>
      </c>
      <c r="DF198" s="2" t="s">
        <v>2243</v>
      </c>
      <c r="DG198" s="2" t="s">
        <v>102</v>
      </c>
      <c r="DH198" s="2" t="str">
        <f>HYPERLINK("https://vectorbase.org/vectorbase/app/record/gene/AGAP007948","AGAP007948-RA")</f>
        <v>AGAP007948-RA</v>
      </c>
      <c r="DI198" s="2" t="s">
        <v>90</v>
      </c>
      <c r="DJ198" s="2">
        <v>3570</v>
      </c>
      <c r="DK198" s="2" t="str">
        <f>HYPERLINK(".\links\netoglyc\AGAP007948-PA-netoglyc.txt","0")</f>
        <v>0</v>
      </c>
      <c r="DL198" s="2">
        <v>16.100000000000001</v>
      </c>
      <c r="DM198" s="2">
        <v>4.8</v>
      </c>
      <c r="DN198" s="2">
        <v>3.6</v>
      </c>
      <c r="DO198" s="2" t="s">
        <v>104</v>
      </c>
      <c r="DP198" s="2" t="s">
        <v>2251</v>
      </c>
      <c r="DQ198" s="2" t="str">
        <f>HYPERLINK(".\links\Sigp\AGAP007948-PA-SigP.txt","CYT")</f>
        <v>CYT</v>
      </c>
      <c r="DR198" s="2" t="s">
        <v>102</v>
      </c>
      <c r="DS198" s="2">
        <v>126.36</v>
      </c>
      <c r="DT198" s="2">
        <v>8.8699999999999992</v>
      </c>
      <c r="DU198" s="2" t="s">
        <v>102</v>
      </c>
      <c r="DV198" s="2" t="s">
        <v>102</v>
      </c>
      <c r="DW198" s="2" t="s">
        <v>1274</v>
      </c>
      <c r="DX198" s="2">
        <v>1121</v>
      </c>
      <c r="DY198" s="12">
        <v>0</v>
      </c>
      <c r="DZ198" s="2" t="s">
        <v>102</v>
      </c>
      <c r="EA198" s="2" t="s">
        <v>102</v>
      </c>
      <c r="EB198" s="2" t="s">
        <v>102</v>
      </c>
      <c r="EC198" s="2" t="str">
        <f>HYPERLINK(".\links\gpi\AGAP007948-PA-gpi.txt","Y-NoSP")</f>
        <v>Y-NoSP</v>
      </c>
      <c r="ED198" s="2">
        <v>0.18</v>
      </c>
      <c r="EF198" s="2">
        <v>21</v>
      </c>
      <c r="EG198" s="2" t="s">
        <v>102</v>
      </c>
      <c r="EH198" s="2" t="s">
        <v>102</v>
      </c>
      <c r="EI198" s="2">
        <v>16.057091882247999</v>
      </c>
      <c r="EJ198" s="2">
        <v>3.56824264049955</v>
      </c>
      <c r="EK198" s="2">
        <v>4.8171275646743998</v>
      </c>
      <c r="EL198" s="2">
        <v>8.3853702051739507</v>
      </c>
      <c r="EM198" s="2">
        <v>1</v>
      </c>
      <c r="EN198" s="2">
        <v>1</v>
      </c>
      <c r="EO198" s="2">
        <v>2</v>
      </c>
      <c r="EP198" s="2" t="s">
        <v>102</v>
      </c>
      <c r="EQ198" s="2" t="s">
        <v>102</v>
      </c>
      <c r="ER198" s="2" t="s">
        <v>102</v>
      </c>
      <c r="ES198" s="2" t="s">
        <v>102</v>
      </c>
      <c r="ET198" s="2" t="str">
        <f>HYPERLINK(".\links\REFSEQ-INVERTEBRATE\AGAP007948-PA-REFSEQ-INVERTEBRATE.txt","AGAP007948-PA, partial")</f>
        <v>AGAP007948-PA, partial</v>
      </c>
      <c r="EU198" s="2" t="str">
        <f>HYPERLINK("http://www.ncbi.nlm.nih.gov/sutils/blink.cgi?pid=XP_317524.4","0.0")</f>
        <v>0.0</v>
      </c>
      <c r="EV198" s="2" t="str">
        <f>HYPERLINK("http://www.ncbi.nlm.nih.gov/protein/XP_317524.4","XP_317524.4")</f>
        <v>XP_317524.4</v>
      </c>
      <c r="EW198" s="2">
        <v>98</v>
      </c>
      <c r="EX198" s="2">
        <v>98</v>
      </c>
      <c r="EY198" s="2">
        <v>100</v>
      </c>
      <c r="EZ198" s="2" t="s">
        <v>105</v>
      </c>
    </row>
    <row r="199" spans="1:156" x14ac:dyDescent="0.25">
      <c r="A199" s="2" t="s">
        <v>2252</v>
      </c>
      <c r="B199" s="2">
        <v>0.31960894953325703</v>
      </c>
      <c r="C199" s="2">
        <f t="shared" si="3"/>
        <v>1.2479922278589282</v>
      </c>
      <c r="D199" s="2">
        <v>8.4513772072682691</v>
      </c>
      <c r="E199" s="2">
        <v>10.131515158613199</v>
      </c>
      <c r="F199" s="2">
        <v>1.4575554574132699E-3</v>
      </c>
      <c r="G199" s="2">
        <v>3.7406794356270402E-2</v>
      </c>
      <c r="H199" s="2" t="s">
        <v>2253</v>
      </c>
      <c r="I199" s="2" t="s">
        <v>94</v>
      </c>
      <c r="J199" s="2" t="str">
        <f>HYPERLINK("https://vectorbase.org/vectorbase/app/record/gene/AGAP007938","AGAP007938-RA")</f>
        <v>AGAP007938-RA</v>
      </c>
      <c r="K199" s="2" t="str">
        <f>HYPERLINK(".\links\pep\AGAP007938-PA-pep.txt","AGAP007938-PA")</f>
        <v>AGAP007938-PA</v>
      </c>
      <c r="L199" s="12" t="s">
        <v>95</v>
      </c>
      <c r="M199" s="2">
        <v>377</v>
      </c>
      <c r="N199" s="2">
        <v>0</v>
      </c>
      <c r="O199" s="2">
        <v>0</v>
      </c>
      <c r="P199" s="2" t="s">
        <v>2254</v>
      </c>
      <c r="Q199" s="9" t="s">
        <v>2255</v>
      </c>
      <c r="R199" s="2" t="s">
        <v>196</v>
      </c>
      <c r="S199" s="2" t="str">
        <f>HYPERLINK(".\links\REFSEQ-INVERTEBRATE\AGAP007938-PA-REFSEQ-INVERTEBRATE.txt","REFSEQ-INVERTEBRATE")</f>
        <v>REFSEQ-INVERTEBRATE</v>
      </c>
      <c r="T199" s="2">
        <v>0</v>
      </c>
      <c r="U199" s="2">
        <v>100</v>
      </c>
      <c r="V199" s="2" t="s">
        <v>2255</v>
      </c>
      <c r="W199" s="10" t="s">
        <v>2256</v>
      </c>
      <c r="X199" s="2" t="s">
        <v>771</v>
      </c>
      <c r="Y199" s="2" t="str">
        <f>HYPERLINK(".\links\UNIPROTKB\AGAP007938-PA-UNIPROTKB.txt","UNIPROTKB")</f>
        <v>UNIPROTKB</v>
      </c>
      <c r="Z199" s="15">
        <v>4E-73</v>
      </c>
      <c r="AA199" s="2">
        <v>56</v>
      </c>
      <c r="AB199" s="13" t="str">
        <f>HYPERLINK(".\links\pep\AGAP007938-PA-sulf.txt","1")</f>
        <v>1</v>
      </c>
      <c r="AC199" s="13" t="str">
        <f>HYPERLINK(".\links\Sigp\AGAP007938-PA-SigP.txt","CYT")</f>
        <v>CYT</v>
      </c>
      <c r="AD199" s="2" t="s">
        <v>102</v>
      </c>
      <c r="AE199" s="2">
        <v>41.087000000000003</v>
      </c>
      <c r="AF199" s="2">
        <v>4.54</v>
      </c>
      <c r="AG199" s="2" t="s">
        <v>102</v>
      </c>
      <c r="AH199" s="2" t="s">
        <v>102</v>
      </c>
      <c r="AI199" s="2" t="s">
        <v>2257</v>
      </c>
      <c r="AJ199" s="13">
        <v>0</v>
      </c>
      <c r="AK199" s="2" t="s">
        <v>102</v>
      </c>
      <c r="AL199" s="2" t="s">
        <v>102</v>
      </c>
      <c r="AM199" s="2" t="s">
        <v>102</v>
      </c>
      <c r="AN199" s="13" t="str">
        <f>HYPERLINK(".\links\gpi\AGAP007938-PA-gpi.txt","N")</f>
        <v>N</v>
      </c>
      <c r="AO199" s="14" t="str">
        <f>HYPERLINK(".\links\netoglyc\AGAP007938-PA-netoglyc.txt","0")</f>
        <v>0</v>
      </c>
      <c r="AP199" s="13">
        <v>15.1</v>
      </c>
      <c r="AQ199" s="2">
        <v>6.9</v>
      </c>
      <c r="AR199" s="2">
        <v>2.7</v>
      </c>
      <c r="AS199" s="2" t="s">
        <v>104</v>
      </c>
      <c r="AT199" s="9" t="str">
        <f>HYPERLINK(".\links\NR-LIGHT\AGAP007938-PA-NR-LIGHT.txt","AGAP007938-PA")</f>
        <v>AGAP007938-PA</v>
      </c>
      <c r="AU199" s="2" t="str">
        <f>HYPERLINK("http://www.ncbi.nlm.nih.gov/sutils/blink.cgi?pid=XP_317542.4","0.0")</f>
        <v>0.0</v>
      </c>
      <c r="AV199" s="2" t="str">
        <f>HYPERLINK("http://www.ncbi.nlm.nih.gov/protein/XP_317542.4","XP_317542.4")</f>
        <v>XP_317542.4</v>
      </c>
      <c r="AW199" s="2">
        <v>100</v>
      </c>
      <c r="AX199" s="2">
        <v>100</v>
      </c>
      <c r="AY199" s="2">
        <v>100</v>
      </c>
      <c r="AZ199" s="2" t="s">
        <v>105</v>
      </c>
      <c r="BA199" s="9" t="str">
        <f>HYPERLINK(".\links\REFSEQ-INVERTEBRATE\AGAP007938-PA-REFSEQ-INVERTEBRATE.txt","AGAP007938-PA")</f>
        <v>AGAP007938-PA</v>
      </c>
      <c r="BB199" s="2" t="str">
        <f>HYPERLINK("http://www.ncbi.nlm.nih.gov/sutils/blink.cgi?pid=XP_317542.4","0.0")</f>
        <v>0.0</v>
      </c>
      <c r="BC199" s="2" t="str">
        <f>HYPERLINK("http://www.ncbi.nlm.nih.gov/protein/XP_317542.4","XP_317542.4")</f>
        <v>XP_317542.4</v>
      </c>
      <c r="BD199" s="2">
        <v>100</v>
      </c>
      <c r="BE199" s="2">
        <v>100</v>
      </c>
      <c r="BF199" s="2">
        <v>100</v>
      </c>
      <c r="BG199" s="2" t="s">
        <v>105</v>
      </c>
      <c r="BH199" s="9" t="str">
        <f>HYPERLINK(".\links\REFSEQ-PROTOZOA\AGAP007938-PA-REFSEQ-PROTOZOA.txt","hypothetical protein")</f>
        <v>hypothetical protein</v>
      </c>
      <c r="BI199" s="2" t="str">
        <f>HYPERLINK("http://www.ncbi.nlm.nih.gov/sutils/blink.cgi?pid=XP_001579979.1","1E-017")</f>
        <v>1E-017</v>
      </c>
      <c r="BJ199" s="2" t="str">
        <f>HYPERLINK("http://www.ncbi.nlm.nih.gov/protein/XP_001579979.1","XP_001579979.1")</f>
        <v>XP_001579979.1</v>
      </c>
      <c r="BK199" s="2">
        <v>30</v>
      </c>
      <c r="BL199" s="2">
        <v>53</v>
      </c>
      <c r="BM199" s="2">
        <v>35</v>
      </c>
      <c r="BN199" s="2" t="s">
        <v>292</v>
      </c>
      <c r="BO199" s="9" t="str">
        <f>HYPERLINK(".\links\SWISSP\AGAP007938-PA-SWISSP.txt","NF-kappa-B inhibitor cactus")</f>
        <v>NF-kappa-B inhibitor cactus</v>
      </c>
      <c r="BP199" s="2" t="str">
        <f>HYPERLINK("http://www.uniprot.org/uniprot/Q03017","2E-059")</f>
        <v>2E-059</v>
      </c>
      <c r="BQ199" s="2" t="str">
        <f>HYPERLINK("http://www.uniprot.org/uniprot/Q03017#expression","Q03017")</f>
        <v>Q03017</v>
      </c>
      <c r="BR199" s="2">
        <v>45</v>
      </c>
      <c r="BS199" s="2">
        <v>61</v>
      </c>
      <c r="BT199" s="2">
        <v>56</v>
      </c>
      <c r="BU199" s="2" t="s">
        <v>107</v>
      </c>
      <c r="BV199" s="9" t="str">
        <f>HYPERLINK(".\links\FLYBASE\AGAP007938-PA-FLYBASE.txt","FBpp0308004")</f>
        <v>FBpp0308004</v>
      </c>
      <c r="BW199" s="2" t="str">
        <f>HYPERLINK("http://flybase.org/reports/FBgn0000250#alliance_summary_container","4E-74")</f>
        <v>4E-74</v>
      </c>
      <c r="BX199" s="2">
        <v>500</v>
      </c>
      <c r="BY199" s="2">
        <v>45</v>
      </c>
      <c r="BZ199" s="2">
        <v>61</v>
      </c>
      <c r="CA199" s="2">
        <v>56</v>
      </c>
      <c r="CB199" s="9" t="str">
        <f>HYPERLINK(".\links\CDD\AGAP007938-PA-CDD.txt","ANK, ankyrin repeats")</f>
        <v>ANK, ankyrin repeats</v>
      </c>
      <c r="CC199" s="15">
        <v>1E-22</v>
      </c>
      <c r="CD199" s="2">
        <v>112.7</v>
      </c>
      <c r="CE199" s="2" t="s">
        <v>2258</v>
      </c>
      <c r="CF199" s="2" t="s">
        <v>2259</v>
      </c>
      <c r="CG199" s="9" t="str">
        <f>HYPERLINK(".\links\KOG\AGAP007938-PA-KOG.txt","CASK-interacting adaptor protein (caskin) and related proteins with ankyrin repeats and SAM domain")</f>
        <v>CASK-interacting adaptor protein (caskin) and related proteins with ankyrin repeats and SAM domain</v>
      </c>
      <c r="CH199" s="15">
        <v>2.0000000000000001E-17</v>
      </c>
      <c r="CI199" s="2">
        <v>20.5</v>
      </c>
      <c r="CJ199" s="2" t="s">
        <v>2260</v>
      </c>
      <c r="CK199" s="2" t="s">
        <v>173</v>
      </c>
      <c r="CL199" s="9" t="str">
        <f>HYPERLINK(".\links\PFAM\AGAP007938-PA-PFAM.txt","Ank_2, Ankyrin repeats (3 copies)")</f>
        <v>Ank_2, Ankyrin repeats (3 copies)</v>
      </c>
      <c r="CM199" s="15">
        <v>2E-12</v>
      </c>
      <c r="CN199" s="2">
        <v>116.3</v>
      </c>
      <c r="CO199" s="2" t="s">
        <v>2261</v>
      </c>
      <c r="CP199" s="9" t="str">
        <f>HYPERLINK(".\links\SMART\AGAP007938-PA-SMART.txt","ANK, ankyrin repeats")</f>
        <v>ANK, ankyrin repeats</v>
      </c>
      <c r="CQ199" s="15">
        <v>6.0000000000000002E-6</v>
      </c>
      <c r="CR199" s="2">
        <v>100</v>
      </c>
      <c r="CS199" s="2" t="s">
        <v>2262</v>
      </c>
      <c r="CT199" s="2" t="s">
        <v>2255</v>
      </c>
      <c r="CU199" s="2" t="s">
        <v>2255</v>
      </c>
      <c r="CV199" s="2" t="s">
        <v>2255</v>
      </c>
      <c r="CW199" s="2" t="str">
        <f>HYPERLINK(".\links\pep\AGAP007938-PA-pep.txt","AGAP007938-PA")</f>
        <v>AGAP007938-PA</v>
      </c>
      <c r="CX199" s="2" t="s">
        <v>95</v>
      </c>
      <c r="CY199" s="2">
        <v>377</v>
      </c>
      <c r="CZ199" s="2" t="s">
        <v>113</v>
      </c>
      <c r="DA199" s="2" t="s">
        <v>2263</v>
      </c>
      <c r="DB199" s="2">
        <v>0</v>
      </c>
      <c r="DC199" s="2">
        <v>0</v>
      </c>
      <c r="DD199" s="2" t="str">
        <f>HYPERLINK("https://www.kegg.jp/kegg-bin/search_pathway_text?map=aga&amp;keyword=AGAP007938&amp;mode=1&amp;viewImage=true","AGAP007938")</f>
        <v>AGAP007938</v>
      </c>
      <c r="DE199" s="2" t="s">
        <v>2252</v>
      </c>
      <c r="DF199" s="2" t="s">
        <v>2253</v>
      </c>
      <c r="DG199" s="2" t="s">
        <v>94</v>
      </c>
      <c r="DH199" s="2" t="str">
        <f>HYPERLINK("https://vectorbase.org/vectorbase/app/record/gene/AGAP007938","AGAP007938-RA")</f>
        <v>AGAP007938-RA</v>
      </c>
      <c r="DI199" s="2" t="s">
        <v>115</v>
      </c>
      <c r="DJ199" s="2">
        <v>1875</v>
      </c>
      <c r="DK199" s="2" t="str">
        <f>HYPERLINK(".\links\netoglyc\AGAP007938-PA-netoglyc.txt","0")</f>
        <v>0</v>
      </c>
      <c r="DL199" s="2">
        <v>15.1</v>
      </c>
      <c r="DM199" s="2">
        <v>6.9</v>
      </c>
      <c r="DN199" s="2">
        <v>2.7</v>
      </c>
      <c r="DO199" s="2" t="s">
        <v>104</v>
      </c>
      <c r="DP199" s="2" t="s">
        <v>102</v>
      </c>
      <c r="DQ199" s="2" t="str">
        <f>HYPERLINK(".\links\Sigp\AGAP007938-PA-SigP.txt","CYT")</f>
        <v>CYT</v>
      </c>
      <c r="DR199" s="2" t="s">
        <v>102</v>
      </c>
      <c r="DS199" s="2">
        <v>41.087000000000003</v>
      </c>
      <c r="DT199" s="2">
        <v>4.54</v>
      </c>
      <c r="DU199" s="2" t="s">
        <v>102</v>
      </c>
      <c r="DV199" s="2" t="s">
        <v>102</v>
      </c>
      <c r="DW199" s="2" t="s">
        <v>2257</v>
      </c>
      <c r="DX199" s="2">
        <v>377</v>
      </c>
      <c r="DY199" s="12">
        <v>0</v>
      </c>
      <c r="DZ199" s="2" t="s">
        <v>102</v>
      </c>
      <c r="EA199" s="2" t="s">
        <v>102</v>
      </c>
      <c r="EB199" s="2" t="s">
        <v>102</v>
      </c>
      <c r="EC199" s="2" t="str">
        <f>HYPERLINK(".\links\gpi\AGAP007938-PA-gpi.txt","Y-NoSP")</f>
        <v>Y-NoSP</v>
      </c>
      <c r="ED199" s="2">
        <v>0.25</v>
      </c>
      <c r="EF199" s="2">
        <v>7</v>
      </c>
      <c r="EG199" s="2" t="str">
        <f>HYPERLINK(".\links\pep\AGAP007938-PA-sulf.txt","1")</f>
        <v>1</v>
      </c>
      <c r="EH199" s="2" t="s">
        <v>102</v>
      </c>
      <c r="EI199" s="2">
        <v>15.1193633952255</v>
      </c>
      <c r="EJ199" s="2">
        <v>2.6525198938991998</v>
      </c>
      <c r="EK199" s="2">
        <v>6.8965517241379297</v>
      </c>
      <c r="EL199" s="2">
        <v>9.5490716180371393</v>
      </c>
      <c r="EM199" s="2" t="s">
        <v>102</v>
      </c>
      <c r="EN199" s="2">
        <v>1</v>
      </c>
      <c r="EO199" s="2">
        <v>1</v>
      </c>
      <c r="EP199" s="2" t="s">
        <v>102</v>
      </c>
      <c r="EQ199" s="2" t="s">
        <v>102</v>
      </c>
      <c r="ER199" s="2" t="s">
        <v>102</v>
      </c>
      <c r="ES199" s="2" t="s">
        <v>102</v>
      </c>
      <c r="ET199" s="2" t="str">
        <f>HYPERLINK(".\links\REFSEQ-INVERTEBRATE\AGAP007938-PA-REFSEQ-INVERTEBRATE.txt","AGAP007938-PA")</f>
        <v>AGAP007938-PA</v>
      </c>
      <c r="EU199" s="2" t="str">
        <f>HYPERLINK("http://www.ncbi.nlm.nih.gov/sutils/blink.cgi?pid=XP_317542.4","0.0")</f>
        <v>0.0</v>
      </c>
      <c r="EV199" s="2" t="str">
        <f>HYPERLINK("http://www.ncbi.nlm.nih.gov/protein/XP_317542.4","XP_317542.4")</f>
        <v>XP_317542.4</v>
      </c>
      <c r="EW199" s="2">
        <v>100</v>
      </c>
      <c r="EX199" s="2">
        <v>100</v>
      </c>
      <c r="EY199" s="2">
        <v>100</v>
      </c>
      <c r="EZ199" s="2" t="s">
        <v>105</v>
      </c>
    </row>
    <row r="200" spans="1:156" x14ac:dyDescent="0.25">
      <c r="A200" s="2" t="s">
        <v>2264</v>
      </c>
      <c r="B200" s="2">
        <v>0.31857138322275902</v>
      </c>
      <c r="C200" s="2">
        <f t="shared" si="3"/>
        <v>1.2470950117887765</v>
      </c>
      <c r="D200" s="2">
        <v>5.7971170533219398</v>
      </c>
      <c r="E200" s="2">
        <v>10.3069041373489</v>
      </c>
      <c r="F200" s="2">
        <v>1.32533431258356E-3</v>
      </c>
      <c r="G200" s="2">
        <v>3.6483714107572597E-2</v>
      </c>
      <c r="H200" s="2" t="s">
        <v>93</v>
      </c>
      <c r="I200" s="2" t="s">
        <v>94</v>
      </c>
      <c r="J200" s="2" t="str">
        <f>HYPERLINK("https://vectorbase.org/vectorbase/app/record/gene/AGAP010211","AGAP010211-RA")</f>
        <v>AGAP010211-RA</v>
      </c>
      <c r="K200" s="2" t="str">
        <f>HYPERLINK(".\links\pep\AGAP010211-PA-pep.txt","AGAP010211-PA")</f>
        <v>AGAP010211-PA</v>
      </c>
      <c r="L200" s="12" t="s">
        <v>95</v>
      </c>
      <c r="M200" s="2">
        <v>252</v>
      </c>
      <c r="N200" s="2">
        <v>0</v>
      </c>
      <c r="O200" s="2">
        <v>0</v>
      </c>
      <c r="P200" s="2" t="s">
        <v>102</v>
      </c>
      <c r="Q200" s="9" t="s">
        <v>2265</v>
      </c>
      <c r="R200" s="2" t="s">
        <v>98</v>
      </c>
      <c r="S200" s="2" t="str">
        <f>HYPERLINK(".\links\REFSEQ-INVERTEBRATE\AGAP010211-PA-REFSEQ-INVERTEBRATE.txt","REFSEQ-INVERTEBRATE")</f>
        <v>REFSEQ-INVERTEBRATE</v>
      </c>
      <c r="T200" s="2">
        <v>0</v>
      </c>
      <c r="V200" s="2" t="s">
        <v>2266</v>
      </c>
      <c r="W200" s="10" t="s">
        <v>2267</v>
      </c>
      <c r="X200" s="2" t="s">
        <v>98</v>
      </c>
      <c r="Y200" s="2" t="str">
        <f>HYPERLINK(".\links\REFSEQ-INVERTEBRATE\AGAP010211-PA-REFSEQ-INVERTEBRATE.txt","REFSEQ-INVERTEBRATE")</f>
        <v>REFSEQ-INVERTEBRATE</v>
      </c>
      <c r="Z200" s="15">
        <v>0</v>
      </c>
      <c r="AB200" s="13" t="s">
        <v>102</v>
      </c>
      <c r="AC200" s="13" t="str">
        <f>HYPERLINK(".\links\Sigp\AGAP010211-PA-SigP.txt","SIG")</f>
        <v>SIG</v>
      </c>
      <c r="AD200" s="2" t="s">
        <v>2268</v>
      </c>
      <c r="AE200" s="2">
        <v>28.728999999999999</v>
      </c>
      <c r="AF200" s="2">
        <v>8.83</v>
      </c>
      <c r="AG200" s="2">
        <v>25.227</v>
      </c>
      <c r="AH200" s="2">
        <v>8.85</v>
      </c>
      <c r="AI200" s="2" t="s">
        <v>2269</v>
      </c>
      <c r="AJ200" s="13" t="str">
        <f>HYPERLINK(".\links\tmhmm\AGAP010211-PA-tmhmm.txt","4")</f>
        <v>4</v>
      </c>
      <c r="AK200" s="2">
        <v>34.9</v>
      </c>
      <c r="AL200" s="2">
        <v>38.9</v>
      </c>
      <c r="AM200" s="2">
        <v>26.2</v>
      </c>
      <c r="AN200" s="13" t="str">
        <f>HYPERLINK(".\links\gpi\AGAP010211-PA-gpi.txt","N")</f>
        <v>N</v>
      </c>
      <c r="AO200" s="14" t="str">
        <f>HYPERLINK(".\links\netoglyc\AGAP010211-PA-netoglyc.txt","1")</f>
        <v>1</v>
      </c>
      <c r="AP200" s="13">
        <v>13.5</v>
      </c>
      <c r="AQ200" s="2">
        <v>6</v>
      </c>
      <c r="AR200" s="2">
        <v>2.4</v>
      </c>
      <c r="AS200" s="2" t="s">
        <v>104</v>
      </c>
      <c r="AT200" s="9" t="str">
        <f>HYPERLINK(".\links\NR-LIGHT\AGAP010211-PA-NR-LIGHT.txt","AGAP010211-PA")</f>
        <v>AGAP010211-PA</v>
      </c>
      <c r="AU200" s="2" t="str">
        <f>HYPERLINK("http://www.ncbi.nlm.nih.gov/sutils/blink.cgi?pid=XP_319395.3","1E-148")</f>
        <v>1E-148</v>
      </c>
      <c r="AV200" s="2" t="str">
        <f>HYPERLINK("http://www.ncbi.nlm.nih.gov/protein/XP_319395.3","XP_319395.3")</f>
        <v>XP_319395.3</v>
      </c>
      <c r="AW200" s="2">
        <v>100</v>
      </c>
      <c r="AX200" s="2">
        <v>100</v>
      </c>
      <c r="AY200" s="2">
        <v>100</v>
      </c>
      <c r="AZ200" s="2" t="s">
        <v>105</v>
      </c>
      <c r="BA200" s="9" t="str">
        <f>HYPERLINK(".\links\REFSEQ-INVERTEBRATE\AGAP010211-PA-REFSEQ-INVERTEBRATE.txt","AGAP010211-PA")</f>
        <v>AGAP010211-PA</v>
      </c>
      <c r="BB200" s="2" t="str">
        <f>HYPERLINK("http://www.ncbi.nlm.nih.gov/sutils/blink.cgi?pid=XP_319395.3","1E-148")</f>
        <v>1E-148</v>
      </c>
      <c r="BC200" s="2" t="str">
        <f>HYPERLINK("http://www.ncbi.nlm.nih.gov/protein/XP_319395.3","XP_319395.3")</f>
        <v>XP_319395.3</v>
      </c>
      <c r="BD200" s="2">
        <v>100</v>
      </c>
      <c r="BE200" s="2">
        <v>100</v>
      </c>
      <c r="BF200" s="2">
        <v>100</v>
      </c>
      <c r="BG200" s="2" t="s">
        <v>105</v>
      </c>
      <c r="BH200" s="9" t="str">
        <f>HYPERLINK(".\links\REFSEQ-PROTOZOA\AGAP010211-PA-REFSEQ-PROTOZOA.txt","hypothetical protein SDRG_03549")</f>
        <v>hypothetical protein SDRG_03549</v>
      </c>
      <c r="BI200" s="2" t="str">
        <f>HYPERLINK("http://www.ncbi.nlm.nih.gov/sutils/blink.cgi?pid=XP_008607405.1","0.59")</f>
        <v>0.59</v>
      </c>
      <c r="BJ200" s="2" t="str">
        <f>HYPERLINK("http://www.ncbi.nlm.nih.gov/protein/XP_008607405.1","XP_008607405.1")</f>
        <v>XP_008607405.1</v>
      </c>
      <c r="BK200" s="2">
        <v>32</v>
      </c>
      <c r="BL200" s="2">
        <v>49</v>
      </c>
      <c r="BM200" s="2">
        <v>16</v>
      </c>
      <c r="BN200" s="2" t="s">
        <v>1766</v>
      </c>
      <c r="BO200" s="9" t="str">
        <f>HYPERLINK(".\links\SWISSP\AGAP010211-PA-SWISSP.txt","Elongation factor 4")</f>
        <v>Elongation factor 4</v>
      </c>
      <c r="BP200" s="2" t="str">
        <f>HYPERLINK("http://www.uniprot.org/uniprot/A6L744","4.5")</f>
        <v>4.5</v>
      </c>
      <c r="BQ200" s="2" t="str">
        <f>HYPERLINK("http://www.uniprot.org/uniprot/A6L744#expression","A6L744")</f>
        <v>A6L744</v>
      </c>
      <c r="BR200" s="2">
        <v>30</v>
      </c>
      <c r="BS200" s="2">
        <v>44</v>
      </c>
      <c r="BT200" s="2">
        <v>12</v>
      </c>
      <c r="BU200" s="2" t="s">
        <v>2270</v>
      </c>
      <c r="BV200" s="9" t="str">
        <f>HYPERLINK(".\links\FLYBASE\AGAP010211-PA-FLYBASE.txt","FBpp0084800")</f>
        <v>FBpp0084800</v>
      </c>
      <c r="BW200" s="2" t="str">
        <f>HYPERLINK("http://flybase.org/reports/FBgn0039665#alliance_summary_container","1E-100")</f>
        <v>1E-100</v>
      </c>
      <c r="BX200" s="2">
        <v>251</v>
      </c>
      <c r="BY200" s="2">
        <v>52</v>
      </c>
      <c r="BZ200" s="2">
        <v>74</v>
      </c>
      <c r="CA200" s="2">
        <v>100</v>
      </c>
      <c r="CB200" s="9" t="str">
        <f>HYPERLINK(".\links\CDD\AGAP010211-PA-CDD.txt","EVC2_like, Ellis van Creveld protein 2 like protein")</f>
        <v>EVC2_like, Ellis van Creveld protein 2 like protein</v>
      </c>
      <c r="CC200" s="15">
        <v>0.35</v>
      </c>
      <c r="CD200" s="2">
        <v>36.700000000000003</v>
      </c>
      <c r="CE200" s="2" t="s">
        <v>2271</v>
      </c>
      <c r="CF200" s="2" t="s">
        <v>2272</v>
      </c>
      <c r="CG200" s="9" t="str">
        <f>HYPERLINK(".\links\KOG\AGAP010211-PA-KOG.txt","RNA helicase nonsense mRNA reducing factor (pNORF1)")</f>
        <v>RNA helicase nonsense mRNA reducing factor (pNORF1)</v>
      </c>
      <c r="CH200" s="15">
        <v>0.14000000000000001</v>
      </c>
      <c r="CI200" s="2">
        <v>4.2</v>
      </c>
      <c r="CJ200" s="2" t="s">
        <v>2273</v>
      </c>
      <c r="CK200" s="2" t="s">
        <v>722</v>
      </c>
      <c r="CL200" s="9" t="str">
        <f>HYPERLINK(".\links\PFAM\AGAP010211-PA-PFAM.txt","EVC2_like, Ellis van Creveld protein 2 like protein")</f>
        <v>EVC2_like, Ellis van Creveld protein 2 like protein</v>
      </c>
      <c r="CM200" s="15">
        <v>7.4999999999999997E-2</v>
      </c>
      <c r="CN200" s="2">
        <v>36.700000000000003</v>
      </c>
      <c r="CO200" s="2" t="s">
        <v>2271</v>
      </c>
      <c r="CP200" s="9" t="str">
        <f>HYPERLINK(".\links\SMART\AGAP010211-PA-SMART.txt","ZnF_TAZ, TAZ zinc finger, present in p300 and CBP")</f>
        <v>ZnF_TAZ, TAZ zinc finger, present in p300 and CBP</v>
      </c>
      <c r="CQ200" s="15">
        <v>1</v>
      </c>
      <c r="CR200" s="2">
        <v>29.1</v>
      </c>
      <c r="CS200" s="2" t="s">
        <v>2274</v>
      </c>
      <c r="CT200" s="2" t="s">
        <v>2266</v>
      </c>
      <c r="CU200" s="2" t="s">
        <v>2266</v>
      </c>
      <c r="CV200" s="2" t="s">
        <v>2266</v>
      </c>
      <c r="CW200" s="2" t="str">
        <f>HYPERLINK(".\links\pep\AGAP010211-PA-pep.txt","AGAP010211-PA")</f>
        <v>AGAP010211-PA</v>
      </c>
      <c r="CX200" s="2" t="s">
        <v>95</v>
      </c>
      <c r="CY200" s="2">
        <v>252</v>
      </c>
      <c r="CZ200" s="2" t="s">
        <v>113</v>
      </c>
      <c r="DA200" s="2" t="s">
        <v>2275</v>
      </c>
      <c r="DB200" s="2">
        <v>0</v>
      </c>
      <c r="DC200" s="2">
        <v>0</v>
      </c>
      <c r="DD200" s="2" t="str">
        <f>HYPERLINK("https://www.kegg.jp/kegg-bin/search_pathway_text?map=aga&amp;keyword=AGAP010211&amp;mode=1&amp;viewImage=true","AGAP010211")</f>
        <v>AGAP010211</v>
      </c>
      <c r="DE200" s="2" t="s">
        <v>2264</v>
      </c>
      <c r="DF200" s="2" t="s">
        <v>93</v>
      </c>
      <c r="DG200" s="2" t="s">
        <v>94</v>
      </c>
      <c r="DH200" s="2" t="str">
        <f>HYPERLINK("https://vectorbase.org/vectorbase/app/record/gene/AGAP010211","AGAP010211-RA")</f>
        <v>AGAP010211-RA</v>
      </c>
      <c r="DI200" s="2" t="s">
        <v>135</v>
      </c>
      <c r="DJ200" s="2">
        <v>1134</v>
      </c>
      <c r="DK200" s="2" t="str">
        <f>HYPERLINK(".\links\netoglyc\AGAP010211-PA-netoglyc.txt","1")</f>
        <v>1</v>
      </c>
      <c r="DL200" s="2">
        <v>13.5</v>
      </c>
      <c r="DM200" s="2">
        <v>6</v>
      </c>
      <c r="DN200" s="2">
        <v>2.4</v>
      </c>
      <c r="DO200" s="2" t="s">
        <v>104</v>
      </c>
      <c r="DP200" s="2" t="s">
        <v>2276</v>
      </c>
      <c r="DQ200" s="2" t="str">
        <f>HYPERLINK(".\links\Sigp\AGAP010211-PA-SigP.txt","SIG")</f>
        <v>SIG</v>
      </c>
      <c r="DR200" s="2" t="s">
        <v>2268</v>
      </c>
      <c r="DS200" s="2">
        <v>28.728999999999999</v>
      </c>
      <c r="DT200" s="2">
        <v>8.83</v>
      </c>
      <c r="DU200" s="2">
        <v>25.227</v>
      </c>
      <c r="DV200" s="2">
        <v>8.85</v>
      </c>
      <c r="DW200" s="2" t="s">
        <v>2269</v>
      </c>
      <c r="DX200" s="2">
        <v>252</v>
      </c>
      <c r="DY200" s="12" t="str">
        <f>HYPERLINK(".\links\tmhmm\AGAP010211-PA-tmhmm.txt","4")</f>
        <v>4</v>
      </c>
      <c r="DZ200" s="2">
        <v>34.9</v>
      </c>
      <c r="EA200" s="2">
        <v>38.9</v>
      </c>
      <c r="EB200" s="2">
        <v>26.2</v>
      </c>
      <c r="EC200" s="2" t="str">
        <f>HYPERLINK(".\links\gpi\AGAP010211-PA-gpi.txt","Y-NoSP")</f>
        <v>Y-NoSP</v>
      </c>
      <c r="ED200" s="2">
        <v>0.36</v>
      </c>
      <c r="EF200" s="2">
        <v>12</v>
      </c>
      <c r="EG200" s="2" t="s">
        <v>102</v>
      </c>
      <c r="EH200" s="2" t="s">
        <v>102</v>
      </c>
      <c r="EI200" s="2">
        <v>13.492063492063499</v>
      </c>
      <c r="EJ200" s="2">
        <v>2.38095238095238</v>
      </c>
      <c r="EK200" s="2">
        <v>5.9523809523809499</v>
      </c>
      <c r="EL200" s="2">
        <v>8.3333333333333304</v>
      </c>
      <c r="EM200" s="2" t="s">
        <v>102</v>
      </c>
      <c r="EN200" s="2" t="s">
        <v>102</v>
      </c>
      <c r="EO200" s="2">
        <v>1</v>
      </c>
      <c r="EP200" s="2" t="s">
        <v>102</v>
      </c>
      <c r="EQ200" s="2" t="s">
        <v>102</v>
      </c>
      <c r="ER200" s="2" t="s">
        <v>102</v>
      </c>
      <c r="ES200" s="2" t="s">
        <v>102</v>
      </c>
      <c r="ET200" s="2" t="str">
        <f>HYPERLINK(".\links\REFSEQ-INVERTEBRATE\AGAP010211-PA-REFSEQ-INVERTEBRATE.txt","AGAP010211-PA")</f>
        <v>AGAP010211-PA</v>
      </c>
      <c r="EU200" s="2" t="str">
        <f>HYPERLINK("http://www.ncbi.nlm.nih.gov/sutils/blink.cgi?pid=XP_319395.3","0.0")</f>
        <v>0.0</v>
      </c>
      <c r="EV200" s="2" t="str">
        <f>HYPERLINK("http://www.ncbi.nlm.nih.gov/protein/XP_319395.3","XP_319395.3")</f>
        <v>XP_319395.3</v>
      </c>
      <c r="EW200" s="2">
        <v>100</v>
      </c>
      <c r="EX200" s="2">
        <v>100</v>
      </c>
      <c r="EY200" s="2">
        <v>100</v>
      </c>
      <c r="EZ200" s="2" t="s">
        <v>105</v>
      </c>
    </row>
    <row r="201" spans="1:156" x14ac:dyDescent="0.25">
      <c r="A201" s="2" t="s">
        <v>2277</v>
      </c>
      <c r="B201" s="2">
        <v>0.31723936252274998</v>
      </c>
      <c r="C201" s="2">
        <f t="shared" si="3"/>
        <v>1.2459441173183985</v>
      </c>
      <c r="D201" s="2">
        <v>5.6134632596950702</v>
      </c>
      <c r="E201" s="2">
        <v>11.298236091143</v>
      </c>
      <c r="F201" s="2">
        <v>7.75807610894644E-4</v>
      </c>
      <c r="G201" s="2">
        <v>2.9655933300736001E-2</v>
      </c>
      <c r="H201" s="2" t="s">
        <v>93</v>
      </c>
      <c r="I201" s="2" t="s">
        <v>94</v>
      </c>
      <c r="J201" s="2" t="str">
        <f>HYPERLINK("https://vectorbase.org/vectorbase/app/record/gene/AGAP004297","AGAP004297-RA")</f>
        <v>AGAP004297-RA</v>
      </c>
      <c r="K201" s="2" t="str">
        <f>HYPERLINK(".\links\pep\AGAP004297-PA-pep.txt","AGAP004297-PA")</f>
        <v>AGAP004297-PA</v>
      </c>
      <c r="L201" s="12" t="s">
        <v>95</v>
      </c>
      <c r="M201" s="2">
        <v>382</v>
      </c>
      <c r="N201" s="2">
        <v>0</v>
      </c>
      <c r="O201" s="2">
        <v>1</v>
      </c>
      <c r="P201" s="2" t="s">
        <v>102</v>
      </c>
      <c r="Q201" s="9" t="s">
        <v>2278</v>
      </c>
      <c r="R201" s="2" t="s">
        <v>181</v>
      </c>
      <c r="S201" s="2" t="str">
        <f>HYPERLINK(".\links\KOG\AGAP004297-PA-KOG.txt","KOG")</f>
        <v>KOG</v>
      </c>
      <c r="T201" s="2">
        <v>9.9999999999999997E-29</v>
      </c>
      <c r="U201" s="2">
        <v>98</v>
      </c>
      <c r="V201" s="2" t="s">
        <v>2279</v>
      </c>
      <c r="W201" s="10" t="s">
        <v>2280</v>
      </c>
      <c r="X201" s="2" t="s">
        <v>2281</v>
      </c>
      <c r="Y201" s="2" t="str">
        <f>HYPERLINK(".\links\REFSEQ-PROTOZOA\AGAP004297-PA-REFSEQ-PROTOZOA.txt","REFSEQ-PROTOZOA")</f>
        <v>REFSEQ-PROTOZOA</v>
      </c>
      <c r="Z201" s="2">
        <v>0</v>
      </c>
      <c r="AA201" s="2">
        <v>103</v>
      </c>
      <c r="AB201" s="13" t="s">
        <v>102</v>
      </c>
      <c r="AC201" s="13" t="str">
        <f>HYPERLINK(".\links\Sigp\AGAP004297-PA-SigP.txt","CYT")</f>
        <v>CYT</v>
      </c>
      <c r="AD201" s="2" t="s">
        <v>102</v>
      </c>
      <c r="AE201" s="2">
        <v>43.021000000000001</v>
      </c>
      <c r="AF201" s="2">
        <v>5.66</v>
      </c>
      <c r="AG201" s="2" t="s">
        <v>102</v>
      </c>
      <c r="AH201" s="2" t="s">
        <v>102</v>
      </c>
      <c r="AI201" s="2" t="s">
        <v>336</v>
      </c>
      <c r="AJ201" s="13">
        <v>0</v>
      </c>
      <c r="AK201" s="2" t="s">
        <v>102</v>
      </c>
      <c r="AL201" s="2" t="s">
        <v>102</v>
      </c>
      <c r="AM201" s="2" t="s">
        <v>102</v>
      </c>
      <c r="AN201" s="13" t="str">
        <f>HYPERLINK(".\links\gpi\AGAP004297-PA-gpi.txt","N")</f>
        <v>N</v>
      </c>
      <c r="AO201" s="14" t="str">
        <f>HYPERLINK(".\links\netoglyc\AGAP004297-PA-netoglyc.txt","0")</f>
        <v>0</v>
      </c>
      <c r="AP201" s="13">
        <v>10.199999999999999</v>
      </c>
      <c r="AQ201" s="2">
        <v>7.3</v>
      </c>
      <c r="AR201" s="2">
        <v>4.5</v>
      </c>
      <c r="AS201" s="2" t="s">
        <v>104</v>
      </c>
      <c r="AT201" s="9" t="str">
        <f>HYPERLINK(".\links\NR-LIGHT\AGAP004297-PA-NR-LIGHT.txt","AGAP004297-PA")</f>
        <v>AGAP004297-PA</v>
      </c>
      <c r="AU201" s="2" t="str">
        <f>HYPERLINK("http://www.ncbi.nlm.nih.gov/sutils/blink.cgi?pid=XP_313571.3","0.0")</f>
        <v>0.0</v>
      </c>
      <c r="AV201" s="2" t="str">
        <f>HYPERLINK("http://www.ncbi.nlm.nih.gov/protein/XP_313571.3","XP_313571.3")</f>
        <v>XP_313571.3</v>
      </c>
      <c r="AW201" s="2">
        <v>100</v>
      </c>
      <c r="AX201" s="2">
        <v>100</v>
      </c>
      <c r="AY201" s="2">
        <v>100</v>
      </c>
      <c r="AZ201" s="2" t="s">
        <v>105</v>
      </c>
      <c r="BA201" s="9" t="str">
        <f>HYPERLINK(".\links\REFSEQ-INVERTEBRATE\AGAP004297-PA-REFSEQ-INVERTEBRATE.txt","AGAP004297-PA")</f>
        <v>AGAP004297-PA</v>
      </c>
      <c r="BB201" s="2" t="str">
        <f>HYPERLINK("http://www.ncbi.nlm.nih.gov/sutils/blink.cgi?pid=XP_313571.3","0.0")</f>
        <v>0.0</v>
      </c>
      <c r="BC201" s="2" t="str">
        <f>HYPERLINK("http://www.ncbi.nlm.nih.gov/protein/XP_313571.3","XP_313571.3")</f>
        <v>XP_313571.3</v>
      </c>
      <c r="BD201" s="2">
        <v>100</v>
      </c>
      <c r="BE201" s="2">
        <v>100</v>
      </c>
      <c r="BF201" s="2">
        <v>100</v>
      </c>
      <c r="BG201" s="2" t="s">
        <v>105</v>
      </c>
      <c r="BH201" s="9" t="str">
        <f>HYPERLINK(".\links\REFSEQ-PROTOZOA\AGAP004297-PA-REFSEQ-PROTOZOA.txt","NAD-dependent epimerase/dehydratase")</f>
        <v>NAD-dependent epimerase/dehydratase</v>
      </c>
      <c r="BI201" s="2" t="str">
        <f>HYPERLINK("http://www.ncbi.nlm.nih.gov/sutils/blink.cgi?pid=XP_004365984.1","4E-087")</f>
        <v>4E-087</v>
      </c>
      <c r="BJ201" s="2" t="str">
        <f>HYPERLINK("http://www.ncbi.nlm.nih.gov/protein/XP_004365984.1","XP_004365984.1")</f>
        <v>XP_004365984.1</v>
      </c>
      <c r="BK201" s="2">
        <v>42</v>
      </c>
      <c r="BL201" s="2">
        <v>61</v>
      </c>
      <c r="BM201" s="2">
        <v>105</v>
      </c>
      <c r="BN201" s="2" t="s">
        <v>106</v>
      </c>
      <c r="BO201" s="9" t="str">
        <f>HYPERLINK(".\links\SWISSP\AGAP004297-PA-SWISSP.txt","Sterol-4-alpha-carboxylate 3-dehydrogenase, decarboxylating")</f>
        <v>Sterol-4-alpha-carboxylate 3-dehydrogenase, decarboxylating</v>
      </c>
      <c r="BP201" s="2" t="str">
        <f>HYPERLINK("http://www.uniprot.org/uniprot/Q54L85","0.005")</f>
        <v>0.005</v>
      </c>
      <c r="BQ201" s="2" t="str">
        <f>HYPERLINK("http://www.uniprot.org/uniprot/Q54L85#expression","Q54L85")</f>
        <v>Q54L85</v>
      </c>
      <c r="BR201" s="2">
        <v>24</v>
      </c>
      <c r="BS201" s="2">
        <v>41</v>
      </c>
      <c r="BT201" s="2">
        <v>63</v>
      </c>
      <c r="BU201" s="2" t="s">
        <v>1919</v>
      </c>
      <c r="BV201" s="9" t="str">
        <f>HYPERLINK(".\links\FLYBASE\AGAP004297-PA-FLYBASE.txt","FBpp0083882")</f>
        <v>FBpp0083882</v>
      </c>
      <c r="BW201" s="2" t="str">
        <f>HYPERLINK("http://flybase.org/reports/FBgn0039130#alliance_summary_container","1E-160")</f>
        <v>1E-160</v>
      </c>
      <c r="BX201" s="2">
        <v>371</v>
      </c>
      <c r="BY201" s="2">
        <v>55</v>
      </c>
      <c r="BZ201" s="2">
        <v>71</v>
      </c>
      <c r="CA201" s="2">
        <v>102</v>
      </c>
      <c r="CB201" s="9" t="str">
        <f>HYPERLINK(".\links\CDD\AGAP004297-PA-CDD.txt","Epimerase, NAD dependent epimerase/dehydratase family")</f>
        <v>Epimerase, NAD dependent epimerase/dehydratase family</v>
      </c>
      <c r="CC201" s="15">
        <v>7.0000000000000001E-20</v>
      </c>
      <c r="CD201" s="2">
        <v>111.3</v>
      </c>
      <c r="CE201" s="2" t="s">
        <v>2282</v>
      </c>
      <c r="CF201" s="2" t="s">
        <v>2283</v>
      </c>
      <c r="CG201" s="9" t="str">
        <f>HYPERLINK(".\links\KOG\AGAP004297-PA-KOG.txt","C-3 sterol dehydrogenase/3-beta-hydroxysteroid dehydrogenase and related dehydrogenases")</f>
        <v>C-3 sterol dehydrogenase/3-beta-hydroxysteroid dehydrogenase and related dehydrogenases</v>
      </c>
      <c r="CH201" s="15">
        <v>9.9999999999999997E-29</v>
      </c>
      <c r="CI201" s="2">
        <v>98.1</v>
      </c>
      <c r="CJ201" s="2" t="s">
        <v>2284</v>
      </c>
      <c r="CK201" s="2" t="s">
        <v>2285</v>
      </c>
      <c r="CL201" s="9" t="str">
        <f>HYPERLINK(".\links\PFAM\AGAP004297-PA-PFAM.txt","Epimerase, NAD dependent epimerase/dehydratase family")</f>
        <v>Epimerase, NAD dependent epimerase/dehydratase family</v>
      </c>
      <c r="CM201" s="15">
        <v>9.9999999999999995E-21</v>
      </c>
      <c r="CN201" s="2">
        <v>111.3</v>
      </c>
      <c r="CO201" s="2" t="s">
        <v>2282</v>
      </c>
      <c r="CP201" s="9" t="str">
        <f>HYPERLINK(".\links\SMART\AGAP004297-PA-SMART.txt","PKS_KR, This enzymatic domain is part of bacterial polyketide synthases")</f>
        <v>PKS_KR, This enzymatic domain is part of bacterial polyketide synthases</v>
      </c>
      <c r="CQ201" s="15">
        <v>1.7999999999999999E-2</v>
      </c>
      <c r="CR201" s="2">
        <v>11.7</v>
      </c>
      <c r="CS201" s="2" t="s">
        <v>351</v>
      </c>
      <c r="CT201" s="2" t="s">
        <v>2279</v>
      </c>
      <c r="CU201" s="2" t="s">
        <v>2279</v>
      </c>
      <c r="CV201" s="2" t="s">
        <v>2279</v>
      </c>
      <c r="CW201" s="2" t="str">
        <f>HYPERLINK(".\links\pep\AGAP004297-PA-pep.txt","AGAP004297-PA")</f>
        <v>AGAP004297-PA</v>
      </c>
      <c r="CX201" s="2" t="s">
        <v>95</v>
      </c>
      <c r="CY201" s="2">
        <v>382</v>
      </c>
      <c r="CZ201" s="2" t="s">
        <v>113</v>
      </c>
      <c r="DA201" s="2" t="s">
        <v>2286</v>
      </c>
      <c r="DB201" s="2">
        <v>0</v>
      </c>
      <c r="DC201" s="2">
        <v>1</v>
      </c>
      <c r="DD201" s="2" t="str">
        <f>HYPERLINK("https://www.kegg.jp/kegg-bin/search_pathway_text?map=aga&amp;keyword=AGAP004297&amp;mode=1&amp;viewImage=true","AGAP004297")</f>
        <v>AGAP004297</v>
      </c>
      <c r="DE201" s="2" t="s">
        <v>2277</v>
      </c>
      <c r="DF201" s="2" t="s">
        <v>93</v>
      </c>
      <c r="DG201" s="2" t="s">
        <v>94</v>
      </c>
      <c r="DH201" s="2" t="str">
        <f>HYPERLINK("https://vectorbase.org/vectorbase/app/record/gene/AGAP004297","AGAP004297-RA")</f>
        <v>AGAP004297-RA</v>
      </c>
      <c r="DI201" s="2" t="s">
        <v>135</v>
      </c>
      <c r="DJ201" s="2">
        <v>1975</v>
      </c>
      <c r="DK201" s="2" t="str">
        <f>HYPERLINK(".\links\netoglyc\AGAP004297-PA-netoglyc.txt","0")</f>
        <v>0</v>
      </c>
      <c r="DL201" s="2">
        <v>10.199999999999999</v>
      </c>
      <c r="DM201" s="2">
        <v>7.3</v>
      </c>
      <c r="DN201" s="2">
        <v>4.5</v>
      </c>
      <c r="DO201" s="2" t="s">
        <v>104</v>
      </c>
      <c r="DP201" s="2" t="s">
        <v>102</v>
      </c>
      <c r="DQ201" s="2" t="str">
        <f>HYPERLINK(".\links\Sigp\AGAP004297-PA-SigP.txt","CYT")</f>
        <v>CYT</v>
      </c>
      <c r="DR201" s="2" t="s">
        <v>102</v>
      </c>
      <c r="DS201" s="2">
        <v>43.021000000000001</v>
      </c>
      <c r="DT201" s="2">
        <v>5.66</v>
      </c>
      <c r="DU201" s="2" t="s">
        <v>102</v>
      </c>
      <c r="DV201" s="2" t="s">
        <v>102</v>
      </c>
      <c r="DW201" s="2" t="s">
        <v>336</v>
      </c>
      <c r="DX201" s="2">
        <v>382</v>
      </c>
      <c r="DY201" s="12">
        <v>0</v>
      </c>
      <c r="DZ201" s="2" t="s">
        <v>102</v>
      </c>
      <c r="EA201" s="2" t="s">
        <v>102</v>
      </c>
      <c r="EB201" s="2" t="s">
        <v>102</v>
      </c>
      <c r="EC201" s="2" t="str">
        <f>HYPERLINK(".\links\gpi\AGAP004297-PA-gpi.txt","N")</f>
        <v>N</v>
      </c>
      <c r="ED201" s="2">
        <v>0.22</v>
      </c>
      <c r="EF201" s="2">
        <v>11</v>
      </c>
      <c r="EG201" s="2" t="s">
        <v>102</v>
      </c>
      <c r="EH201" s="2" t="s">
        <v>102</v>
      </c>
      <c r="EI201" s="2">
        <v>10.2094240837696</v>
      </c>
      <c r="EJ201" s="2">
        <v>4.45026178010471</v>
      </c>
      <c r="EK201" s="2">
        <v>7.3298429319371703</v>
      </c>
      <c r="EL201" s="2">
        <v>11.780104712041901</v>
      </c>
      <c r="EM201" s="2" t="s">
        <v>102</v>
      </c>
      <c r="EN201" s="2">
        <v>1</v>
      </c>
      <c r="EO201" s="2">
        <v>1</v>
      </c>
      <c r="EP201" s="2" t="s">
        <v>102</v>
      </c>
      <c r="EQ201" s="2" t="s">
        <v>102</v>
      </c>
      <c r="ER201" s="2" t="s">
        <v>102</v>
      </c>
      <c r="ES201" s="2" t="s">
        <v>102</v>
      </c>
      <c r="ET201" s="2" t="str">
        <f>HYPERLINK(".\links\REFSEQ-INVERTEBRATE\AGAP004297-PA-REFSEQ-INVERTEBRATE.txt","AGAP004297-PA")</f>
        <v>AGAP004297-PA</v>
      </c>
      <c r="EU201" s="2" t="str">
        <f>HYPERLINK("http://www.ncbi.nlm.nih.gov/sutils/blink.cgi?pid=XP_313571.3","0.0")</f>
        <v>0.0</v>
      </c>
      <c r="EV201" s="2" t="str">
        <f>HYPERLINK("http://www.ncbi.nlm.nih.gov/protein/XP_313571.3","XP_313571.3")</f>
        <v>XP_313571.3</v>
      </c>
      <c r="EW201" s="2">
        <v>100</v>
      </c>
      <c r="EX201" s="2">
        <v>100</v>
      </c>
      <c r="EY201" s="2">
        <v>100</v>
      </c>
      <c r="EZ201" s="2" t="s">
        <v>105</v>
      </c>
    </row>
    <row r="202" spans="1:156" x14ac:dyDescent="0.25">
      <c r="A202" s="2" t="s">
        <v>2287</v>
      </c>
      <c r="B202" s="2">
        <v>0.316437809246573</v>
      </c>
      <c r="C202" s="2">
        <f t="shared" si="3"/>
        <v>1.2452520700188654</v>
      </c>
      <c r="D202" s="2">
        <v>6.1248980539798801</v>
      </c>
      <c r="E202" s="2">
        <v>8.9620407039618897</v>
      </c>
      <c r="F202" s="2">
        <v>2.75646822742022E-3</v>
      </c>
      <c r="G202" s="2">
        <v>4.8408550208274802E-2</v>
      </c>
      <c r="H202" s="2" t="s">
        <v>2288</v>
      </c>
      <c r="I202" s="2" t="s">
        <v>102</v>
      </c>
      <c r="J202" s="2" t="str">
        <f>HYPERLINK("https://vectorbase.org/vectorbase/app/record/gene/AGAP004752","AGAP004752-RA")</f>
        <v>AGAP004752-RA</v>
      </c>
      <c r="K202" s="2" t="str">
        <f>HYPERLINK(".\links\pep\AGAP004752-PA-pep.txt","AGAP004752-PA")</f>
        <v>AGAP004752-PA</v>
      </c>
      <c r="L202" s="12" t="s">
        <v>95</v>
      </c>
      <c r="M202" s="2">
        <v>235</v>
      </c>
      <c r="N202" s="2">
        <v>0</v>
      </c>
      <c r="O202" s="2">
        <v>1</v>
      </c>
      <c r="P202" s="2" t="s">
        <v>2289</v>
      </c>
      <c r="Q202" s="9" t="s">
        <v>2289</v>
      </c>
      <c r="R202" s="2" t="s">
        <v>672</v>
      </c>
      <c r="S202" s="2" t="str">
        <f>HYPERLINK(".\links\REFSEQ-INVERTEBRATE\AGAP004752-PA-REFSEQ-INVERTEBRATE.txt","REFSEQ-INVERTEBRATE")</f>
        <v>REFSEQ-INVERTEBRATE</v>
      </c>
      <c r="T202" s="2">
        <v>0</v>
      </c>
      <c r="U202" s="2">
        <v>92.2</v>
      </c>
      <c r="V202" s="2" t="s">
        <v>2290</v>
      </c>
      <c r="W202" s="10" t="s">
        <v>2291</v>
      </c>
      <c r="X202" s="2" t="s">
        <v>672</v>
      </c>
      <c r="Y202" s="2" t="str">
        <f>HYPERLINK(".\links\REFSEQVERTEBRATE95\AGAP004752-PA-REFSEQVERTEBRATE95.txt","REFSEQVERTEBRATE95")</f>
        <v>REFSEQVERTEBRATE95</v>
      </c>
      <c r="Z202" s="2">
        <v>0</v>
      </c>
      <c r="AA202" s="2">
        <v>95.1</v>
      </c>
      <c r="AB202" s="13" t="str">
        <f>HYPERLINK(".\links\pep\AGAP004752-PA-sulf.txt","1")</f>
        <v>1</v>
      </c>
      <c r="AC202" s="13" t="str">
        <f>HYPERLINK(".\links\Sigp\AGAP004752-PA-SigP.txt","CYT")</f>
        <v>CYT</v>
      </c>
      <c r="AD202" s="2" t="s">
        <v>102</v>
      </c>
      <c r="AE202" s="2">
        <v>27.809000000000001</v>
      </c>
      <c r="AF202" s="2">
        <v>8.8800000000000008</v>
      </c>
      <c r="AG202" s="2" t="s">
        <v>102</v>
      </c>
      <c r="AH202" s="2" t="s">
        <v>102</v>
      </c>
      <c r="AI202" s="2" t="s">
        <v>2292</v>
      </c>
      <c r="AJ202" s="13">
        <v>0</v>
      </c>
      <c r="AK202" s="2" t="s">
        <v>102</v>
      </c>
      <c r="AL202" s="2" t="s">
        <v>102</v>
      </c>
      <c r="AM202" s="2" t="s">
        <v>102</v>
      </c>
      <c r="AN202" s="13" t="str">
        <f>HYPERLINK(".\links\gpi\AGAP004752-PA-gpi.txt","N")</f>
        <v>N</v>
      </c>
      <c r="AO202" s="14" t="str">
        <f>HYPERLINK(".\links\netoglyc\AGAP004752-PA-netoglyc.txt","0")</f>
        <v>0</v>
      </c>
      <c r="AP202" s="13">
        <v>7.2</v>
      </c>
      <c r="AQ202" s="2">
        <v>5.0999999999999996</v>
      </c>
      <c r="AR202" s="2">
        <v>6</v>
      </c>
      <c r="AS202" s="2" t="s">
        <v>104</v>
      </c>
      <c r="AT202" s="9" t="str">
        <f>HYPERLINK(".\links\NR-LIGHT\AGAP004752-PA-NR-LIGHT.txt","AGAP004752-PA")</f>
        <v>AGAP004752-PA</v>
      </c>
      <c r="AU202" s="2" t="str">
        <f>HYPERLINK("http://www.ncbi.nlm.nih.gov/sutils/blink.cgi?pid=XP_318065.4","1E-138")</f>
        <v>1E-138</v>
      </c>
      <c r="AV202" s="2" t="str">
        <f>HYPERLINK("http://www.ncbi.nlm.nih.gov/protein/XP_318065.4","XP_318065.4")</f>
        <v>XP_318065.4</v>
      </c>
      <c r="AW202" s="2">
        <v>100</v>
      </c>
      <c r="AX202" s="2">
        <v>100</v>
      </c>
      <c r="AY202" s="2">
        <v>100</v>
      </c>
      <c r="AZ202" s="2" t="s">
        <v>105</v>
      </c>
      <c r="BA202" s="9" t="str">
        <f>HYPERLINK(".\links\REFSEQ-INVERTEBRATE\AGAP004752-PA-REFSEQ-INVERTEBRATE.txt","AGAP004752-PA")</f>
        <v>AGAP004752-PA</v>
      </c>
      <c r="BB202" s="2" t="str">
        <f>HYPERLINK("http://www.ncbi.nlm.nih.gov/sutils/blink.cgi?pid=XP_318065.4","1E-138")</f>
        <v>1E-138</v>
      </c>
      <c r="BC202" s="2" t="str">
        <f>HYPERLINK("http://www.ncbi.nlm.nih.gov/protein/XP_318065.4","XP_318065.4")</f>
        <v>XP_318065.4</v>
      </c>
      <c r="BD202" s="2">
        <v>100</v>
      </c>
      <c r="BE202" s="2">
        <v>100</v>
      </c>
      <c r="BF202" s="2">
        <v>100</v>
      </c>
      <c r="BG202" s="2" t="s">
        <v>105</v>
      </c>
      <c r="BH202" s="9" t="str">
        <f>HYPERLINK(".\links\REFSEQ-PROTOZOA\AGAP004752-PA-REFSEQ-PROTOZOA.txt","hypothetical protein CAOG_08599")</f>
        <v>hypothetical protein CAOG_08599</v>
      </c>
      <c r="BI202" s="2" t="str">
        <f>HYPERLINK("http://www.ncbi.nlm.nih.gov/sutils/blink.cgi?pid=XP_011270199.1","1E-072")</f>
        <v>1E-072</v>
      </c>
      <c r="BJ202" s="2" t="str">
        <f>HYPERLINK("http://www.ncbi.nlm.nih.gov/protein/XP_011270199.1","XP_011270199.1")</f>
        <v>XP_011270199.1</v>
      </c>
      <c r="BK202" s="2">
        <v>57</v>
      </c>
      <c r="BL202" s="2">
        <v>72</v>
      </c>
      <c r="BM202" s="2">
        <v>24</v>
      </c>
      <c r="BN202" s="2" t="s">
        <v>106</v>
      </c>
      <c r="BO202" s="9" t="str">
        <f>HYPERLINK(".\links\SWISSP\AGAP004752-PA-SWISSP.txt","tRNA (guanine-N(7)-)-methyltransferase")</f>
        <v>tRNA (guanine-N(7)-)-methyltransferase</v>
      </c>
      <c r="BP202" s="2" t="str">
        <f>HYPERLINK("http://www.uniprot.org/uniprot/Q7Q2P7","1E-139")</f>
        <v>1E-139</v>
      </c>
      <c r="BQ202" s="2" t="str">
        <f>HYPERLINK("http://www.uniprot.org/uniprot/Q7Q2P7#expression","Q7Q2P7")</f>
        <v>Q7Q2P7</v>
      </c>
      <c r="BR202" s="2">
        <v>100</v>
      </c>
      <c r="BS202" s="2">
        <v>100</v>
      </c>
      <c r="BT202" s="2">
        <v>100</v>
      </c>
      <c r="BU202" s="2" t="s">
        <v>249</v>
      </c>
      <c r="BV202" s="9" t="str">
        <f>HYPERLINK(".\links\FLYBASE\AGAP004752-PA-FLYBASE.txt","FBpp0070317")</f>
        <v>FBpp0070317</v>
      </c>
      <c r="BW202" s="2" t="str">
        <f>HYPERLINK("http://flybase.org/reports/FBgn0025629#alliance_summary_container","1E-119")</f>
        <v>1E-119</v>
      </c>
      <c r="BX202" s="2">
        <v>256</v>
      </c>
      <c r="BY202" s="2">
        <v>70</v>
      </c>
      <c r="BZ202" s="2">
        <v>81</v>
      </c>
      <c r="CA202" s="2">
        <v>89</v>
      </c>
      <c r="CB202" s="9" t="str">
        <f>HYPERLINK(".\links\CDD\AGAP004752-PA-CDD.txt","Methyltransf_4, Putative methyltransferase")</f>
        <v>Methyltransf_4, Putative methyltransferase</v>
      </c>
      <c r="CC202" s="15">
        <v>6E-57</v>
      </c>
      <c r="CD202" s="2">
        <v>102.3</v>
      </c>
      <c r="CE202" s="2" t="s">
        <v>2293</v>
      </c>
      <c r="CF202" s="2" t="s">
        <v>2294</v>
      </c>
      <c r="CG202" s="9" t="str">
        <f>HYPERLINK(".\links\KOG\AGAP004752-PA-KOG.txt","Methyltransferase-like protein")</f>
        <v>Methyltransferase-like protein</v>
      </c>
      <c r="CH202" s="15">
        <v>2.0000000000000001E-89</v>
      </c>
      <c r="CI202" s="2">
        <v>92</v>
      </c>
      <c r="CJ202" s="2" t="s">
        <v>2295</v>
      </c>
      <c r="CK202" s="2" t="s">
        <v>191</v>
      </c>
      <c r="CL202" s="9" t="str">
        <f>HYPERLINK(".\links\PFAM\AGAP004752-PA-PFAM.txt","Methyltransf_4, Putative methyltransferase")</f>
        <v>Methyltransf_4, Putative methyltransferase</v>
      </c>
      <c r="CM202" s="15">
        <v>9.9999999999999995E-58</v>
      </c>
      <c r="CN202" s="2">
        <v>102.3</v>
      </c>
      <c r="CO202" s="2" t="s">
        <v>2293</v>
      </c>
      <c r="CP202" s="9" t="str">
        <f>HYPERLINK(".\links\SMART\AGAP004752-PA-SMART.txt","PKS_MT, Methyltransferase in polyketide synthase (PKS) enzymes")</f>
        <v>PKS_MT, Methyltransferase in polyketide synthase (PKS) enzymes</v>
      </c>
      <c r="CQ202" s="15">
        <v>0.01</v>
      </c>
      <c r="CR202" s="2">
        <v>18.8</v>
      </c>
      <c r="CS202" s="2" t="s">
        <v>2296</v>
      </c>
      <c r="CT202" s="2" t="s">
        <v>2290</v>
      </c>
      <c r="CU202" s="2" t="s">
        <v>2290</v>
      </c>
      <c r="CV202" s="2" t="s">
        <v>2290</v>
      </c>
      <c r="CW202" s="2" t="str">
        <f>HYPERLINK(".\links\pep\AGAP004752-PA-pep.txt","AGAP004752-PA")</f>
        <v>AGAP004752-PA</v>
      </c>
      <c r="CX202" s="2" t="s">
        <v>95</v>
      </c>
      <c r="CY202" s="2">
        <v>235</v>
      </c>
      <c r="CZ202" s="2" t="s">
        <v>113</v>
      </c>
      <c r="DA202" s="2">
        <v>0</v>
      </c>
      <c r="DB202" s="2">
        <v>1</v>
      </c>
      <c r="DD202" s="2" t="str">
        <f>HYPERLINK("https://www.kegg.jp/kegg-bin/search_pathway_text?map=aga&amp;keyword=AGAP004752&amp;mode=1&amp;viewImage=true","AGAP004752")</f>
        <v>AGAP004752</v>
      </c>
      <c r="DE202" s="2" t="s">
        <v>2287</v>
      </c>
      <c r="DF202" s="2" t="s">
        <v>2288</v>
      </c>
      <c r="DG202" s="2" t="s">
        <v>102</v>
      </c>
      <c r="DH202" s="2" t="str">
        <f>HYPERLINK("https://vectorbase.org/vectorbase/app/record/gene/AGAP004752","AGAP004752-RA")</f>
        <v>AGAP004752-RA</v>
      </c>
      <c r="DI202" s="2" t="s">
        <v>115</v>
      </c>
      <c r="DJ202" s="2">
        <v>941</v>
      </c>
      <c r="DK202" s="2" t="str">
        <f>HYPERLINK(".\links\netoglyc\AGAP004752-PA-netoglyc.txt","0")</f>
        <v>0</v>
      </c>
      <c r="DL202" s="2">
        <v>7.2</v>
      </c>
      <c r="DM202" s="2">
        <v>5.0999999999999996</v>
      </c>
      <c r="DN202" s="2">
        <v>6</v>
      </c>
      <c r="DO202" s="2" t="s">
        <v>104</v>
      </c>
      <c r="DP202" s="2" t="s">
        <v>102</v>
      </c>
      <c r="DQ202" s="2" t="str">
        <f>HYPERLINK(".\links\Sigp\AGAP004752-PA-SigP.txt","CYT")</f>
        <v>CYT</v>
      </c>
      <c r="DR202" s="2" t="s">
        <v>102</v>
      </c>
      <c r="DS202" s="2">
        <v>27.809000000000001</v>
      </c>
      <c r="DT202" s="2">
        <v>8.8800000000000008</v>
      </c>
      <c r="DU202" s="2" t="s">
        <v>102</v>
      </c>
      <c r="DV202" s="2" t="s">
        <v>102</v>
      </c>
      <c r="DW202" s="2" t="s">
        <v>2292</v>
      </c>
      <c r="DX202" s="2">
        <v>235</v>
      </c>
      <c r="DY202" s="12">
        <v>0</v>
      </c>
      <c r="DZ202" s="2" t="s">
        <v>102</v>
      </c>
      <c r="EA202" s="2" t="s">
        <v>102</v>
      </c>
      <c r="EB202" s="2" t="s">
        <v>102</v>
      </c>
      <c r="EC202" s="2" t="str">
        <f>HYPERLINK(".\links\gpi\AGAP004752-PA-gpi.txt","Y-NoSP")</f>
        <v>Y-NoSP</v>
      </c>
      <c r="ED202" s="2">
        <v>0.3</v>
      </c>
      <c r="EF202" s="2">
        <v>4</v>
      </c>
      <c r="EG202" s="2" t="str">
        <f>HYPERLINK(".\links\pep\AGAP004752-PA-sulf.txt","1")</f>
        <v>1</v>
      </c>
      <c r="EH202" s="2" t="s">
        <v>102</v>
      </c>
      <c r="EI202" s="2">
        <v>7.2340425531914896</v>
      </c>
      <c r="EJ202" s="2">
        <v>5.9574468085106398</v>
      </c>
      <c r="EK202" s="2">
        <v>5.1063829787234001</v>
      </c>
      <c r="EL202" s="2">
        <v>11.063829787234001</v>
      </c>
      <c r="EM202" s="2" t="s">
        <v>102</v>
      </c>
      <c r="EN202" s="2">
        <v>1</v>
      </c>
      <c r="EO202" s="2">
        <v>2</v>
      </c>
      <c r="EP202" s="2" t="s">
        <v>102</v>
      </c>
      <c r="EQ202" s="2" t="s">
        <v>102</v>
      </c>
      <c r="ER202" s="2" t="s">
        <v>102</v>
      </c>
      <c r="ES202" s="2" t="s">
        <v>102</v>
      </c>
      <c r="ET202" s="2" t="str">
        <f>HYPERLINK(".\links\REFSEQ-INVERTEBRATE\AGAP004752-PA-REFSEQ-INVERTEBRATE.txt","AGAP004752-PA")</f>
        <v>AGAP004752-PA</v>
      </c>
      <c r="EU202" s="2" t="str">
        <f>HYPERLINK("http://www.ncbi.nlm.nih.gov/sutils/blink.cgi?pid=XP_318065.4","1E-178")</f>
        <v>1E-178</v>
      </c>
      <c r="EV202" s="2" t="str">
        <f>HYPERLINK("http://www.ncbi.nlm.nih.gov/protein/XP_318065.4","XP_318065.4")</f>
        <v>XP_318065.4</v>
      </c>
      <c r="EW202" s="2">
        <v>100</v>
      </c>
      <c r="EX202" s="2">
        <v>100</v>
      </c>
      <c r="EY202" s="2">
        <v>100</v>
      </c>
      <c r="EZ202" s="2" t="s">
        <v>105</v>
      </c>
    </row>
    <row r="203" spans="1:156" x14ac:dyDescent="0.25">
      <c r="A203" s="2" t="s">
        <v>2297</v>
      </c>
      <c r="B203" s="2">
        <v>0.31597962951837</v>
      </c>
      <c r="C203" s="2">
        <f t="shared" si="3"/>
        <v>1.2448566582033511</v>
      </c>
      <c r="D203" s="2">
        <v>5.6087654359358998</v>
      </c>
      <c r="E203" s="2">
        <v>15.125227090332</v>
      </c>
      <c r="F203" s="2">
        <v>1.0060981940721E-4</v>
      </c>
      <c r="G203" s="2">
        <v>1.07823521657219E-2</v>
      </c>
      <c r="H203" s="2" t="s">
        <v>2298</v>
      </c>
      <c r="I203" s="2" t="s">
        <v>94</v>
      </c>
      <c r="J203" s="2" t="str">
        <f>HYPERLINK("https://vectorbase.org/vectorbase/app/record/gene/AGAP010187","AGAP010187-RA")</f>
        <v>AGAP010187-RA</v>
      </c>
      <c r="K203" s="2" t="str">
        <f>HYPERLINK(".\links\pep\AGAP010187-PA-pep.txt","AGAP010187-PA")</f>
        <v>AGAP010187-PA</v>
      </c>
      <c r="L203" s="12" t="s">
        <v>95</v>
      </c>
      <c r="M203" s="2">
        <v>376</v>
      </c>
      <c r="N203" s="2">
        <v>0</v>
      </c>
      <c r="O203" s="2">
        <v>1</v>
      </c>
      <c r="P203" s="2" t="s">
        <v>2299</v>
      </c>
      <c r="Q203" s="9" t="s">
        <v>2300</v>
      </c>
      <c r="R203" s="2" t="s">
        <v>2281</v>
      </c>
      <c r="S203" s="2" t="str">
        <f>HYPERLINK(".\links\REFSEQ-INVERTEBRATE\AGAP010187-PA-REFSEQ-INVERTEBRATE.txt","REFSEQ-INVERTEBRATE")</f>
        <v>REFSEQ-INVERTEBRATE</v>
      </c>
      <c r="T203" s="2">
        <v>0</v>
      </c>
      <c r="U203" s="2">
        <v>100.2</v>
      </c>
      <c r="V203" s="2" t="s">
        <v>2301</v>
      </c>
      <c r="W203" s="10" t="s">
        <v>2302</v>
      </c>
      <c r="X203" s="2" t="s">
        <v>2281</v>
      </c>
      <c r="Y203" s="2" t="str">
        <f>HYPERLINK(".\links\REFSEQVERTEBRATE95\AGAP010187-PA-REFSEQVERTEBRATE95.txt","REFSEQVERTEBRATE95")</f>
        <v>REFSEQVERTEBRATE95</v>
      </c>
      <c r="Z203" s="15">
        <v>0</v>
      </c>
      <c r="AA203" s="2">
        <v>88.3</v>
      </c>
      <c r="AB203" s="13" t="s">
        <v>102</v>
      </c>
      <c r="AC203" s="13" t="str">
        <f>HYPERLINK(".\links\Sigp\AGAP010187-PA-SigP.txt","BL/SIG")</f>
        <v>BL/SIG</v>
      </c>
      <c r="AD203" s="2" t="s">
        <v>102</v>
      </c>
      <c r="AE203" s="2">
        <v>44.414999999999999</v>
      </c>
      <c r="AF203" s="2">
        <v>6.02</v>
      </c>
      <c r="AG203" s="2" t="s">
        <v>102</v>
      </c>
      <c r="AH203" s="2" t="s">
        <v>102</v>
      </c>
      <c r="AI203" s="2" t="s">
        <v>2303</v>
      </c>
      <c r="AJ203" s="13" t="str">
        <f>HYPERLINK(".\links\tmhmm\AGAP010187-PA-tmhmm.txt","1")</f>
        <v>1</v>
      </c>
      <c r="AK203" s="2">
        <v>5.0999999999999996</v>
      </c>
      <c r="AL203" s="2">
        <v>93.1</v>
      </c>
      <c r="AM203" s="2">
        <v>1.9</v>
      </c>
      <c r="AN203" s="13" t="str">
        <f>HYPERLINK(".\links\gpi\AGAP010187-PA-gpi.txt","N")</f>
        <v>N</v>
      </c>
      <c r="AO203" s="14" t="str">
        <f>HYPERLINK(".\links\netoglyc\AGAP010187-PA-netoglyc.txt","0")</f>
        <v>0</v>
      </c>
      <c r="AP203" s="13">
        <v>9.6</v>
      </c>
      <c r="AQ203" s="2">
        <v>3.5</v>
      </c>
      <c r="AR203" s="2">
        <v>4.3</v>
      </c>
      <c r="AS203" s="2" t="s">
        <v>104</v>
      </c>
      <c r="AT203" s="9" t="str">
        <f>HYPERLINK(".\links\NR-LIGHT\AGAP010187-PA-NR-LIGHT.txt","AGAP010187-PA")</f>
        <v>AGAP010187-PA</v>
      </c>
      <c r="AU203" s="2" t="str">
        <f>HYPERLINK("http://www.ncbi.nlm.nih.gov/sutils/blink.cgi?pid=XP_319364.4","0.0")</f>
        <v>0.0</v>
      </c>
      <c r="AV203" s="2" t="str">
        <f>HYPERLINK("http://www.ncbi.nlm.nih.gov/protein/XP_319364.4","XP_319364.4")</f>
        <v>XP_319364.4</v>
      </c>
      <c r="AW203" s="2">
        <v>100</v>
      </c>
      <c r="AX203" s="2">
        <v>100</v>
      </c>
      <c r="AY203" s="2">
        <v>100</v>
      </c>
      <c r="AZ203" s="2" t="s">
        <v>105</v>
      </c>
      <c r="BA203" s="9" t="str">
        <f>HYPERLINK(".\links\REFSEQ-INVERTEBRATE\AGAP010187-PA-REFSEQ-INVERTEBRATE.txt","AGAP010187-PA")</f>
        <v>AGAP010187-PA</v>
      </c>
      <c r="BB203" s="2" t="str">
        <f>HYPERLINK("http://www.ncbi.nlm.nih.gov/sutils/blink.cgi?pid=XP_319364.4","0.0")</f>
        <v>0.0</v>
      </c>
      <c r="BC203" s="2" t="str">
        <f>HYPERLINK("http://www.ncbi.nlm.nih.gov/protein/XP_319364.4","XP_319364.4")</f>
        <v>XP_319364.4</v>
      </c>
      <c r="BD203" s="2">
        <v>100</v>
      </c>
      <c r="BE203" s="2">
        <v>100</v>
      </c>
      <c r="BF203" s="2">
        <v>100</v>
      </c>
      <c r="BG203" s="2" t="s">
        <v>105</v>
      </c>
      <c r="BH203" s="9" t="str">
        <f>HYPERLINK(".\links\REFSEQ-PROTOZOA\AGAP010187-PA-REFSEQ-PROTOZOA.txt","hypothetical protein AURANDRAFT_63327")</f>
        <v>hypothetical protein AURANDRAFT_63327</v>
      </c>
      <c r="BI203" s="2" t="str">
        <f>HYPERLINK("http://www.ncbi.nlm.nih.gov/sutils/blink.cgi?pid=XP_009035674.1","1E-016")</f>
        <v>1E-016</v>
      </c>
      <c r="BJ203" s="2" t="str">
        <f>HYPERLINK("http://www.ncbi.nlm.nih.gov/protein/XP_009035674.1","XP_009035674.1")</f>
        <v>XP_009035674.1</v>
      </c>
      <c r="BK203" s="2">
        <v>29</v>
      </c>
      <c r="BL203" s="2">
        <v>44</v>
      </c>
      <c r="BM203" s="2">
        <v>14</v>
      </c>
      <c r="BN203" s="2" t="s">
        <v>230</v>
      </c>
      <c r="BO203" s="9" t="str">
        <f>HYPERLINK(".\links\SWISSP\AGAP010187-PA-SWISSP.txt","Glucoside xylosyltransferase 2")</f>
        <v>Glucoside xylosyltransferase 2</v>
      </c>
      <c r="BP203" s="2" t="str">
        <f>HYPERLINK("http://www.uniprot.org/uniprot/Q6DE37","1E-086")</f>
        <v>1E-086</v>
      </c>
      <c r="BQ203" s="2" t="str">
        <f>HYPERLINK("http://www.uniprot.org/uniprot/Q6DE37#expression","Q6DE37")</f>
        <v>Q6DE37</v>
      </c>
      <c r="BR203" s="2">
        <v>47</v>
      </c>
      <c r="BS203" s="2">
        <v>65</v>
      </c>
      <c r="BT203" s="2">
        <v>75</v>
      </c>
      <c r="BU203" s="2" t="s">
        <v>625</v>
      </c>
      <c r="BV203" s="9" t="str">
        <f>HYPERLINK(".\links\FLYBASE\AGAP010187-PA-FLYBASE.txt","FBpp0112197")</f>
        <v>FBpp0112197</v>
      </c>
      <c r="BW203" s="2" t="str">
        <f>HYPERLINK("http://flybase.org/reports/FBgn0039273#alliance_summary_container","1E-130")</f>
        <v>1E-130</v>
      </c>
      <c r="BX203" s="2">
        <v>362</v>
      </c>
      <c r="BY203" s="2">
        <v>55</v>
      </c>
      <c r="BZ203" s="2">
        <v>76</v>
      </c>
      <c r="CA203" s="2">
        <v>83</v>
      </c>
      <c r="CB203" s="9" t="str">
        <f>HYPERLINK(".\links\CDD\AGAP010187-PA-CDD.txt","GT8_like_2, GT8_like_2 represents a subfamily of GT8 with unknown function")</f>
        <v>GT8_like_2, GT8_like_2 represents a subfamily of GT8 with unknown function</v>
      </c>
      <c r="CC203" s="15">
        <v>9.9999999999999998E-141</v>
      </c>
      <c r="CD203" s="2">
        <v>100.7</v>
      </c>
      <c r="CE203" s="2" t="s">
        <v>2304</v>
      </c>
      <c r="CF203" s="2" t="s">
        <v>2305</v>
      </c>
      <c r="CG203" s="9" t="str">
        <f>HYPERLINK(".\links\KOG\AGAP010187-PA-KOG.txt","Predicted glycosyltransferase")</f>
        <v>Predicted glycosyltransferase</v>
      </c>
      <c r="CH203" s="15">
        <v>3.9999999999999998E-29</v>
      </c>
      <c r="CI203" s="2">
        <v>71.2</v>
      </c>
      <c r="CJ203" s="2" t="s">
        <v>2306</v>
      </c>
      <c r="CK203" s="2" t="s">
        <v>2307</v>
      </c>
      <c r="CL203" s="9" t="str">
        <f>HYPERLINK(".\links\PFAM\AGAP010187-PA-PFAM.txt","Glyco_transf_8, Glycosyl transferase family 8")</f>
        <v>Glyco_transf_8, Glycosyl transferase family 8</v>
      </c>
      <c r="CM203" s="15">
        <v>5.0000000000000001E-9</v>
      </c>
      <c r="CN203" s="2">
        <v>65.900000000000006</v>
      </c>
      <c r="CO203" s="2" t="s">
        <v>2308</v>
      </c>
      <c r="CP203" s="9" t="str">
        <f>HYPERLINK(".\links\SMART\AGAP010187-PA-SMART.txt","MCM, minichromosome maintenance proteins")</f>
        <v>MCM, minichromosome maintenance proteins</v>
      </c>
      <c r="CQ203" s="15">
        <v>0.32</v>
      </c>
      <c r="CR203" s="2">
        <v>4.9000000000000004</v>
      </c>
      <c r="CS203" s="2" t="s">
        <v>679</v>
      </c>
      <c r="CT203" s="2" t="s">
        <v>2301</v>
      </c>
      <c r="CU203" s="2" t="s">
        <v>2301</v>
      </c>
      <c r="CV203" s="2" t="s">
        <v>2301</v>
      </c>
      <c r="CW203" s="2" t="str">
        <f>HYPERLINK(".\links\pep\AGAP010187-PA-pep.txt","AGAP010187-PA")</f>
        <v>AGAP010187-PA</v>
      </c>
      <c r="CX203" s="2" t="s">
        <v>95</v>
      </c>
      <c r="CY203" s="2">
        <v>376</v>
      </c>
      <c r="CZ203" s="2" t="s">
        <v>113</v>
      </c>
      <c r="DA203" s="2" t="s">
        <v>2309</v>
      </c>
      <c r="DB203" s="2">
        <v>0</v>
      </c>
      <c r="DC203" s="2">
        <v>1</v>
      </c>
      <c r="DD203" s="2" t="str">
        <f>HYPERLINK("https://www.kegg.jp/kegg-bin/search_pathway_text?map=aga&amp;keyword=AGAP010187&amp;mode=1&amp;viewImage=true","AGAP010187")</f>
        <v>AGAP010187</v>
      </c>
      <c r="DE203" s="2" t="s">
        <v>2297</v>
      </c>
      <c r="DF203" s="2" t="s">
        <v>2298</v>
      </c>
      <c r="DG203" s="2" t="s">
        <v>94</v>
      </c>
      <c r="DH203" s="2" t="str">
        <f>HYPERLINK("https://vectorbase.org/vectorbase/app/record/gene/AGAP010187","AGAP010187-RA")</f>
        <v>AGAP010187-RA</v>
      </c>
      <c r="DI203" s="2" t="s">
        <v>135</v>
      </c>
      <c r="DJ203" s="2">
        <v>1663</v>
      </c>
      <c r="DK203" s="2" t="str">
        <f>HYPERLINK(".\links\netoglyc\AGAP010187-PA-netoglyc.txt","0")</f>
        <v>0</v>
      </c>
      <c r="DL203" s="2">
        <v>9.6</v>
      </c>
      <c r="DM203" s="2">
        <v>3.5</v>
      </c>
      <c r="DN203" s="2">
        <v>4.3</v>
      </c>
      <c r="DO203" s="2" t="s">
        <v>104</v>
      </c>
      <c r="DP203" s="2" t="s">
        <v>2310</v>
      </c>
      <c r="DQ203" s="2" t="str">
        <f>HYPERLINK(".\links\Sigp\AGAP010187-PA-SigP.txt","BL/SIG")</f>
        <v>BL/SIG</v>
      </c>
      <c r="DR203" s="2" t="s">
        <v>102</v>
      </c>
      <c r="DS203" s="2">
        <v>44.414999999999999</v>
      </c>
      <c r="DT203" s="2">
        <v>6.02</v>
      </c>
      <c r="DU203" s="2" t="s">
        <v>102</v>
      </c>
      <c r="DV203" s="2" t="s">
        <v>102</v>
      </c>
      <c r="DW203" s="2" t="s">
        <v>2303</v>
      </c>
      <c r="DX203" s="2">
        <v>376</v>
      </c>
      <c r="DY203" s="12" t="str">
        <f>HYPERLINK(".\links\tmhmm\AGAP010187-PA-tmhmm.txt","1")</f>
        <v>1</v>
      </c>
      <c r="DZ203" s="2">
        <v>5.0999999999999996</v>
      </c>
      <c r="EA203" s="2">
        <v>93.1</v>
      </c>
      <c r="EB203" s="2">
        <v>1.9</v>
      </c>
      <c r="EC203" s="2" t="str">
        <f>HYPERLINK(".\links\gpi\AGAP010187-PA-gpi.txt","Y-NoSP")</f>
        <v>Y-NoSP</v>
      </c>
      <c r="ED203" s="2">
        <v>0.27</v>
      </c>
      <c r="EF203" s="2">
        <v>6</v>
      </c>
      <c r="EG203" s="2" t="s">
        <v>102</v>
      </c>
      <c r="EH203" s="2" t="s">
        <v>102</v>
      </c>
      <c r="EI203" s="2">
        <v>9.5744680851063801</v>
      </c>
      <c r="EJ203" s="2">
        <v>4.2553191489361701</v>
      </c>
      <c r="EK203" s="2">
        <v>3.4574468085106398</v>
      </c>
      <c r="EL203" s="2">
        <v>7.7127659574468099</v>
      </c>
      <c r="EM203" s="2" t="s">
        <v>102</v>
      </c>
      <c r="EN203" s="2" t="s">
        <v>102</v>
      </c>
      <c r="EO203" s="2" t="s">
        <v>102</v>
      </c>
      <c r="EP203" s="2" t="s">
        <v>102</v>
      </c>
      <c r="EQ203" s="2" t="s">
        <v>102</v>
      </c>
      <c r="ER203" s="2" t="s">
        <v>102</v>
      </c>
      <c r="ES203" s="2" t="s">
        <v>102</v>
      </c>
      <c r="ET203" s="2" t="str">
        <f>HYPERLINK(".\links\REFSEQ-INVERTEBRATE\AGAP010187-PA-REFSEQ-INVERTEBRATE.txt","AGAP010187-PA")</f>
        <v>AGAP010187-PA</v>
      </c>
      <c r="EU203" s="2" t="str">
        <f>HYPERLINK("http://www.ncbi.nlm.nih.gov/sutils/blink.cgi?pid=XP_319364.4","0.0")</f>
        <v>0.0</v>
      </c>
      <c r="EV203" s="2" t="str">
        <f>HYPERLINK("http://www.ncbi.nlm.nih.gov/protein/XP_319364.4","XP_319364.4")</f>
        <v>XP_319364.4</v>
      </c>
      <c r="EW203" s="2">
        <v>100</v>
      </c>
      <c r="EX203" s="2">
        <v>100</v>
      </c>
      <c r="EY203" s="2">
        <v>100</v>
      </c>
      <c r="EZ203" s="2" t="s">
        <v>105</v>
      </c>
    </row>
    <row r="204" spans="1:156" x14ac:dyDescent="0.25">
      <c r="A204" s="2" t="s">
        <v>2311</v>
      </c>
      <c r="B204" s="2">
        <v>0.31560954269827102</v>
      </c>
      <c r="C204" s="2">
        <f t="shared" si="3"/>
        <v>1.2445373627576652</v>
      </c>
      <c r="D204" s="2">
        <v>6.0503298987059697</v>
      </c>
      <c r="E204" s="2">
        <v>11.5502520970966</v>
      </c>
      <c r="F204" s="2">
        <v>6.7740071187438495E-4</v>
      </c>
      <c r="G204" s="2">
        <v>2.8678620114207E-2</v>
      </c>
      <c r="H204" s="2" t="s">
        <v>2312</v>
      </c>
      <c r="I204" s="2" t="s">
        <v>94</v>
      </c>
      <c r="J204" s="2" t="str">
        <f>HYPERLINK("https://vectorbase.org/vectorbase/app/record/gene/AGAP001656","AGAP001656-RA")</f>
        <v>AGAP001656-RA</v>
      </c>
      <c r="K204" s="2" t="str">
        <f>HYPERLINK(".\links\pep\AGAP001656-PA-pep.txt","AGAP001656-PA")</f>
        <v>AGAP001656-PA</v>
      </c>
      <c r="L204" s="12" t="s">
        <v>95</v>
      </c>
      <c r="M204" s="2">
        <v>256</v>
      </c>
      <c r="N204" s="2">
        <v>0</v>
      </c>
      <c r="O204" s="2">
        <v>0</v>
      </c>
      <c r="P204" s="2" t="s">
        <v>2313</v>
      </c>
      <c r="Q204" s="9" t="s">
        <v>2314</v>
      </c>
      <c r="R204" s="2" t="s">
        <v>672</v>
      </c>
      <c r="S204" s="2" t="str">
        <f>HYPERLINK(".\links\REFSEQ-INVERTEBRATE\AGAP001656-PA-REFSEQ-INVERTEBRATE.txt","REFSEQ-INVERTEBRATE")</f>
        <v>REFSEQ-INVERTEBRATE</v>
      </c>
      <c r="T204" s="2">
        <v>3.9999999999999997E-77</v>
      </c>
      <c r="U204" s="2">
        <v>101.9</v>
      </c>
      <c r="V204" s="2" t="s">
        <v>2315</v>
      </c>
      <c r="W204" s="10" t="s">
        <v>795</v>
      </c>
      <c r="X204" s="2" t="s">
        <v>672</v>
      </c>
      <c r="Y204" s="2" t="str">
        <f>HYPERLINK(".\links\REFSEQ-INVERTEBRATE\AGAP001656-PA-REFSEQ-INVERTEBRATE.txt","REFSEQ-INVERTEBRATE")</f>
        <v>REFSEQ-INVERTEBRATE</v>
      </c>
      <c r="Z204" s="15">
        <v>0</v>
      </c>
      <c r="AA204" s="2">
        <v>100</v>
      </c>
      <c r="AB204" s="13" t="str">
        <f>HYPERLINK(".\links\pep\AGAP001656-PA-sulf.txt","1")</f>
        <v>1</v>
      </c>
      <c r="AC204" s="13" t="str">
        <f>HYPERLINK(".\links\Sigp\AGAP001656-PA-SigP.txt","CYT")</f>
        <v>CYT</v>
      </c>
      <c r="AD204" s="2" t="s">
        <v>102</v>
      </c>
      <c r="AE204" s="2">
        <v>29.547000000000001</v>
      </c>
      <c r="AF204" s="2">
        <v>9.26</v>
      </c>
      <c r="AG204" s="2" t="s">
        <v>102</v>
      </c>
      <c r="AH204" s="2" t="s">
        <v>102</v>
      </c>
      <c r="AI204" s="2" t="s">
        <v>124</v>
      </c>
      <c r="AJ204" s="13">
        <v>0</v>
      </c>
      <c r="AK204" s="2" t="s">
        <v>102</v>
      </c>
      <c r="AL204" s="2" t="s">
        <v>102</v>
      </c>
      <c r="AM204" s="2" t="s">
        <v>102</v>
      </c>
      <c r="AN204" s="13" t="str">
        <f>HYPERLINK(".\links\gpi\AGAP001656-PA-gpi.txt","N")</f>
        <v>N</v>
      </c>
      <c r="AO204" s="14" t="str">
        <f>HYPERLINK(".\links\netoglyc\AGAP001656-PA-netoglyc.txt","0")</f>
        <v>0</v>
      </c>
      <c r="AP204" s="13">
        <v>12.1</v>
      </c>
      <c r="AQ204" s="2">
        <v>2.7</v>
      </c>
      <c r="AR204" s="2">
        <v>4.3</v>
      </c>
      <c r="AS204" s="2" t="s">
        <v>104</v>
      </c>
      <c r="AT204" s="9" t="str">
        <f>HYPERLINK(".\links\NR-LIGHT\AGAP001656-PA-NR-LIGHT.txt","AGAP001656-PA")</f>
        <v>AGAP001656-PA</v>
      </c>
      <c r="AU204" s="2" t="str">
        <f>HYPERLINK("http://www.ncbi.nlm.nih.gov/sutils/blink.cgi?pid=XP_321439.5","1E-143")</f>
        <v>1E-143</v>
      </c>
      <c r="AV204" s="2" t="str">
        <f>HYPERLINK("http://www.ncbi.nlm.nih.gov/protein/XP_321439.5","XP_321439.5")</f>
        <v>XP_321439.5</v>
      </c>
      <c r="AW204" s="2">
        <v>100</v>
      </c>
      <c r="AX204" s="2">
        <v>100</v>
      </c>
      <c r="AY204" s="2">
        <v>100</v>
      </c>
      <c r="AZ204" s="2" t="s">
        <v>105</v>
      </c>
      <c r="BA204" s="9" t="str">
        <f>HYPERLINK(".\links\REFSEQ-INVERTEBRATE\AGAP001656-PA-REFSEQ-INVERTEBRATE.txt","AGAP001656-PA")</f>
        <v>AGAP001656-PA</v>
      </c>
      <c r="BB204" s="2" t="str">
        <f>HYPERLINK("http://www.ncbi.nlm.nih.gov/sutils/blink.cgi?pid=XP_321439.5","1E-143")</f>
        <v>1E-143</v>
      </c>
      <c r="BC204" s="2" t="str">
        <f>HYPERLINK("http://www.ncbi.nlm.nih.gov/protein/XP_321439.5","XP_321439.5")</f>
        <v>XP_321439.5</v>
      </c>
      <c r="BD204" s="2">
        <v>100</v>
      </c>
      <c r="BE204" s="2">
        <v>100</v>
      </c>
      <c r="BF204" s="2">
        <v>100</v>
      </c>
      <c r="BG204" s="2" t="s">
        <v>105</v>
      </c>
      <c r="BH204" s="9" t="str">
        <f>HYPERLINK(".\links\REFSEQ-PROTOZOA\AGAP001656-PA-REFSEQ-PROTOZOA.txt","conserved hypothetical protein")</f>
        <v>conserved hypothetical protein</v>
      </c>
      <c r="BI204" s="2" t="str">
        <f>HYPERLINK("http://www.ncbi.nlm.nih.gov/sutils/blink.cgi?pid=XP_002903516.1","6E-025")</f>
        <v>6E-025</v>
      </c>
      <c r="BJ204" s="2" t="str">
        <f>HYPERLINK("http://www.ncbi.nlm.nih.gov/protein/XP_002903516.1","XP_002903516.1")</f>
        <v>XP_002903516.1</v>
      </c>
      <c r="BK204" s="2">
        <v>31</v>
      </c>
      <c r="BL204" s="2">
        <v>50</v>
      </c>
      <c r="BM204" s="2">
        <v>100</v>
      </c>
      <c r="BN204" s="2" t="s">
        <v>857</v>
      </c>
      <c r="BO204" s="9" t="str">
        <f>HYPERLINK(".\links\SWISSP\AGAP001656-PA-SWISSP.txt","Ribosomal RNA-processing protein 7 homolog A")</f>
        <v>Ribosomal RNA-processing protein 7 homolog A</v>
      </c>
      <c r="BP204" s="2" t="str">
        <f>HYPERLINK("http://www.uniprot.org/uniprot/Q9Y3A4","1E-044")</f>
        <v>1E-044</v>
      </c>
      <c r="BQ204" s="2" t="str">
        <f>HYPERLINK("http://www.uniprot.org/uniprot/Q9Y3A4#expression","Q9Y3A4")</f>
        <v>Q9Y3A4</v>
      </c>
      <c r="BR204" s="2">
        <v>38</v>
      </c>
      <c r="BS204" s="2">
        <v>57</v>
      </c>
      <c r="BT204" s="2">
        <v>92</v>
      </c>
      <c r="BU204" s="2" t="s">
        <v>127</v>
      </c>
      <c r="BV204" s="9" t="str">
        <f>HYPERLINK(".\links\FLYBASE\AGAP001656-PA-FLYBASE.txt","FBpp0078857")</f>
        <v>FBpp0078857</v>
      </c>
      <c r="BW204" s="2" t="str">
        <f>HYPERLINK("http://flybase.org/reports/FBgn0031764#alliance_summary_container","1E-53")</f>
        <v>1E-53</v>
      </c>
      <c r="BX204" s="2">
        <v>266</v>
      </c>
      <c r="BY204" s="2">
        <v>35</v>
      </c>
      <c r="BZ204" s="2">
        <v>56</v>
      </c>
      <c r="CA204" s="2">
        <v>100</v>
      </c>
      <c r="CB204" s="9" t="str">
        <f>HYPERLINK(".\links\CDD\AGAP001656-PA-CDD.txt","RRP7_Rrp7A, RRP7 domain ribosomal RNA-processing protein 7 homolog A (Rrp7A) and similar proteins")</f>
        <v>RRP7_Rrp7A, RRP7 domain ribosomal RNA-processing protein 7 homolog A (Rrp7A) and similar proteins</v>
      </c>
      <c r="CC204" s="15">
        <v>1E-35</v>
      </c>
      <c r="CD204" s="2">
        <v>100</v>
      </c>
      <c r="CE204" s="2" t="s">
        <v>2316</v>
      </c>
      <c r="CF204" s="2" t="s">
        <v>2317</v>
      </c>
      <c r="CG204" s="9" t="str">
        <f>HYPERLINK(".\links\KOG\AGAP001656-PA-KOG.txt","rRNA processing protein RRP7")</f>
        <v>rRNA processing protein RRP7</v>
      </c>
      <c r="CH204" s="15">
        <v>9.9999999999999997E-29</v>
      </c>
      <c r="CI204" s="2">
        <v>95.4</v>
      </c>
      <c r="CJ204" s="2" t="s">
        <v>2318</v>
      </c>
      <c r="CK204" s="2" t="s">
        <v>722</v>
      </c>
      <c r="CL204" s="9" t="str">
        <f>HYPERLINK(".\links\PFAM\AGAP001656-PA-PFAM.txt","RRP7, Ribosomal RNA-processing protein 7 (RRP7)")</f>
        <v>RRP7, Ribosomal RNA-processing protein 7 (RRP7)</v>
      </c>
      <c r="CM204" s="15">
        <v>1.0000000000000001E-30</v>
      </c>
      <c r="CN204" s="2">
        <v>100</v>
      </c>
      <c r="CO204" s="2" t="s">
        <v>2319</v>
      </c>
      <c r="CP204" s="9" t="str">
        <f>HYPERLINK(".\links\SMART\AGAP001656-PA-SMART.txt","RRM, RNA recognition motif")</f>
        <v>RRM, RNA recognition motif</v>
      </c>
      <c r="CQ204" s="15">
        <v>1E-4</v>
      </c>
      <c r="CR204" s="2">
        <v>97.3</v>
      </c>
      <c r="CS204" s="2" t="s">
        <v>1254</v>
      </c>
      <c r="CT204" s="2" t="s">
        <v>2315</v>
      </c>
      <c r="CU204" s="2" t="s">
        <v>2315</v>
      </c>
      <c r="CV204" s="2" t="s">
        <v>2315</v>
      </c>
      <c r="CW204" s="2" t="str">
        <f>HYPERLINK(".\links\pep\AGAP001656-PA-pep.txt","AGAP001656-PA")</f>
        <v>AGAP001656-PA</v>
      </c>
      <c r="CX204" s="2" t="s">
        <v>95</v>
      </c>
      <c r="CY204" s="2">
        <v>256</v>
      </c>
      <c r="CZ204" s="2" t="s">
        <v>113</v>
      </c>
      <c r="DA204" s="2" t="s">
        <v>2320</v>
      </c>
      <c r="DB204" s="2">
        <v>0</v>
      </c>
      <c r="DC204" s="2">
        <v>0</v>
      </c>
      <c r="DD204" s="2" t="str">
        <f>HYPERLINK("https://www.kegg.jp/kegg-bin/search_pathway_text?map=aga&amp;keyword=AGAP001656&amp;mode=1&amp;viewImage=true","AGAP001656")</f>
        <v>AGAP001656</v>
      </c>
      <c r="DE204" s="2" t="s">
        <v>2311</v>
      </c>
      <c r="DF204" s="2" t="s">
        <v>2312</v>
      </c>
      <c r="DG204" s="2" t="s">
        <v>94</v>
      </c>
      <c r="DH204" s="2" t="str">
        <f>HYPERLINK("https://vectorbase.org/vectorbase/app/record/gene/AGAP001656","AGAP001656-RA")</f>
        <v>AGAP001656-RA</v>
      </c>
      <c r="DI204" s="2" t="s">
        <v>118</v>
      </c>
      <c r="DJ204" s="2">
        <v>853</v>
      </c>
      <c r="DK204" s="2" t="str">
        <f>HYPERLINK(".\links\netoglyc\AGAP001656-PA-netoglyc.txt","0")</f>
        <v>0</v>
      </c>
      <c r="DL204" s="2">
        <v>12.1</v>
      </c>
      <c r="DM204" s="2">
        <v>2.7</v>
      </c>
      <c r="DN204" s="2">
        <v>4.3</v>
      </c>
      <c r="DO204" s="2" t="s">
        <v>104</v>
      </c>
      <c r="DP204" s="2" t="s">
        <v>102</v>
      </c>
      <c r="DQ204" s="2" t="str">
        <f>HYPERLINK(".\links\Sigp\AGAP001656-PA-SigP.txt","CYT")</f>
        <v>CYT</v>
      </c>
      <c r="DR204" s="2" t="s">
        <v>102</v>
      </c>
      <c r="DS204" s="2">
        <v>29.547000000000001</v>
      </c>
      <c r="DT204" s="2">
        <v>9.26</v>
      </c>
      <c r="DU204" s="2" t="s">
        <v>102</v>
      </c>
      <c r="DV204" s="2" t="s">
        <v>102</v>
      </c>
      <c r="DW204" s="2" t="s">
        <v>124</v>
      </c>
      <c r="DX204" s="2">
        <v>256</v>
      </c>
      <c r="DY204" s="12">
        <v>0</v>
      </c>
      <c r="DZ204" s="2" t="s">
        <v>102</v>
      </c>
      <c r="EA204" s="2" t="s">
        <v>102</v>
      </c>
      <c r="EB204" s="2" t="s">
        <v>102</v>
      </c>
      <c r="EC204" s="2" t="str">
        <f>HYPERLINK(".\links\gpi\AGAP001656-PA-gpi.txt","N")</f>
        <v>N</v>
      </c>
      <c r="ED204" s="2">
        <v>0.28999999999999998</v>
      </c>
      <c r="EF204" s="2">
        <v>3</v>
      </c>
      <c r="EG204" s="2" t="str">
        <f>HYPERLINK(".\links\pep\AGAP001656-PA-sulf.txt","1")</f>
        <v>1</v>
      </c>
      <c r="EH204" s="2" t="s">
        <v>102</v>
      </c>
      <c r="EI204" s="2">
        <v>12.109375</v>
      </c>
      <c r="EJ204" s="2">
        <v>4.296875</v>
      </c>
      <c r="EK204" s="2">
        <v>2.734375</v>
      </c>
      <c r="EL204" s="2">
        <v>7.03125</v>
      </c>
      <c r="EM204" s="2">
        <v>1</v>
      </c>
      <c r="EN204" s="2" t="s">
        <v>102</v>
      </c>
      <c r="EO204" s="2">
        <v>2</v>
      </c>
      <c r="EP204" s="2" t="s">
        <v>102</v>
      </c>
      <c r="EQ204" s="2" t="s">
        <v>102</v>
      </c>
      <c r="ER204" s="2" t="s">
        <v>102</v>
      </c>
      <c r="ES204" s="2" t="s">
        <v>102</v>
      </c>
      <c r="ET204" s="2" t="str">
        <f>HYPERLINK(".\links\REFSEQ-INVERTEBRATE\AGAP001656-PA-REFSEQ-INVERTEBRATE.txt","AGAP001656-PA")</f>
        <v>AGAP001656-PA</v>
      </c>
      <c r="EU204" s="2" t="str">
        <f>HYPERLINK("http://www.ncbi.nlm.nih.gov/sutils/blink.cgi?pid=XP_321439.5","0.0")</f>
        <v>0.0</v>
      </c>
      <c r="EV204" s="2" t="str">
        <f>HYPERLINK("http://www.ncbi.nlm.nih.gov/protein/XP_321439.5","XP_321439.5")</f>
        <v>XP_321439.5</v>
      </c>
      <c r="EW204" s="2">
        <v>100</v>
      </c>
      <c r="EX204" s="2">
        <v>100</v>
      </c>
      <c r="EY204" s="2">
        <v>100</v>
      </c>
      <c r="EZ204" s="2" t="s">
        <v>105</v>
      </c>
    </row>
    <row r="205" spans="1:156" x14ac:dyDescent="0.25">
      <c r="A205" s="2" t="s">
        <v>2321</v>
      </c>
      <c r="B205" s="2">
        <v>0.31545716290666398</v>
      </c>
      <c r="C205" s="2">
        <f t="shared" si="3"/>
        <v>1.2444059196433574</v>
      </c>
      <c r="D205" s="2">
        <v>5.8076554812222598</v>
      </c>
      <c r="E205" s="2">
        <v>8.8939861035504695</v>
      </c>
      <c r="F205" s="2">
        <v>2.8611143385171801E-3</v>
      </c>
      <c r="G205" s="2">
        <v>4.9294198961690301E-2</v>
      </c>
      <c r="H205" s="2" t="s">
        <v>93</v>
      </c>
      <c r="I205" s="2" t="s">
        <v>94</v>
      </c>
      <c r="J205" s="2" t="str">
        <f>HYPERLINK("https://vectorbase.org/vectorbase/app/record/gene/AGAP006204","AGAP006204-RA")</f>
        <v>AGAP006204-RA</v>
      </c>
      <c r="K205" s="2" t="str">
        <f>HYPERLINK(".\links\pep\AGAP006204-PA-pep.txt","AGAP006204-PA")</f>
        <v>AGAP006204-PA</v>
      </c>
      <c r="L205" s="12" t="s">
        <v>95</v>
      </c>
      <c r="M205" s="2">
        <v>79</v>
      </c>
      <c r="N205" s="2">
        <v>0</v>
      </c>
      <c r="O205" s="2">
        <v>0</v>
      </c>
      <c r="P205" s="2" t="s">
        <v>102</v>
      </c>
      <c r="Q205" s="9" t="s">
        <v>2322</v>
      </c>
      <c r="R205" s="2" t="s">
        <v>123</v>
      </c>
      <c r="S205" s="2" t="str">
        <f>HYPERLINK(".\links\REFSEQ-INVERTEBRATE\AGAP006204-PA-REFSEQ-INVERTEBRATE.txt","REFSEQ-INVERTEBRATE")</f>
        <v>REFSEQ-INVERTEBRATE</v>
      </c>
      <c r="T205" s="2">
        <v>9.9999999999999993E-41</v>
      </c>
      <c r="U205" s="2">
        <v>100</v>
      </c>
      <c r="V205" s="2" t="s">
        <v>2323</v>
      </c>
      <c r="W205" s="10" t="s">
        <v>2322</v>
      </c>
      <c r="X205" s="2" t="s">
        <v>123</v>
      </c>
      <c r="Y205" s="2" t="str">
        <f>HYPERLINK(".\links\REFSEQ-INVERTEBRATE\AGAP006204-PA-REFSEQ-INVERTEBRATE.txt","REFSEQ-INVERTEBRATE")</f>
        <v>REFSEQ-INVERTEBRATE</v>
      </c>
      <c r="Z205" s="15">
        <v>8.0000000000000002E-53</v>
      </c>
      <c r="AA205" s="2">
        <v>100</v>
      </c>
      <c r="AB205" s="13" t="s">
        <v>102</v>
      </c>
      <c r="AC205" s="13" t="str">
        <f>HYPERLINK(".\links\Sigp\AGAP006204-PA-SigP.txt","ANC")</f>
        <v>ANC</v>
      </c>
      <c r="AD205" s="2" t="s">
        <v>102</v>
      </c>
      <c r="AE205" s="2">
        <v>9.6059999999999999</v>
      </c>
      <c r="AF205" s="2">
        <v>7.93</v>
      </c>
      <c r="AG205" s="2">
        <v>3.7669999999999999</v>
      </c>
      <c r="AH205" s="2">
        <v>8.2100000000000009</v>
      </c>
      <c r="AI205" s="2" t="s">
        <v>2324</v>
      </c>
      <c r="AJ205" s="13">
        <v>0</v>
      </c>
      <c r="AK205" s="2" t="s">
        <v>102</v>
      </c>
      <c r="AL205" s="2" t="s">
        <v>102</v>
      </c>
      <c r="AM205" s="2" t="s">
        <v>102</v>
      </c>
      <c r="AN205" s="13" t="str">
        <f>HYPERLINK(".\links\gpi\AGAP006204-PA-gpi.txt","N")</f>
        <v>N</v>
      </c>
      <c r="AO205" s="14" t="str">
        <f>HYPERLINK(".\links\netoglyc\AGAP006204-PA-netoglyc.txt","2")</f>
        <v>2</v>
      </c>
      <c r="AP205" s="13">
        <v>10.1</v>
      </c>
      <c r="AQ205" s="2">
        <v>2.5</v>
      </c>
      <c r="AR205" s="2">
        <v>3.8</v>
      </c>
      <c r="AS205" s="2" t="s">
        <v>104</v>
      </c>
      <c r="AT205" s="9" t="str">
        <f>HYPERLINK(".\links\NR-LIGHT\AGAP006204-PA-NR-LIGHT.txt","AGAP006204-PA")</f>
        <v>AGAP006204-PA</v>
      </c>
      <c r="AU205" s="2" t="str">
        <f>HYPERLINK("http://www.ncbi.nlm.nih.gov/sutils/blink.cgi?pid=XP_001237781.1","1E-040")</f>
        <v>1E-040</v>
      </c>
      <c r="AV205" s="2" t="str">
        <f>HYPERLINK("http://www.ncbi.nlm.nih.gov/protein/XP_001237781.1","XP_001237781.1")</f>
        <v>XP_001237781.1</v>
      </c>
      <c r="AW205" s="2">
        <v>100</v>
      </c>
      <c r="AX205" s="2">
        <v>100</v>
      </c>
      <c r="AY205" s="2">
        <v>100</v>
      </c>
      <c r="AZ205" s="2" t="s">
        <v>105</v>
      </c>
      <c r="BA205" s="9" t="str">
        <f>HYPERLINK(".\links\REFSEQ-INVERTEBRATE\AGAP006204-PA-REFSEQ-INVERTEBRATE.txt","AGAP006204-PA")</f>
        <v>AGAP006204-PA</v>
      </c>
      <c r="BB205" s="2" t="str">
        <f>HYPERLINK("http://www.ncbi.nlm.nih.gov/sutils/blink.cgi?pid=XP_001237781.1","1E-040")</f>
        <v>1E-040</v>
      </c>
      <c r="BC205" s="2" t="str">
        <f>HYPERLINK("http://www.ncbi.nlm.nih.gov/protein/XP_001237781.1","XP_001237781.1")</f>
        <v>XP_001237781.1</v>
      </c>
      <c r="BD205" s="2">
        <v>100</v>
      </c>
      <c r="BE205" s="2">
        <v>100</v>
      </c>
      <c r="BF205" s="2">
        <v>100</v>
      </c>
      <c r="BG205" s="2" t="s">
        <v>105</v>
      </c>
      <c r="BH205" s="9" t="str">
        <f>HYPERLINK(".\links\REFSEQ-PROTOZOA\AGAP006204-PA-REFSEQ-PROTOZOA.txt","hypothetical protein ACA1_151380")</f>
        <v>hypothetical protein ACA1_151380</v>
      </c>
      <c r="BI205" s="2" t="str">
        <f>HYPERLINK("http://www.ncbi.nlm.nih.gov/sutils/blink.cgi?pid=XP_004340881.1","0.44")</f>
        <v>0.44</v>
      </c>
      <c r="BJ205" s="2" t="str">
        <f>HYPERLINK("http://www.ncbi.nlm.nih.gov/protein/XP_004340881.1","XP_004340881.1")</f>
        <v>XP_004340881.1</v>
      </c>
      <c r="BK205" s="2">
        <v>36</v>
      </c>
      <c r="BL205" s="2">
        <v>57</v>
      </c>
      <c r="BM205" s="2">
        <v>51</v>
      </c>
      <c r="BN205" s="2" t="s">
        <v>600</v>
      </c>
      <c r="BO205" s="9" t="str">
        <f>HYPERLINK(".\links\SWISSP\AGAP006204-PA-SWISSP.txt","Serine palmitoyltransferase small subunit A-A")</f>
        <v>Serine palmitoyltransferase small subunit A-A</v>
      </c>
      <c r="BP205" s="2" t="str">
        <f>HYPERLINK("http://www.uniprot.org/uniprot/Q66J44","0.022")</f>
        <v>0.022</v>
      </c>
      <c r="BQ205" s="2" t="str">
        <f>HYPERLINK("http://www.uniprot.org/uniprot/Q66J44#expression","Q66J44")</f>
        <v>Q66J44</v>
      </c>
      <c r="BR205" s="2">
        <v>38</v>
      </c>
      <c r="BS205" s="2">
        <v>66</v>
      </c>
      <c r="BT205" s="2">
        <v>49</v>
      </c>
      <c r="BU205" s="2" t="s">
        <v>625</v>
      </c>
      <c r="BV205" s="9" t="str">
        <f>HYPERLINK(".\links\FLYBASE\AGAP006204-PA-FLYBASE.txt","FBpp0076190")</f>
        <v>FBpp0076190</v>
      </c>
      <c r="BW205" s="2" t="str">
        <f>HYPERLINK("http://flybase.org/reports/FBgn0266124#alliance_summary_container","8E-22")</f>
        <v>8E-22</v>
      </c>
      <c r="BX205" s="2">
        <v>81</v>
      </c>
      <c r="BY205" s="2">
        <v>52</v>
      </c>
      <c r="BZ205" s="2">
        <v>66</v>
      </c>
      <c r="CA205" s="2">
        <v>91</v>
      </c>
      <c r="CB205" s="9" t="str">
        <f>HYPERLINK(".\links\CDD\AGAP006204-PA-CDD.txt","SPT_ssu-like, Small subunit of serine palmitoyltransferase-like")</f>
        <v>SPT_ssu-like, Small subunit of serine palmitoyltransferase-like</v>
      </c>
      <c r="CC205" s="15">
        <v>0.85</v>
      </c>
      <c r="CD205" s="2">
        <v>96</v>
      </c>
      <c r="CE205" s="2" t="s">
        <v>2325</v>
      </c>
      <c r="CF205" s="2" t="s">
        <v>2326</v>
      </c>
      <c r="CG205" s="9" t="str">
        <f>HYPERLINK(".\links\KOG\AGAP006204-PA-KOG.txt","Ca2+ transporting ATPase")</f>
        <v>Ca2+ transporting ATPase</v>
      </c>
      <c r="CH205" s="15">
        <v>0.98</v>
      </c>
      <c r="CI205" s="2">
        <v>4.7</v>
      </c>
      <c r="CJ205" s="2" t="s">
        <v>2327</v>
      </c>
      <c r="CK205" s="2" t="s">
        <v>640</v>
      </c>
      <c r="CL205" s="9" t="str">
        <f>HYPERLINK(".\links\PFAM\AGAP006204-PA-PFAM.txt","SPT_ssu-like, Small subunit of serine palmitoyltransferase-like")</f>
        <v>SPT_ssu-like, Small subunit of serine palmitoyltransferase-like</v>
      </c>
      <c r="CM205" s="15">
        <v>0.2</v>
      </c>
      <c r="CN205" s="2">
        <v>96</v>
      </c>
      <c r="CO205" s="2" t="s">
        <v>2325</v>
      </c>
      <c r="CP205" s="9" t="str">
        <f>HYPERLINK(".\links\SMART\AGAP006204-PA-SMART.txt","FN2, Fibronectin type 2 domain")</f>
        <v>FN2, Fibronectin type 2 domain</v>
      </c>
      <c r="CQ205" s="15">
        <v>5.8</v>
      </c>
      <c r="CR205" s="2">
        <v>30.6</v>
      </c>
      <c r="CS205" s="2" t="s">
        <v>2328</v>
      </c>
      <c r="CT205" s="2" t="s">
        <v>2323</v>
      </c>
      <c r="CU205" s="2" t="s">
        <v>2323</v>
      </c>
      <c r="CV205" s="2" t="s">
        <v>2323</v>
      </c>
      <c r="CW205" s="2" t="str">
        <f>HYPERLINK(".\links\pep\AGAP006204-PA-pep.txt","AGAP006204-PA")</f>
        <v>AGAP006204-PA</v>
      </c>
      <c r="CX205" s="2" t="s">
        <v>95</v>
      </c>
      <c r="CY205" s="2">
        <v>79</v>
      </c>
      <c r="CZ205" s="2" t="s">
        <v>113</v>
      </c>
      <c r="DA205" s="2" t="s">
        <v>2329</v>
      </c>
      <c r="DB205" s="2">
        <v>0</v>
      </c>
      <c r="DC205" s="2">
        <v>0</v>
      </c>
      <c r="DD205" s="2" t="str">
        <f>HYPERLINK("https://www.kegg.jp/kegg-bin/search_pathway_text?map=aga&amp;keyword=AGAP006204&amp;mode=1&amp;viewImage=true","AGAP006204")</f>
        <v>AGAP006204</v>
      </c>
      <c r="DE205" s="2" t="s">
        <v>2321</v>
      </c>
      <c r="DF205" s="2" t="s">
        <v>93</v>
      </c>
      <c r="DG205" s="2" t="s">
        <v>94</v>
      </c>
      <c r="DH205" s="2" t="str">
        <f>HYPERLINK("https://vectorbase.org/vectorbase/app/record/gene/AGAP006204","AGAP006204-RA")</f>
        <v>AGAP006204-RA</v>
      </c>
      <c r="DI205" s="2" t="s">
        <v>118</v>
      </c>
      <c r="DJ205" s="2">
        <v>695</v>
      </c>
      <c r="DK205" s="2" t="str">
        <f>HYPERLINK(".\links\netoglyc\AGAP006204-PA-netoglyc.txt","2")</f>
        <v>2</v>
      </c>
      <c r="DL205" s="2">
        <v>10.1</v>
      </c>
      <c r="DM205" s="2">
        <v>2.5</v>
      </c>
      <c r="DN205" s="2">
        <v>3.8</v>
      </c>
      <c r="DO205" s="2" t="s">
        <v>104</v>
      </c>
      <c r="DP205" s="2" t="s">
        <v>102</v>
      </c>
      <c r="DQ205" s="2" t="str">
        <f>HYPERLINK(".\links\Sigp\AGAP006204-PA-SigP.txt","ANC")</f>
        <v>ANC</v>
      </c>
      <c r="DR205" s="2" t="s">
        <v>102</v>
      </c>
      <c r="DS205" s="2">
        <v>9.6059999999999999</v>
      </c>
      <c r="DT205" s="2">
        <v>7.93</v>
      </c>
      <c r="DU205" s="2">
        <v>3.7669999999999999</v>
      </c>
      <c r="DV205" s="2">
        <v>8.2100000000000009</v>
      </c>
      <c r="DW205" s="2" t="s">
        <v>2324</v>
      </c>
      <c r="DX205" s="2">
        <v>79</v>
      </c>
      <c r="DY205" s="12">
        <v>0</v>
      </c>
      <c r="DZ205" s="2" t="s">
        <v>102</v>
      </c>
      <c r="EA205" s="2" t="s">
        <v>102</v>
      </c>
      <c r="EB205" s="2" t="s">
        <v>102</v>
      </c>
      <c r="EC205" s="2" t="str">
        <f>HYPERLINK(".\links\gpi\AGAP006204-PA-gpi.txt","N")</f>
        <v>N</v>
      </c>
      <c r="ED205" s="2">
        <v>0.5</v>
      </c>
      <c r="EE205" s="2" t="s">
        <v>2330</v>
      </c>
      <c r="EF205" s="2">
        <v>1</v>
      </c>
      <c r="EG205" s="2" t="s">
        <v>102</v>
      </c>
      <c r="EH205" s="2" t="s">
        <v>102</v>
      </c>
      <c r="EI205" s="2">
        <v>10.126582278480999</v>
      </c>
      <c r="EJ205" s="2">
        <v>3.79746835443038</v>
      </c>
      <c r="EK205" s="2">
        <v>2.5316455696202498</v>
      </c>
      <c r="EL205" s="2">
        <v>6.3291139240506302</v>
      </c>
      <c r="EM205" s="2" t="s">
        <v>102</v>
      </c>
      <c r="EN205" s="2" t="s">
        <v>102</v>
      </c>
      <c r="EO205" s="2" t="s">
        <v>102</v>
      </c>
      <c r="EP205" s="2" t="s">
        <v>102</v>
      </c>
      <c r="EQ205" s="2" t="s">
        <v>102</v>
      </c>
      <c r="ER205" s="2" t="s">
        <v>102</v>
      </c>
      <c r="ES205" s="2" t="s">
        <v>102</v>
      </c>
      <c r="ET205" s="2" t="str">
        <f>HYPERLINK(".\links\REFSEQ-INVERTEBRATE\AGAP006204-PA-REFSEQ-INVERTEBRATE.txt","AGAP006204-PA")</f>
        <v>AGAP006204-PA</v>
      </c>
      <c r="EU205" s="2" t="str">
        <f>HYPERLINK("http://www.ncbi.nlm.nih.gov/sutils/blink.cgi?pid=XP_001237781.1","1E-52")</f>
        <v>1E-52</v>
      </c>
      <c r="EV205" s="2" t="str">
        <f>HYPERLINK("http://www.ncbi.nlm.nih.gov/protein/XP_001237781.1","XP_001237781.1")</f>
        <v>XP_001237781.1</v>
      </c>
      <c r="EW205" s="2">
        <v>100</v>
      </c>
      <c r="EX205" s="2">
        <v>100</v>
      </c>
      <c r="EY205" s="2">
        <v>100</v>
      </c>
      <c r="EZ205" s="2" t="s">
        <v>105</v>
      </c>
    </row>
    <row r="206" spans="1:156" x14ac:dyDescent="0.25">
      <c r="A206" s="2" t="s">
        <v>2331</v>
      </c>
      <c r="B206" s="2">
        <v>0.31493523518746103</v>
      </c>
      <c r="C206" s="2">
        <f t="shared" si="3"/>
        <v>1.243955808944083</v>
      </c>
      <c r="D206" s="2">
        <v>7.4994221209588297</v>
      </c>
      <c r="E206" s="2">
        <v>9.1824863202038394</v>
      </c>
      <c r="F206" s="2">
        <v>2.44341873233675E-3</v>
      </c>
      <c r="G206" s="2">
        <v>4.6584949255024502E-2</v>
      </c>
      <c r="H206" s="2" t="s">
        <v>2332</v>
      </c>
      <c r="I206" s="2" t="s">
        <v>94</v>
      </c>
      <c r="J206" s="2" t="str">
        <f>HYPERLINK("https://vectorbase.org/vectorbase/app/record/gene/AGAP004990","AGAP004990-RA")</f>
        <v>AGAP004990-RA</v>
      </c>
      <c r="K206" s="2" t="str">
        <f>HYPERLINK(".\links\pep\AGAP004990-PA-pep.txt","AGAP004990-PA")</f>
        <v>AGAP004990-PA</v>
      </c>
      <c r="L206" s="12" t="s">
        <v>95</v>
      </c>
      <c r="M206" s="2">
        <v>147</v>
      </c>
      <c r="N206" s="2">
        <v>0</v>
      </c>
      <c r="O206" s="2">
        <v>0</v>
      </c>
      <c r="P206" s="2" t="s">
        <v>2333</v>
      </c>
      <c r="Q206" s="9" t="s">
        <v>2334</v>
      </c>
      <c r="R206" s="2" t="s">
        <v>564</v>
      </c>
      <c r="S206" s="2" t="str">
        <f>HYPERLINK(".\links\KOG\AGAP004990-PA-KOG.txt","KOG")</f>
        <v>KOG</v>
      </c>
      <c r="T206" s="2">
        <v>1.0000000000000001E-43</v>
      </c>
      <c r="U206" s="2">
        <v>100.7</v>
      </c>
      <c r="V206" s="2" t="s">
        <v>2335</v>
      </c>
      <c r="W206" s="10" t="s">
        <v>2336</v>
      </c>
      <c r="X206" s="2" t="s">
        <v>564</v>
      </c>
      <c r="Y206" s="2" t="str">
        <f>HYPERLINK(".\links\KOG\AGAP004990-PA-KOG.txt","KOG")</f>
        <v>KOG</v>
      </c>
      <c r="Z206" s="15">
        <v>1E-50</v>
      </c>
      <c r="AA206" s="2">
        <v>100</v>
      </c>
      <c r="AB206" s="13" t="s">
        <v>102</v>
      </c>
      <c r="AC206" s="13" t="str">
        <f>HYPERLINK(".\links\Sigp\AGAP004990-PA-SigP.txt","CYT")</f>
        <v>CYT</v>
      </c>
      <c r="AD206" s="2" t="s">
        <v>102</v>
      </c>
      <c r="AE206" s="2">
        <v>16.332999999999998</v>
      </c>
      <c r="AF206" s="2">
        <v>10.08</v>
      </c>
      <c r="AG206" s="2" t="s">
        <v>102</v>
      </c>
      <c r="AH206" s="2" t="s">
        <v>102</v>
      </c>
      <c r="AI206" s="2" t="s">
        <v>211</v>
      </c>
      <c r="AJ206" s="13">
        <v>0</v>
      </c>
      <c r="AK206" s="2" t="s">
        <v>102</v>
      </c>
      <c r="AL206" s="2" t="s">
        <v>102</v>
      </c>
      <c r="AM206" s="2" t="s">
        <v>102</v>
      </c>
      <c r="AN206" s="13" t="str">
        <f>HYPERLINK(".\links\gpi\AGAP004990-PA-gpi.txt","N")</f>
        <v>N</v>
      </c>
      <c r="AO206" s="14" t="str">
        <f>HYPERLINK(".\links\netoglyc\AGAP004990-PA-netoglyc.txt","3")</f>
        <v>3</v>
      </c>
      <c r="AP206" s="13">
        <v>11.6</v>
      </c>
      <c r="AQ206" s="2">
        <v>7.5</v>
      </c>
      <c r="AR206" s="2">
        <v>5.4</v>
      </c>
      <c r="AS206" s="2" t="s">
        <v>104</v>
      </c>
      <c r="AT206" s="9" t="str">
        <f>HYPERLINK(".\links\NR-LIGHT\AGAP004990-PA-NR-LIGHT.txt","AGAP004990-PA")</f>
        <v>AGAP004990-PA</v>
      </c>
      <c r="AU206" s="2" t="str">
        <f>HYPERLINK("http://www.ncbi.nlm.nih.gov/sutils/blink.cgi?pid=XP_315094.1","8E-078")</f>
        <v>8E-078</v>
      </c>
      <c r="AV206" s="2" t="str">
        <f>HYPERLINK("http://www.ncbi.nlm.nih.gov/protein/XP_315094.1","XP_315094.1")</f>
        <v>XP_315094.1</v>
      </c>
      <c r="AW206" s="2">
        <v>100</v>
      </c>
      <c r="AX206" s="2">
        <v>100</v>
      </c>
      <c r="AY206" s="2">
        <v>100</v>
      </c>
      <c r="AZ206" s="2" t="s">
        <v>105</v>
      </c>
      <c r="BA206" s="9" t="str">
        <f>HYPERLINK(".\links\REFSEQ-INVERTEBRATE\AGAP004990-PA-REFSEQ-INVERTEBRATE.txt","AGAP004990-PA")</f>
        <v>AGAP004990-PA</v>
      </c>
      <c r="BB206" s="2" t="str">
        <f>HYPERLINK("http://www.ncbi.nlm.nih.gov/sutils/blink.cgi?pid=XP_315094.1","7E-078")</f>
        <v>7E-078</v>
      </c>
      <c r="BC206" s="2" t="str">
        <f>HYPERLINK("http://www.ncbi.nlm.nih.gov/protein/XP_315094.1","XP_315094.1")</f>
        <v>XP_315094.1</v>
      </c>
      <c r="BD206" s="2">
        <v>100</v>
      </c>
      <c r="BE206" s="2">
        <v>100</v>
      </c>
      <c r="BF206" s="2">
        <v>100</v>
      </c>
      <c r="BG206" s="2" t="s">
        <v>105</v>
      </c>
      <c r="BH206" s="9" t="str">
        <f>HYPERLINK(".\links\REFSEQ-PROTOZOA\AGAP004990-PA-REFSEQ-PROTOZOA.txt","endothelial differentiation-like factor 1")</f>
        <v>endothelial differentiation-like factor 1</v>
      </c>
      <c r="BI206" s="2" t="str">
        <f>HYPERLINK("http://www.ncbi.nlm.nih.gov/sutils/blink.cgi?pid=XP_014160929.1","1E-042")</f>
        <v>1E-042</v>
      </c>
      <c r="BJ206" s="2" t="str">
        <f>HYPERLINK("http://www.ncbi.nlm.nih.gov/protein/XP_014160929.1","XP_014160929.1")</f>
        <v>XP_014160929.1</v>
      </c>
      <c r="BK206" s="2">
        <v>57</v>
      </c>
      <c r="BL206" s="2">
        <v>78</v>
      </c>
      <c r="BM206" s="2">
        <v>101</v>
      </c>
      <c r="BN206" s="2" t="s">
        <v>393</v>
      </c>
      <c r="BO206" s="9" t="str">
        <f>HYPERLINK(".\links\SWISSP\AGAP004990-PA-SWISSP.txt","Endothelial differentiation-related factor 1 homolog")</f>
        <v>Endothelial differentiation-related factor 1 homolog</v>
      </c>
      <c r="BP206" s="2" t="str">
        <f>HYPERLINK("http://www.uniprot.org/uniprot/Q6GPQ6","5E-049")</f>
        <v>5E-049</v>
      </c>
      <c r="BQ206" s="2" t="str">
        <f>HYPERLINK("http://www.uniprot.org/uniprot/Q6GPQ6#expression","Q6GPQ6")</f>
        <v>Q6GPQ6</v>
      </c>
      <c r="BR206" s="2">
        <v>63</v>
      </c>
      <c r="BS206" s="2">
        <v>78</v>
      </c>
      <c r="BT206" s="2">
        <v>100</v>
      </c>
      <c r="BU206" s="2" t="s">
        <v>625</v>
      </c>
      <c r="BV206" s="9" t="str">
        <f>HYPERLINK(".\links\FLYBASE\AGAP004990-PA-FLYBASE.txt","FBpp0294020")</f>
        <v>FBpp0294020</v>
      </c>
      <c r="BW206" s="2" t="str">
        <f>HYPERLINK("http://flybase.org/reports/FBgn0262732#alliance_summary_container","2E-79")</f>
        <v>2E-79</v>
      </c>
      <c r="BX206" s="2">
        <v>145</v>
      </c>
      <c r="BY206" s="2">
        <v>75</v>
      </c>
      <c r="BZ206" s="2">
        <v>88</v>
      </c>
      <c r="CA206" s="2">
        <v>99</v>
      </c>
      <c r="CB206" s="9" t="str">
        <f>HYPERLINK(".\links\CDD\AGAP004990-PA-CDD.txt","MBF1, Multiprotein bridging factor 1")</f>
        <v>MBF1, Multiprotein bridging factor 1</v>
      </c>
      <c r="CC206" s="15">
        <v>2.9999999999999999E-22</v>
      </c>
      <c r="CD206" s="2">
        <v>100</v>
      </c>
      <c r="CE206" s="2" t="s">
        <v>2337</v>
      </c>
      <c r="CF206" s="2" t="s">
        <v>2338</v>
      </c>
      <c r="CG206" s="9" t="str">
        <f>HYPERLINK(".\links\KOG\AGAP004990-PA-KOG.txt","Transcription factor MBF1")</f>
        <v>Transcription factor MBF1</v>
      </c>
      <c r="CH206" s="15">
        <v>1.0000000000000001E-43</v>
      </c>
      <c r="CI206" s="2">
        <v>100.7</v>
      </c>
      <c r="CJ206" s="2" t="s">
        <v>2339</v>
      </c>
      <c r="CK206" s="2" t="s">
        <v>309</v>
      </c>
      <c r="CL206" s="9" t="str">
        <f>HYPERLINK(".\links\PFAM\AGAP004990-PA-PFAM.txt","MBF1, Multiprotein bridging factor 1")</f>
        <v>MBF1, Multiprotein bridging factor 1</v>
      </c>
      <c r="CM206" s="15">
        <v>6.0000000000000001E-23</v>
      </c>
      <c r="CN206" s="2">
        <v>100</v>
      </c>
      <c r="CO206" s="2" t="s">
        <v>2337</v>
      </c>
      <c r="CP206" s="9" t="str">
        <f>HYPERLINK(".\links\SMART\AGAP004990-PA-SMART.txt","HTH_XRE, Helix-turn-helix XRE-family like proteins")</f>
        <v>HTH_XRE, Helix-turn-helix XRE-family like proteins</v>
      </c>
      <c r="CQ206" s="15">
        <v>9.9999999999999995E-7</v>
      </c>
      <c r="CR206" s="2">
        <v>94.6</v>
      </c>
      <c r="CS206" s="2" t="s">
        <v>2340</v>
      </c>
      <c r="CT206" s="2" t="s">
        <v>2335</v>
      </c>
      <c r="CU206" s="2" t="s">
        <v>2335</v>
      </c>
      <c r="CV206" s="2" t="s">
        <v>2335</v>
      </c>
      <c r="CW206" s="2" t="str">
        <f>HYPERLINK(".\links\pep\AGAP004990-PA-pep.txt","AGAP004990-PA")</f>
        <v>AGAP004990-PA</v>
      </c>
      <c r="CX206" s="2" t="s">
        <v>95</v>
      </c>
      <c r="CY206" s="2">
        <v>147</v>
      </c>
      <c r="CZ206" s="2" t="s">
        <v>113</v>
      </c>
      <c r="DA206" s="2" t="s">
        <v>2341</v>
      </c>
      <c r="DB206" s="2">
        <v>0</v>
      </c>
      <c r="DC206" s="2">
        <v>0</v>
      </c>
      <c r="DD206" s="2" t="str">
        <f>HYPERLINK("https://www.kegg.jp/kegg-bin/search_pathway_text?map=aga&amp;keyword=AGAP004990&amp;mode=1&amp;viewImage=true","AGAP004990")</f>
        <v>AGAP004990</v>
      </c>
      <c r="DE206" s="2" t="s">
        <v>2331</v>
      </c>
      <c r="DF206" s="2" t="s">
        <v>2332</v>
      </c>
      <c r="DG206" s="2" t="s">
        <v>94</v>
      </c>
      <c r="DH206" s="2" t="str">
        <f>HYPERLINK("https://vectorbase.org/vectorbase/app/record/gene/AGAP004990","AGAP004990-RA")</f>
        <v>AGAP004990-RA</v>
      </c>
      <c r="DI206" s="2" t="s">
        <v>90</v>
      </c>
      <c r="DJ206" s="2">
        <v>1480</v>
      </c>
      <c r="DK206" s="2" t="str">
        <f>HYPERLINK(".\links\netoglyc\AGAP004990-PA-netoglyc.txt","3")</f>
        <v>3</v>
      </c>
      <c r="DL206" s="2">
        <v>11.6</v>
      </c>
      <c r="DM206" s="2">
        <v>7.5</v>
      </c>
      <c r="DN206" s="2">
        <v>5.4</v>
      </c>
      <c r="DO206" s="2" t="s">
        <v>104</v>
      </c>
      <c r="DP206" s="2" t="s">
        <v>102</v>
      </c>
      <c r="DQ206" s="2" t="str">
        <f>HYPERLINK(".\links\Sigp\AGAP004990-PA-SigP.txt","CYT")</f>
        <v>CYT</v>
      </c>
      <c r="DR206" s="2" t="s">
        <v>102</v>
      </c>
      <c r="DS206" s="2">
        <v>16.331</v>
      </c>
      <c r="DT206" s="2">
        <v>10.08</v>
      </c>
      <c r="DU206" s="2" t="s">
        <v>102</v>
      </c>
      <c r="DV206" s="2" t="s">
        <v>102</v>
      </c>
      <c r="DW206" s="2" t="s">
        <v>211</v>
      </c>
      <c r="DX206" s="2">
        <v>147</v>
      </c>
      <c r="DY206" s="12">
        <v>0</v>
      </c>
      <c r="DZ206" s="2" t="s">
        <v>102</v>
      </c>
      <c r="EA206" s="2" t="s">
        <v>102</v>
      </c>
      <c r="EB206" s="2" t="s">
        <v>102</v>
      </c>
      <c r="EC206" s="2" t="str">
        <f>HYPERLINK(".\links\gpi\AGAP004990-PA-gpi.txt","N")</f>
        <v>N</v>
      </c>
      <c r="ED206" s="2">
        <v>0.34</v>
      </c>
      <c r="EF206" s="2">
        <v>1</v>
      </c>
      <c r="EG206" s="2" t="s">
        <v>102</v>
      </c>
      <c r="EH206" s="2" t="s">
        <v>102</v>
      </c>
      <c r="EI206" s="2">
        <v>11.5646258503401</v>
      </c>
      <c r="EJ206" s="2">
        <v>5.4421768707483</v>
      </c>
      <c r="EK206" s="2">
        <v>7.4829931972789101</v>
      </c>
      <c r="EL206" s="2">
        <v>12.925170068027199</v>
      </c>
      <c r="EM206" s="2">
        <v>1</v>
      </c>
      <c r="EN206" s="2">
        <v>1</v>
      </c>
      <c r="EO206" s="2">
        <v>2</v>
      </c>
      <c r="EP206" s="2" t="s">
        <v>102</v>
      </c>
      <c r="EQ206" s="2" t="s">
        <v>102</v>
      </c>
      <c r="ER206" s="2" t="s">
        <v>102</v>
      </c>
      <c r="ES206" s="2" t="s">
        <v>102</v>
      </c>
      <c r="ET206" s="2" t="str">
        <f>HYPERLINK(".\links\REFSEQ-INVERTEBRATE\AGAP004990-PA-REFSEQ-INVERTEBRATE.txt","AGAP004990-PA")</f>
        <v>AGAP004990-PA</v>
      </c>
      <c r="EU206" s="2" t="str">
        <f>HYPERLINK("http://www.ncbi.nlm.nih.gov/sutils/blink.cgi?pid=XP_315094.1","1E-103")</f>
        <v>1E-103</v>
      </c>
      <c r="EV206" s="2" t="str">
        <f>HYPERLINK("http://www.ncbi.nlm.nih.gov/protein/XP_315094.1","XP_315094.1")</f>
        <v>XP_315094.1</v>
      </c>
      <c r="EW206" s="2">
        <v>100</v>
      </c>
      <c r="EX206" s="2">
        <v>100</v>
      </c>
      <c r="EY206" s="2">
        <v>100</v>
      </c>
      <c r="EZ206" s="2" t="s">
        <v>105</v>
      </c>
    </row>
    <row r="207" spans="1:156" x14ac:dyDescent="0.25">
      <c r="A207" s="2" t="s">
        <v>2342</v>
      </c>
      <c r="B207" s="2">
        <v>0.31422756835368698</v>
      </c>
      <c r="C207" s="2">
        <f t="shared" si="3"/>
        <v>1.2433457767638165</v>
      </c>
      <c r="D207" s="2">
        <v>6.3051215886230301</v>
      </c>
      <c r="E207" s="2">
        <v>11.283312150965299</v>
      </c>
      <c r="F207" s="2">
        <v>7.8206902557179602E-4</v>
      </c>
      <c r="G207" s="2">
        <v>2.9655933300736001E-2</v>
      </c>
      <c r="H207" s="2" t="s">
        <v>93</v>
      </c>
      <c r="I207" s="2" t="s">
        <v>94</v>
      </c>
      <c r="J207" s="2" t="str">
        <f>HYPERLINK("https://vectorbase.org/vectorbase/app/record/gene/AGAP004670","AGAP004670-RA")</f>
        <v>AGAP004670-RA</v>
      </c>
      <c r="K207" s="2" t="str">
        <f>HYPERLINK(".\links\pep\AGAP004670-PA-pep.txt","AGAP004670-PA")</f>
        <v>AGAP004670-PA</v>
      </c>
      <c r="L207" s="12" t="s">
        <v>95</v>
      </c>
      <c r="M207" s="2">
        <v>1382</v>
      </c>
      <c r="N207" s="2">
        <v>0</v>
      </c>
      <c r="O207" s="2">
        <v>3</v>
      </c>
      <c r="P207" s="2" t="s">
        <v>102</v>
      </c>
      <c r="Q207" s="9" t="s">
        <v>1984</v>
      </c>
      <c r="R207" s="2" t="s">
        <v>196</v>
      </c>
      <c r="S207" s="2" t="str">
        <f>HYPERLINK(".\links\KOG\AGAP004670-PA-KOG.txt","KOG")</f>
        <v>KOG</v>
      </c>
      <c r="T207" s="2">
        <v>0</v>
      </c>
      <c r="U207" s="2">
        <v>89.5</v>
      </c>
      <c r="V207" s="2" t="s">
        <v>2343</v>
      </c>
      <c r="W207" s="10" t="s">
        <v>183</v>
      </c>
      <c r="X207" s="2" t="s">
        <v>196</v>
      </c>
      <c r="Y207" s="2" t="str">
        <f>HYPERLINK(".\links\KOG\AGAP004670-PA-KOG.txt","KOG")</f>
        <v>KOG</v>
      </c>
      <c r="Z207" s="2">
        <v>0</v>
      </c>
      <c r="AA207" s="2">
        <v>93.4</v>
      </c>
      <c r="AB207" s="13" t="str">
        <f>HYPERLINK(".\links\pep\AGAP004670-PA-sulf.txt","2")</f>
        <v>2</v>
      </c>
      <c r="AC207" s="13" t="str">
        <f>HYPERLINK(".\links\Sigp\AGAP004670-PA-SigP.txt","CYT")</f>
        <v>CYT</v>
      </c>
      <c r="AD207" s="2" t="s">
        <v>102</v>
      </c>
      <c r="AE207" s="2">
        <v>152.542</v>
      </c>
      <c r="AF207" s="2">
        <v>7.46</v>
      </c>
      <c r="AG207" s="2" t="s">
        <v>102</v>
      </c>
      <c r="AH207" s="2" t="s">
        <v>102</v>
      </c>
      <c r="AI207" s="2" t="s">
        <v>2344</v>
      </c>
      <c r="AJ207" s="13">
        <v>0</v>
      </c>
      <c r="AK207" s="2" t="s">
        <v>102</v>
      </c>
      <c r="AL207" s="2" t="s">
        <v>102</v>
      </c>
      <c r="AM207" s="2" t="s">
        <v>102</v>
      </c>
      <c r="AN207" s="13" t="str">
        <f>HYPERLINK(".\links\gpi\AGAP004670-PA-gpi.txt","N")</f>
        <v>N</v>
      </c>
      <c r="AO207" s="14" t="str">
        <f>HYPERLINK(".\links\netoglyc\AGAP004670-PA-netoglyc.txt","3")</f>
        <v>3</v>
      </c>
      <c r="AP207" s="13">
        <v>15.7</v>
      </c>
      <c r="AQ207" s="2">
        <v>5.8</v>
      </c>
      <c r="AR207" s="2">
        <v>5.6</v>
      </c>
      <c r="AS207" s="2" t="s">
        <v>104</v>
      </c>
      <c r="AT207" s="9" t="str">
        <f>HYPERLINK(".\links\NR-LIGHT\AGAP004670-PA-NR-LIGHT.txt","AGAP004670-PA, partial")</f>
        <v>AGAP004670-PA, partial</v>
      </c>
      <c r="AU207" s="2" t="str">
        <f>HYPERLINK("http://www.ncbi.nlm.nih.gov/sutils/blink.cgi?pid=XP_318358.5","0.0")</f>
        <v>0.0</v>
      </c>
      <c r="AV207" s="2" t="str">
        <f>HYPERLINK("http://www.ncbi.nlm.nih.gov/protein/XP_318358.5","XP_318358.5")</f>
        <v>XP_318358.5</v>
      </c>
      <c r="AW207" s="2">
        <v>93</v>
      </c>
      <c r="AX207" s="2">
        <v>93</v>
      </c>
      <c r="AY207" s="2">
        <v>96</v>
      </c>
      <c r="AZ207" s="2" t="s">
        <v>105</v>
      </c>
      <c r="BA207" s="9" t="str">
        <f>HYPERLINK(".\links\REFSEQ-INVERTEBRATE\AGAP004670-PA-REFSEQ-INVERTEBRATE.txt","AGAP004670-PA, partial")</f>
        <v>AGAP004670-PA, partial</v>
      </c>
      <c r="BB207" s="2" t="str">
        <f>HYPERLINK("http://www.ncbi.nlm.nih.gov/sutils/blink.cgi?pid=XP_318358.5","0.0")</f>
        <v>0.0</v>
      </c>
      <c r="BC207" s="2" t="str">
        <f>HYPERLINK("http://www.ncbi.nlm.nih.gov/protein/XP_318358.5","XP_318358.5")</f>
        <v>XP_318358.5</v>
      </c>
      <c r="BD207" s="2">
        <v>93</v>
      </c>
      <c r="BE207" s="2">
        <v>93</v>
      </c>
      <c r="BF207" s="2">
        <v>96</v>
      </c>
      <c r="BG207" s="2" t="s">
        <v>105</v>
      </c>
      <c r="BH207" s="9" t="str">
        <f>HYPERLINK(".\links\REFSEQ-PROTOZOA\AGAP004670-PA-REFSEQ-PROTOZOA.txt","FAT3 protein")</f>
        <v>FAT3 protein</v>
      </c>
      <c r="BI207" s="2" t="str">
        <f>HYPERLINK("http://www.ncbi.nlm.nih.gov/sutils/blink.cgi?pid=XP_004996428.1","3E-023")</f>
        <v>3E-023</v>
      </c>
      <c r="BJ207" s="2" t="str">
        <f>HYPERLINK("http://www.ncbi.nlm.nih.gov/protein/XP_004996428.1","XP_004996428.1")</f>
        <v>XP_004996428.1</v>
      </c>
      <c r="BK207" s="2">
        <v>23</v>
      </c>
      <c r="BL207" s="2">
        <v>41</v>
      </c>
      <c r="BM207" s="2">
        <v>7</v>
      </c>
      <c r="BN207" s="2" t="s">
        <v>435</v>
      </c>
      <c r="BO207" s="9" t="str">
        <f>HYPERLINK(".\links\SWISSP\AGAP004670-PA-SWISSP.txt","Transmembrane protein 132C")</f>
        <v>Transmembrane protein 132C</v>
      </c>
      <c r="BP207" s="2" t="str">
        <f>HYPERLINK("http://www.uniprot.org/uniprot/Q8N3T6","3E-077")</f>
        <v>3E-077</v>
      </c>
      <c r="BQ207" s="2" t="str">
        <f>HYPERLINK("http://www.uniprot.org/uniprot/Q8N3T6#expression","Q8N3T6")</f>
        <v>Q8N3T6</v>
      </c>
      <c r="BR207" s="2">
        <v>26</v>
      </c>
      <c r="BS207" s="2">
        <v>42</v>
      </c>
      <c r="BT207" s="2">
        <v>89</v>
      </c>
      <c r="BU207" s="2" t="s">
        <v>127</v>
      </c>
      <c r="BV207" s="9" t="str">
        <f>HYPERLINK(".\links\FLYBASE\AGAP004670-PA-FLYBASE.txt","FBpp0308754")</f>
        <v>FBpp0308754</v>
      </c>
      <c r="BW207" s="2" t="str">
        <f>HYPERLINK("http://flybase.org/reports/FBgn0262730#alliance_summary_container","0.0")</f>
        <v>0.0</v>
      </c>
      <c r="BX207" s="2">
        <v>1407</v>
      </c>
      <c r="BY207" s="2">
        <v>51</v>
      </c>
      <c r="BZ207" s="2">
        <v>65</v>
      </c>
      <c r="CA207" s="2">
        <v>99</v>
      </c>
      <c r="CB207" s="9" t="str">
        <f>HYPERLINK(".\links\CDD\AGAP004670-PA-CDD.txt","TMEM132, Transmembrane protein family 132")</f>
        <v>TMEM132, Transmembrane protein family 132</v>
      </c>
      <c r="CC207" s="15">
        <v>9.9999999999999998E-141</v>
      </c>
      <c r="CD207" s="2">
        <v>105.6</v>
      </c>
      <c r="CE207" s="2" t="s">
        <v>2345</v>
      </c>
      <c r="CF207" s="2" t="s">
        <v>2346</v>
      </c>
      <c r="CG207" s="9" t="str">
        <f>HYPERLINK(".\links\KOG\AGAP004670-PA-KOG.txt","Uncharacterized conserved protein")</f>
        <v>Uncharacterized conserved protein</v>
      </c>
      <c r="CH207" s="15">
        <v>9.9999999999999998E-138</v>
      </c>
      <c r="CI207" s="2">
        <v>89.5</v>
      </c>
      <c r="CJ207" s="2" t="s">
        <v>2347</v>
      </c>
      <c r="CK207" s="2" t="s">
        <v>284</v>
      </c>
      <c r="CL207" s="9" t="str">
        <f>HYPERLINK(".\links\PFAM\AGAP004670-PA-PFAM.txt","TMEM132, Transmembrane protein family 132")</f>
        <v>TMEM132, Transmembrane protein family 132</v>
      </c>
      <c r="CM207" s="15">
        <v>9.9999999999999998E-141</v>
      </c>
      <c r="CN207" s="2">
        <v>105.6</v>
      </c>
      <c r="CO207" s="2" t="s">
        <v>2345</v>
      </c>
      <c r="CP207" s="9" t="str">
        <f>HYPERLINK(".\links\SMART\AGAP004670-PA-SMART.txt","Amelogenin, Amelogenins, cell adhesion proteins, play a role in the biomineralisation of teeth")</f>
        <v>Amelogenin, Amelogenins, cell adhesion proteins, play a role in the biomineralisation of teeth</v>
      </c>
      <c r="CQ207" s="15">
        <v>8.0000000000000002E-3</v>
      </c>
      <c r="CR207" s="2">
        <v>58.8</v>
      </c>
      <c r="CS207" s="2" t="s">
        <v>311</v>
      </c>
      <c r="CT207" s="2" t="s">
        <v>2343</v>
      </c>
      <c r="CU207" s="2" t="s">
        <v>2343</v>
      </c>
      <c r="CV207" s="2" t="s">
        <v>2343</v>
      </c>
      <c r="CW207" s="2" t="str">
        <f>HYPERLINK(".\links\pep\AGAP004670-PA-pep.txt","AGAP004670-PA")</f>
        <v>AGAP004670-PA</v>
      </c>
      <c r="CX207" s="2" t="s">
        <v>95</v>
      </c>
      <c r="CY207" s="2">
        <v>1382</v>
      </c>
      <c r="CZ207" s="2" t="s">
        <v>113</v>
      </c>
      <c r="DA207" s="2" t="s">
        <v>2348</v>
      </c>
      <c r="DB207" s="2">
        <v>0</v>
      </c>
      <c r="DC207" s="2">
        <v>3</v>
      </c>
      <c r="DD207" s="2" t="str">
        <f>HYPERLINK("https://www.kegg.jp/kegg-bin/search_pathway_text?map=aga&amp;keyword=AGAP004670&amp;mode=1&amp;viewImage=true","AGAP004670")</f>
        <v>AGAP004670</v>
      </c>
      <c r="DE207" s="2" t="s">
        <v>2342</v>
      </c>
      <c r="DF207" s="2" t="s">
        <v>93</v>
      </c>
      <c r="DG207" s="2" t="s">
        <v>94</v>
      </c>
      <c r="DH207" s="2" t="str">
        <f>HYPERLINK("https://vectorbase.org/vectorbase/app/record/gene/AGAP004670","AGAP004670-RA")</f>
        <v>AGAP004670-RA</v>
      </c>
      <c r="DI207" s="2" t="s">
        <v>135</v>
      </c>
      <c r="DJ207" s="2">
        <v>6224</v>
      </c>
      <c r="DK207" s="2" t="str">
        <f>HYPERLINK(".\links\netoglyc\AGAP004670-PA-netoglyc.txt","3")</f>
        <v>3</v>
      </c>
      <c r="DL207" s="2">
        <v>15.7</v>
      </c>
      <c r="DM207" s="2">
        <v>5.8</v>
      </c>
      <c r="DN207" s="2">
        <v>5.6</v>
      </c>
      <c r="DO207" s="2" t="s">
        <v>104</v>
      </c>
      <c r="DP207" s="2" t="s">
        <v>2349</v>
      </c>
      <c r="DQ207" s="2" t="str">
        <f>HYPERLINK(".\links\Sigp\AGAP004670-PA-SigP.txt","CYT")</f>
        <v>CYT</v>
      </c>
      <c r="DR207" s="2" t="s">
        <v>102</v>
      </c>
      <c r="DS207" s="2">
        <v>152.542</v>
      </c>
      <c r="DT207" s="2">
        <v>7.46</v>
      </c>
      <c r="DU207" s="2" t="s">
        <v>102</v>
      </c>
      <c r="DV207" s="2" t="s">
        <v>102</v>
      </c>
      <c r="DW207" s="2" t="s">
        <v>2344</v>
      </c>
      <c r="DX207" s="2">
        <v>1382</v>
      </c>
      <c r="DY207" s="12">
        <v>0</v>
      </c>
      <c r="DZ207" s="2" t="s">
        <v>102</v>
      </c>
      <c r="EA207" s="2" t="s">
        <v>102</v>
      </c>
      <c r="EB207" s="2" t="s">
        <v>102</v>
      </c>
      <c r="EC207" s="2" t="str">
        <f>HYPERLINK(".\links\gpi\AGAP004670-PA-gpi.txt","Y-NoSP")</f>
        <v>Y-NoSP</v>
      </c>
      <c r="ED207" s="2">
        <v>0.17</v>
      </c>
      <c r="EF207" s="2">
        <v>16</v>
      </c>
      <c r="EG207" s="2" t="str">
        <f>HYPERLINK(".\links\pep\AGAP004670-PA-sulf.txt","2")</f>
        <v>2</v>
      </c>
      <c r="EH207" s="2" t="s">
        <v>102</v>
      </c>
      <c r="EI207" s="2">
        <v>15.701881331403801</v>
      </c>
      <c r="EJ207" s="2">
        <v>5.5716353111432699</v>
      </c>
      <c r="EK207" s="2">
        <v>5.7887120115774202</v>
      </c>
      <c r="EL207" s="2">
        <v>11.360347322720701</v>
      </c>
      <c r="EM207" s="2" t="s">
        <v>102</v>
      </c>
      <c r="EN207" s="2">
        <v>4</v>
      </c>
      <c r="EO207" s="2">
        <v>4</v>
      </c>
      <c r="EP207" s="2" t="s">
        <v>102</v>
      </c>
      <c r="EQ207" s="2" t="s">
        <v>102</v>
      </c>
      <c r="ER207" s="2" t="s">
        <v>102</v>
      </c>
      <c r="ES207" s="2" t="s">
        <v>102</v>
      </c>
      <c r="ET207" s="2" t="str">
        <f>HYPERLINK(".\links\REFSEQ-INVERTEBRATE\AGAP004670-PA-REFSEQ-INVERTEBRATE.txt","AGAP004670-PA, partial")</f>
        <v>AGAP004670-PA, partial</v>
      </c>
      <c r="EU207" s="2" t="str">
        <f>HYPERLINK("http://www.ncbi.nlm.nih.gov/sutils/blink.cgi?pid=XP_318358.5","0.0")</f>
        <v>0.0</v>
      </c>
      <c r="EV207" s="2" t="str">
        <f>HYPERLINK("http://www.ncbi.nlm.nih.gov/protein/XP_318358.5","XP_318358.5")</f>
        <v>XP_318358.5</v>
      </c>
      <c r="EW207" s="2">
        <v>93</v>
      </c>
      <c r="EX207" s="2">
        <v>93</v>
      </c>
      <c r="EY207" s="2">
        <v>96</v>
      </c>
      <c r="EZ207" s="2" t="s">
        <v>105</v>
      </c>
    </row>
    <row r="208" spans="1:156" x14ac:dyDescent="0.25">
      <c r="A208" s="2" t="s">
        <v>2350</v>
      </c>
      <c r="B208" s="2">
        <v>0.313721482522551</v>
      </c>
      <c r="C208" s="2">
        <f t="shared" si="3"/>
        <v>1.2429096975441731</v>
      </c>
      <c r="D208" s="2">
        <v>8.0053871983721407</v>
      </c>
      <c r="E208" s="2">
        <v>12.343070996103799</v>
      </c>
      <c r="F208" s="2">
        <v>4.42626278447582E-4</v>
      </c>
      <c r="G208" s="2">
        <v>2.41103573249015E-2</v>
      </c>
      <c r="H208" s="2" t="s">
        <v>2351</v>
      </c>
      <c r="I208" s="2" t="s">
        <v>88</v>
      </c>
      <c r="J208" s="8" t="s">
        <v>2352</v>
      </c>
      <c r="Q208" s="9"/>
      <c r="W208" s="10"/>
      <c r="AB208" s="9"/>
      <c r="AC208" s="9"/>
      <c r="AJ208" s="9"/>
      <c r="AN208" s="9"/>
      <c r="AO208" s="11"/>
      <c r="AP208" s="9"/>
      <c r="AT208" s="9"/>
      <c r="BA208" s="9"/>
      <c r="BH208" s="9"/>
      <c r="BO208" s="9"/>
      <c r="BV208" s="9"/>
      <c r="CB208" s="9"/>
      <c r="CG208" s="9"/>
      <c r="CL208" s="9"/>
      <c r="CP208" s="9"/>
      <c r="DE208" s="2" t="s">
        <v>2350</v>
      </c>
      <c r="DF208" s="2" t="s">
        <v>2351</v>
      </c>
      <c r="DG208" s="2" t="s">
        <v>88</v>
      </c>
      <c r="DH208" s="8" t="s">
        <v>2352</v>
      </c>
      <c r="DI208" s="2" t="s">
        <v>118</v>
      </c>
      <c r="DJ208" s="2">
        <v>6114</v>
      </c>
      <c r="DQ208" s="2" t="s">
        <v>141</v>
      </c>
      <c r="DS208" s="2">
        <v>156903</v>
      </c>
      <c r="DT208" s="2">
        <v>6.34</v>
      </c>
      <c r="DX208" s="2">
        <v>1402</v>
      </c>
      <c r="DY208" s="12"/>
    </row>
    <row r="209" spans="1:156" x14ac:dyDescent="0.25">
      <c r="A209" s="2" t="s">
        <v>2353</v>
      </c>
      <c r="B209" s="2">
        <v>0.31359816436267601</v>
      </c>
      <c r="C209" s="2">
        <f t="shared" si="3"/>
        <v>1.2428034611034053</v>
      </c>
      <c r="D209" s="2">
        <v>7.9402150865398697</v>
      </c>
      <c r="E209" s="2">
        <v>10.1730831127408</v>
      </c>
      <c r="F209" s="2">
        <v>1.42505777795409E-3</v>
      </c>
      <c r="G209" s="2">
        <v>3.7152645524746501E-2</v>
      </c>
      <c r="H209" s="2" t="s">
        <v>93</v>
      </c>
      <c r="I209" s="2" t="s">
        <v>94</v>
      </c>
      <c r="J209" s="2" t="str">
        <f>HYPERLINK("https://vectorbase.org/vectorbase/app/record/gene/AGAP010393","AGAP010393-RA")</f>
        <v>AGAP010393-RA</v>
      </c>
      <c r="K209" s="2" t="str">
        <f>HYPERLINK(".\links\pep\AGAP010393-PA-pep.txt","AGAP010393-PA")</f>
        <v>AGAP010393-PA</v>
      </c>
      <c r="L209" s="12" t="s">
        <v>95</v>
      </c>
      <c r="M209" s="2">
        <v>2007</v>
      </c>
      <c r="N209" s="2">
        <v>0</v>
      </c>
      <c r="O209" s="2">
        <v>5</v>
      </c>
      <c r="P209" s="2" t="s">
        <v>102</v>
      </c>
      <c r="Q209" s="9" t="s">
        <v>2354</v>
      </c>
      <c r="R209" s="2" t="s">
        <v>196</v>
      </c>
      <c r="S209" s="2" t="str">
        <f>HYPERLINK(".\links\REFSEQ-INVERTEBRATE\AGAP010393-PA-REFSEQ-INVERTEBRATE.txt","REFSEQ-INVERTEBRATE")</f>
        <v>REFSEQ-INVERTEBRATE</v>
      </c>
      <c r="T209" s="2">
        <v>0</v>
      </c>
      <c r="U209" s="2">
        <v>84</v>
      </c>
      <c r="V209" s="2" t="s">
        <v>2355</v>
      </c>
      <c r="W209" s="10" t="s">
        <v>2356</v>
      </c>
      <c r="X209" s="2" t="s">
        <v>388</v>
      </c>
      <c r="Y209" s="2" t="str">
        <f>HYPERLINK(".\links\UNIPROTKB\AGAP010393-PA-UNIPROTKB.txt","UNIPROTKB")</f>
        <v>UNIPROTKB</v>
      </c>
      <c r="Z209" s="15">
        <v>3.0000000000000003E-29</v>
      </c>
      <c r="AA209" s="2">
        <v>28.1</v>
      </c>
      <c r="AB209" s="13" t="str">
        <f>HYPERLINK(".\links\pep\AGAP010393-PA-sulf.txt","2")</f>
        <v>2</v>
      </c>
      <c r="AC209" s="13" t="str">
        <f>HYPERLINK(".\links\Sigp\AGAP010393-PA-SigP.txt","CYT")</f>
        <v>CYT</v>
      </c>
      <c r="AD209" s="2" t="s">
        <v>102</v>
      </c>
      <c r="AE209" s="2">
        <v>226.09800000000001</v>
      </c>
      <c r="AF209" s="2">
        <v>5.99</v>
      </c>
      <c r="AG209" s="2" t="s">
        <v>102</v>
      </c>
      <c r="AH209" s="2" t="s">
        <v>102</v>
      </c>
      <c r="AI209" s="2" t="s">
        <v>124</v>
      </c>
      <c r="AJ209" s="13">
        <v>0</v>
      </c>
      <c r="AK209" s="2" t="s">
        <v>102</v>
      </c>
      <c r="AL209" s="2" t="s">
        <v>102</v>
      </c>
      <c r="AM209" s="2" t="s">
        <v>102</v>
      </c>
      <c r="AN209" s="13" t="str">
        <f>HYPERLINK(".\links\gpi\AGAP010393-PA-gpi.txt","N")</f>
        <v>N</v>
      </c>
      <c r="AO209" s="14" t="str">
        <f>HYPERLINK(".\links\netoglyc\AGAP010393-PA-netoglyc.txt","2")</f>
        <v>2</v>
      </c>
      <c r="AP209" s="13">
        <v>17.600000000000001</v>
      </c>
      <c r="AQ209" s="2">
        <v>3</v>
      </c>
      <c r="AR209" s="2">
        <v>4.9000000000000004</v>
      </c>
      <c r="AS209" s="2" t="s">
        <v>104</v>
      </c>
      <c r="AT209" s="9" t="str">
        <f>HYPERLINK(".\links\NR-LIGHT\AGAP010393-PA-NR-LIGHT.txt","hypothetical protein AND_001300")</f>
        <v>hypothetical protein AND_001300</v>
      </c>
      <c r="AU209" s="2" t="str">
        <f>HYPERLINK("http://www.ncbi.nlm.nih.gov/sutils/blink.cgi?pid=ETN66902.1","0.0")</f>
        <v>0.0</v>
      </c>
      <c r="AV209" s="2" t="str">
        <f>HYPERLINK("http://www.ncbi.nlm.nih.gov/protein/ETN66902.1","ETN66902.1")</f>
        <v>ETN66902.1</v>
      </c>
      <c r="AW209" s="2">
        <v>43</v>
      </c>
      <c r="AX209" s="2">
        <v>60</v>
      </c>
      <c r="AY209" s="2">
        <v>105</v>
      </c>
      <c r="AZ209" s="2" t="s">
        <v>360</v>
      </c>
      <c r="BA209" s="9" t="str">
        <f>HYPERLINK(".\links\REFSEQ-INVERTEBRATE\AGAP010393-PA-REFSEQ-INVERTEBRATE.txt","AGAP010393-PA, partial")</f>
        <v>AGAP010393-PA, partial</v>
      </c>
      <c r="BB209" s="2" t="str">
        <f>HYPERLINK("http://www.ncbi.nlm.nih.gov/sutils/blink.cgi?pid=XP_001230813.2","0.0")</f>
        <v>0.0</v>
      </c>
      <c r="BC209" s="2" t="str">
        <f>HYPERLINK("http://www.ncbi.nlm.nih.gov/protein/XP_001230813.2","XP_001230813.2")</f>
        <v>XP_001230813.2</v>
      </c>
      <c r="BD209" s="2">
        <v>68</v>
      </c>
      <c r="BE209" s="2">
        <v>71</v>
      </c>
      <c r="BF209" s="2">
        <v>84</v>
      </c>
      <c r="BG209" s="2" t="s">
        <v>105</v>
      </c>
      <c r="BH209" s="9" t="str">
        <f>HYPERLINK(".\links\REFSEQ-PROTOZOA\AGAP010393-PA-REFSEQ-PROTOZOA.txt","cation channel family protein")</f>
        <v>cation channel family protein</v>
      </c>
      <c r="BI209" s="2" t="str">
        <f>HYPERLINK("http://www.ncbi.nlm.nih.gov/sutils/blink.cgi?pid=XP_001016598.2","5E-019")</f>
        <v>5E-019</v>
      </c>
      <c r="BJ209" s="2" t="str">
        <f>HYPERLINK("http://www.ncbi.nlm.nih.gov/protein/XP_001016598.2","XP_001016598.2")</f>
        <v>XP_001016598.2</v>
      </c>
      <c r="BK209" s="2">
        <v>19</v>
      </c>
      <c r="BL209" s="2">
        <v>39</v>
      </c>
      <c r="BM209" s="2">
        <v>32</v>
      </c>
      <c r="BN209" s="2" t="s">
        <v>539</v>
      </c>
      <c r="BO209" s="9" t="str">
        <f>HYPERLINK(".\links\SWISSP\AGAP010393-PA-SWISSP.txt","Telomere-associated protein RIF1")</f>
        <v>Telomere-associated protein RIF1</v>
      </c>
      <c r="BP209" s="2" t="str">
        <f>HYPERLINK("http://www.uniprot.org/uniprot/Q9XZ34","2E-036")</f>
        <v>2E-036</v>
      </c>
      <c r="BQ209" s="2" t="str">
        <f>HYPERLINK("http://www.uniprot.org/uniprot/Q9XZ34#expression","Q9XZ34")</f>
        <v>Q9XZ34</v>
      </c>
      <c r="BR209" s="2">
        <v>30</v>
      </c>
      <c r="BS209" s="2">
        <v>49</v>
      </c>
      <c r="BT209" s="2">
        <v>29</v>
      </c>
      <c r="BU209" s="2" t="s">
        <v>107</v>
      </c>
      <c r="BV209" s="9" t="str">
        <f>HYPERLINK(".\links\FLYBASE\AGAP010393-PA-FLYBASE.txt","FBpp0086441")</f>
        <v>FBpp0086441</v>
      </c>
      <c r="BW209" s="2" t="str">
        <f>HYPERLINK("http://flybase.org/reports/FBgn0050085#alliance_summary_container","3E-30")</f>
        <v>3E-30</v>
      </c>
      <c r="BX209" s="2">
        <v>1416</v>
      </c>
      <c r="BY209" s="2">
        <v>31</v>
      </c>
      <c r="BZ209" s="2">
        <v>49</v>
      </c>
      <c r="CA209" s="2">
        <v>28</v>
      </c>
      <c r="CB209" s="9" t="str">
        <f>HYPERLINK(".\links\CDD\AGAP010393-PA-CDD.txt","Rif1_N, Rap1-interacting factor 1 N terminal")</f>
        <v>Rif1_N, Rap1-interacting factor 1 N terminal</v>
      </c>
      <c r="CC209" s="15">
        <v>4.0000000000000003E-5</v>
      </c>
      <c r="CD209" s="2">
        <v>32.6</v>
      </c>
      <c r="CE209" s="2" t="s">
        <v>2357</v>
      </c>
      <c r="CF209" s="2" t="s">
        <v>2358</v>
      </c>
      <c r="CG209" s="9" t="str">
        <f>HYPERLINK(".\links\KOG\AGAP010393-PA-KOG.txt","mRNA splicing factor")</f>
        <v>mRNA splicing factor</v>
      </c>
      <c r="CH209" s="15">
        <v>1E-4</v>
      </c>
      <c r="CI209" s="2">
        <v>34.5</v>
      </c>
      <c r="CJ209" s="2" t="s">
        <v>2359</v>
      </c>
      <c r="CK209" s="2" t="s">
        <v>722</v>
      </c>
      <c r="CL209" s="9" t="str">
        <f>HYPERLINK(".\links\PFAM\AGAP010393-PA-PFAM.txt","Rif1_N, Rap1-interacting factor 1 N terminal")</f>
        <v>Rif1_N, Rap1-interacting factor 1 N terminal</v>
      </c>
      <c r="CM209" s="15">
        <v>7.9999999999999996E-6</v>
      </c>
      <c r="CN209" s="2">
        <v>32.6</v>
      </c>
      <c r="CO209" s="2" t="s">
        <v>2357</v>
      </c>
      <c r="CP209" s="9" t="str">
        <f>HYPERLINK(".\links\SMART\AGAP010393-PA-SMART.txt","Galanin, Galanin")</f>
        <v>Galanin, Galanin</v>
      </c>
      <c r="CQ209" s="15">
        <v>0.66</v>
      </c>
      <c r="CR209" s="2">
        <v>43.7</v>
      </c>
      <c r="CS209" s="2" t="s">
        <v>2360</v>
      </c>
      <c r="CT209" s="2" t="s">
        <v>2355</v>
      </c>
      <c r="CU209" s="2" t="s">
        <v>2355</v>
      </c>
      <c r="CV209" s="2" t="s">
        <v>2355</v>
      </c>
      <c r="CW209" s="2" t="str">
        <f>HYPERLINK(".\links\pep\AGAP010393-PA-pep.txt","AGAP010393-PA")</f>
        <v>AGAP010393-PA</v>
      </c>
      <c r="CX209" s="2" t="s">
        <v>95</v>
      </c>
      <c r="CY209" s="2">
        <v>2007</v>
      </c>
      <c r="CZ209" s="2" t="s">
        <v>113</v>
      </c>
      <c r="DA209" s="2" t="s">
        <v>2361</v>
      </c>
      <c r="DB209" s="2">
        <v>0</v>
      </c>
      <c r="DC209" s="2">
        <v>5</v>
      </c>
      <c r="DD209" s="2" t="str">
        <f>HYPERLINK("https://www.kegg.jp/kegg-bin/search_pathway_text?map=aga&amp;keyword=AGAP010393&amp;mode=1&amp;viewImage=true","AGAP010393")</f>
        <v>AGAP010393</v>
      </c>
      <c r="DE209" s="2" t="s">
        <v>2353</v>
      </c>
      <c r="DF209" s="2" t="s">
        <v>93</v>
      </c>
      <c r="DG209" s="2" t="s">
        <v>94</v>
      </c>
      <c r="DH209" s="2" t="str">
        <f>HYPERLINK("https://vectorbase.org/vectorbase/app/record/gene/AGAP010393","AGAP010393-RA")</f>
        <v>AGAP010393-RA</v>
      </c>
      <c r="DI209" s="2" t="s">
        <v>90</v>
      </c>
      <c r="DJ209" s="2">
        <v>6722</v>
      </c>
      <c r="DK209" s="2" t="str">
        <f>HYPERLINK(".\links\netoglyc\AGAP010393-PA-netoglyc.txt","2")</f>
        <v>2</v>
      </c>
      <c r="DL209" s="2">
        <v>17.600000000000001</v>
      </c>
      <c r="DM209" s="2">
        <v>3</v>
      </c>
      <c r="DN209" s="2">
        <v>4.9000000000000004</v>
      </c>
      <c r="DO209" s="2" t="s">
        <v>104</v>
      </c>
      <c r="DP209" s="2" t="s">
        <v>2362</v>
      </c>
      <c r="DQ209" s="2" t="str">
        <f>HYPERLINK(".\links\Sigp\AGAP010393-PA-SigP.txt","CYT")</f>
        <v>CYT</v>
      </c>
      <c r="DR209" s="2" t="s">
        <v>102</v>
      </c>
      <c r="DS209" s="2">
        <v>226.09800000000001</v>
      </c>
      <c r="DT209" s="2">
        <v>5.99</v>
      </c>
      <c r="DU209" s="2" t="s">
        <v>102</v>
      </c>
      <c r="DV209" s="2" t="s">
        <v>102</v>
      </c>
      <c r="DW209" s="2" t="s">
        <v>124</v>
      </c>
      <c r="DX209" s="2">
        <v>2007</v>
      </c>
      <c r="DY209" s="12">
        <v>0</v>
      </c>
      <c r="DZ209" s="2" t="s">
        <v>102</v>
      </c>
      <c r="EA209" s="2" t="s">
        <v>102</v>
      </c>
      <c r="EB209" s="2" t="s">
        <v>102</v>
      </c>
      <c r="EC209" s="2" t="str">
        <f>HYPERLINK(".\links\gpi\AGAP010393-PA-gpi.txt","N")</f>
        <v>N</v>
      </c>
      <c r="ED209" s="2">
        <v>0.24</v>
      </c>
      <c r="EF209" s="2">
        <v>34</v>
      </c>
      <c r="EG209" s="2" t="str">
        <f>HYPERLINK(".\links\pep\AGAP010393-PA-sulf.txt","2")</f>
        <v>2</v>
      </c>
      <c r="EH209" s="2" t="s">
        <v>102</v>
      </c>
      <c r="EI209" s="2">
        <v>17.588440458395599</v>
      </c>
      <c r="EJ209" s="2">
        <v>4.88290981564524</v>
      </c>
      <c r="EK209" s="2">
        <v>3.0393622321873401</v>
      </c>
      <c r="EL209" s="2">
        <v>7.9222720478325899</v>
      </c>
      <c r="EM209" s="2">
        <v>2</v>
      </c>
      <c r="EN209" s="2">
        <v>8</v>
      </c>
      <c r="EO209" s="2">
        <v>8</v>
      </c>
      <c r="EP209" s="2" t="s">
        <v>102</v>
      </c>
      <c r="EQ209" s="2" t="s">
        <v>102</v>
      </c>
      <c r="ER209" s="2" t="s">
        <v>102</v>
      </c>
      <c r="ES209" s="2" t="s">
        <v>102</v>
      </c>
      <c r="ET209" s="2" t="str">
        <f>HYPERLINK(".\links\REFSEQ-INVERTEBRATE\AGAP010393-PA-REFSEQ-INVERTEBRATE.txt","telomere-associated protein RIF1")</f>
        <v>telomere-associated protein RIF1</v>
      </c>
      <c r="EU209" s="2" t="str">
        <f>HYPERLINK("http://www.ncbi.nlm.nih.gov/sutils/blink.cgi?pid=XP_035899232.1","0.0")</f>
        <v>0.0</v>
      </c>
      <c r="EV209" s="2" t="str">
        <f>HYPERLINK("http://www.ncbi.nlm.nih.gov/protein/XP_035899232.1","XP_035899232.1")</f>
        <v>XP_035899232.1</v>
      </c>
      <c r="EW209" s="2">
        <v>60</v>
      </c>
      <c r="EX209" s="2">
        <v>74</v>
      </c>
      <c r="EY209" s="2">
        <v>102</v>
      </c>
      <c r="EZ209" s="2" t="s">
        <v>370</v>
      </c>
    </row>
    <row r="210" spans="1:156" x14ac:dyDescent="0.25">
      <c r="A210" s="2" t="s">
        <v>2363</v>
      </c>
      <c r="B210" s="2">
        <v>0.31321467709975898</v>
      </c>
      <c r="C210" s="2">
        <f t="shared" si="3"/>
        <v>1.2424731515462386</v>
      </c>
      <c r="D210" s="2">
        <v>7.6885626057259504</v>
      </c>
      <c r="E210" s="2">
        <v>8.8389043684483806</v>
      </c>
      <c r="F210" s="2">
        <v>2.94876115279689E-3</v>
      </c>
      <c r="G210" s="2">
        <v>4.9803632520221103E-2</v>
      </c>
      <c r="H210" s="2" t="s">
        <v>93</v>
      </c>
      <c r="I210" s="2" t="s">
        <v>94</v>
      </c>
      <c r="J210" s="2" t="str">
        <f>HYPERLINK("https://vectorbase.org/vectorbase/app/record/gene/AGAP008410","AGAP008410-RA")</f>
        <v>AGAP008410-RA</v>
      </c>
      <c r="K210" s="2" t="str">
        <f>HYPERLINK(".\links\pep\AGAP008410-PA-pep.txt","AGAP008410-PA")</f>
        <v>AGAP008410-PA</v>
      </c>
      <c r="L210" s="12" t="s">
        <v>95</v>
      </c>
      <c r="M210" s="2">
        <v>127</v>
      </c>
      <c r="N210" s="2">
        <v>0</v>
      </c>
      <c r="O210" s="2">
        <v>0</v>
      </c>
      <c r="P210" s="2" t="s">
        <v>102</v>
      </c>
      <c r="Q210" s="9" t="s">
        <v>2364</v>
      </c>
      <c r="R210" s="2" t="s">
        <v>196</v>
      </c>
      <c r="S210" s="2" t="str">
        <f>HYPERLINK(".\links\REFSEQ-INVERTEBRATE\AGAP008410-PA-REFSEQ-INVERTEBRATE.txt","REFSEQ-INVERTEBRATE")</f>
        <v>REFSEQ-INVERTEBRATE</v>
      </c>
      <c r="T210" s="2">
        <v>6.0000000000000004E-66</v>
      </c>
      <c r="U210" s="2">
        <v>100</v>
      </c>
      <c r="V210" s="2" t="s">
        <v>2364</v>
      </c>
      <c r="W210" s="10" t="s">
        <v>2365</v>
      </c>
      <c r="X210" s="2" t="s">
        <v>196</v>
      </c>
      <c r="Y210" s="2" t="str">
        <f>HYPERLINK(".\links\ARTHORPODA\AGAP008410-PA-ARTHORPODA.txt","ARTHORPODA")</f>
        <v>ARTHORPODA</v>
      </c>
      <c r="Z210" s="15">
        <v>4.0000000000000001E-87</v>
      </c>
      <c r="AA210" s="2">
        <v>100</v>
      </c>
      <c r="AB210" s="13" t="s">
        <v>102</v>
      </c>
      <c r="AC210" s="13" t="str">
        <f>HYPERLINK(".\links\Sigp\AGAP008410-PA-SigP.txt","CYT")</f>
        <v>CYT</v>
      </c>
      <c r="AD210" s="2" t="s">
        <v>102</v>
      </c>
      <c r="AE210" s="2">
        <v>14.103999999999999</v>
      </c>
      <c r="AF210" s="2">
        <v>4.1399999999999997</v>
      </c>
      <c r="AG210" s="2" t="s">
        <v>102</v>
      </c>
      <c r="AH210" s="2" t="s">
        <v>102</v>
      </c>
      <c r="AI210" s="2" t="s">
        <v>211</v>
      </c>
      <c r="AJ210" s="13">
        <v>0</v>
      </c>
      <c r="AK210" s="2" t="s">
        <v>102</v>
      </c>
      <c r="AL210" s="2" t="s">
        <v>102</v>
      </c>
      <c r="AM210" s="2" t="s">
        <v>102</v>
      </c>
      <c r="AN210" s="13" t="str">
        <f>HYPERLINK(".\links\gpi\AGAP008410-PA-gpi.txt","N")</f>
        <v>N</v>
      </c>
      <c r="AO210" s="14" t="str">
        <f>HYPERLINK(".\links\netoglyc\AGAP008410-PA-netoglyc.txt","1")</f>
        <v>1</v>
      </c>
      <c r="AP210" s="13">
        <v>11.8</v>
      </c>
      <c r="AQ210" s="2">
        <v>1.6</v>
      </c>
      <c r="AR210" s="2">
        <v>3.9</v>
      </c>
      <c r="AS210" s="2" t="s">
        <v>104</v>
      </c>
      <c r="AT210" s="9" t="str">
        <f>HYPERLINK(".\links\NR-LIGHT\AGAP008410-PA-NR-LIGHT.txt","AGAP008410-PA")</f>
        <v>AGAP008410-PA</v>
      </c>
      <c r="AU210" s="2" t="str">
        <f>HYPERLINK("http://www.ncbi.nlm.nih.gov/sutils/blink.cgi?pid=XP_317040.2","7E-066")</f>
        <v>7E-066</v>
      </c>
      <c r="AV210" s="2" t="str">
        <f>HYPERLINK("http://www.ncbi.nlm.nih.gov/protein/XP_317040.2","XP_317040.2")</f>
        <v>XP_317040.2</v>
      </c>
      <c r="AW210" s="2">
        <v>100</v>
      </c>
      <c r="AX210" s="2">
        <v>100</v>
      </c>
      <c r="AY210" s="2">
        <v>100</v>
      </c>
      <c r="AZ210" s="2" t="s">
        <v>105</v>
      </c>
      <c r="BA210" s="9" t="str">
        <f>HYPERLINK(".\links\REFSEQ-INVERTEBRATE\AGAP008410-PA-REFSEQ-INVERTEBRATE.txt","AGAP008410-PA")</f>
        <v>AGAP008410-PA</v>
      </c>
      <c r="BB210" s="2" t="str">
        <f>HYPERLINK("http://www.ncbi.nlm.nih.gov/sutils/blink.cgi?pid=XP_317040.2","6E-066")</f>
        <v>6E-066</v>
      </c>
      <c r="BC210" s="2" t="str">
        <f>HYPERLINK("http://www.ncbi.nlm.nih.gov/protein/XP_317040.2","XP_317040.2")</f>
        <v>XP_317040.2</v>
      </c>
      <c r="BD210" s="2">
        <v>100</v>
      </c>
      <c r="BE210" s="2">
        <v>100</v>
      </c>
      <c r="BF210" s="2">
        <v>100</v>
      </c>
      <c r="BG210" s="2" t="s">
        <v>105</v>
      </c>
      <c r="BH210" s="9" t="str">
        <f>HYPERLINK(".\links\REFSEQ-PROTOZOA\AGAP008410-PA-REFSEQ-PROTOZOA.txt","MEK1 interacting protein 1")</f>
        <v>MEK1 interacting protein 1</v>
      </c>
      <c r="BI210" s="2" t="str">
        <f>HYPERLINK("http://www.ncbi.nlm.nih.gov/sutils/blink.cgi?pid=XP_004366868.1","0.014")</f>
        <v>0.014</v>
      </c>
      <c r="BJ210" s="2" t="str">
        <f>HYPERLINK("http://www.ncbi.nlm.nih.gov/protein/XP_004366868.1","XP_004366868.1")</f>
        <v>XP_004366868.1</v>
      </c>
      <c r="BK210" s="2">
        <v>34</v>
      </c>
      <c r="BL210" s="2">
        <v>55</v>
      </c>
      <c r="BM210" s="2">
        <v>20</v>
      </c>
      <c r="BN210" s="2" t="s">
        <v>212</v>
      </c>
      <c r="BO210" s="9" t="str">
        <f>HYPERLINK(".\links\SWISSP\AGAP008410-PA-SWISSP.txt","Transcription elongation factor SPT5")</f>
        <v>Transcription elongation factor SPT5</v>
      </c>
      <c r="BP210" s="2" t="str">
        <f>HYPERLINK("http://www.uniprot.org/uniprot/Q6BZG0","0.038")</f>
        <v>0.038</v>
      </c>
      <c r="BQ210" s="2" t="str">
        <f>HYPERLINK("http://www.uniprot.org/uniprot/Q6BZG0#expression","Q6BZG0")</f>
        <v>Q6BZG0</v>
      </c>
      <c r="BR210" s="2">
        <v>26</v>
      </c>
      <c r="BS210" s="2">
        <v>43</v>
      </c>
      <c r="BT210" s="2">
        <v>12</v>
      </c>
      <c r="BU210" s="2" t="s">
        <v>2366</v>
      </c>
      <c r="BV210" s="9" t="str">
        <f>HYPERLINK(".\links\FLYBASE\AGAP008410-PA-FLYBASE.txt","FBpp0307010")</f>
        <v>FBpp0307010</v>
      </c>
      <c r="BW210" s="2" t="str">
        <f>HYPERLINK("http://flybase.org/reports/FBgn0039114#alliance_summary_container","5.5")</f>
        <v>5.5</v>
      </c>
      <c r="BX210" s="2">
        <v>405</v>
      </c>
      <c r="BY210" s="2">
        <v>29</v>
      </c>
      <c r="BZ210" s="2">
        <v>49</v>
      </c>
      <c r="CA210" s="2">
        <v>19</v>
      </c>
      <c r="CB210" s="9" t="str">
        <f>HYPERLINK(".\links\CDD\AGAP008410-PA-CDD.txt","Noc2, Noc2p family")</f>
        <v>Noc2, Noc2p family</v>
      </c>
      <c r="CC210" s="15">
        <v>0.25</v>
      </c>
      <c r="CD210" s="2">
        <v>12.5</v>
      </c>
      <c r="CE210" s="2" t="s">
        <v>2367</v>
      </c>
      <c r="CF210" s="2" t="s">
        <v>2368</v>
      </c>
      <c r="CG210" s="9" t="str">
        <f>HYPERLINK(".\links\KOG\AGAP008410-PA-KOG.txt","WD repeat superfamily")</f>
        <v>WD repeat superfamily</v>
      </c>
      <c r="CH210" s="15">
        <v>1.3</v>
      </c>
      <c r="CI210" s="2">
        <v>1.2</v>
      </c>
      <c r="CJ210" s="2" t="s">
        <v>2369</v>
      </c>
      <c r="CK210" s="2" t="s">
        <v>191</v>
      </c>
      <c r="CL210" s="9" t="str">
        <f>HYPERLINK(".\links\PFAM\AGAP008410-PA-PFAM.txt","Noc2, Noc2p family")</f>
        <v>Noc2, Noc2p family</v>
      </c>
      <c r="CM210" s="15">
        <v>6.5000000000000002E-2</v>
      </c>
      <c r="CN210" s="2">
        <v>12.5</v>
      </c>
      <c r="CO210" s="2" t="s">
        <v>2367</v>
      </c>
      <c r="CP210" s="9" t="str">
        <f>HYPERLINK(".\links\SMART\AGAP008410-PA-SMART.txt","PTPc_motif, Protein tyrosine phosphatase, catalytic domain motif")</f>
        <v>PTPc_motif, Protein tyrosine phosphatase, catalytic domain motif</v>
      </c>
      <c r="CQ210" s="15">
        <v>0.38</v>
      </c>
      <c r="CR210" s="2">
        <v>24.8</v>
      </c>
      <c r="CS210" s="2" t="s">
        <v>2370</v>
      </c>
      <c r="CT210" s="2" t="s">
        <v>2364</v>
      </c>
      <c r="CU210" s="2" t="s">
        <v>2364</v>
      </c>
      <c r="CV210" s="2" t="s">
        <v>2364</v>
      </c>
      <c r="CW210" s="2" t="str">
        <f>HYPERLINK(".\links\pep\AGAP008410-PA-pep.txt","AGAP008410-PA")</f>
        <v>AGAP008410-PA</v>
      </c>
      <c r="CX210" s="2" t="s">
        <v>95</v>
      </c>
      <c r="CY210" s="2">
        <v>127</v>
      </c>
      <c r="CZ210" s="2" t="s">
        <v>113</v>
      </c>
      <c r="DA210" s="2" t="s">
        <v>2371</v>
      </c>
      <c r="DB210" s="2">
        <v>0</v>
      </c>
      <c r="DC210" s="2">
        <v>0</v>
      </c>
      <c r="DD210" s="2" t="str">
        <f>HYPERLINK("https://www.kegg.jp/kegg-bin/search_pathway_text?map=aga&amp;keyword=AGAP008410&amp;mode=1&amp;viewImage=true","AGAP008410")</f>
        <v>AGAP008410</v>
      </c>
      <c r="DE210" s="2" t="s">
        <v>2363</v>
      </c>
      <c r="DF210" s="2" t="s">
        <v>93</v>
      </c>
      <c r="DG210" s="2" t="s">
        <v>94</v>
      </c>
      <c r="DH210" s="2" t="str">
        <f>HYPERLINK("https://vectorbase.org/vectorbase/app/record/gene/AGAP008410","AGAP008410-RA")</f>
        <v>AGAP008410-RA</v>
      </c>
      <c r="DI210" s="2" t="s">
        <v>90</v>
      </c>
      <c r="DJ210" s="2">
        <v>858</v>
      </c>
      <c r="DK210" s="2" t="str">
        <f>HYPERLINK(".\links\netoglyc\AGAP008410-PA-netoglyc.txt","1")</f>
        <v>1</v>
      </c>
      <c r="DL210" s="2">
        <v>11.8</v>
      </c>
      <c r="DM210" s="2">
        <v>1.6</v>
      </c>
      <c r="DN210" s="2">
        <v>3.9</v>
      </c>
      <c r="DO210" s="2" t="s">
        <v>104</v>
      </c>
      <c r="DP210" s="2" t="s">
        <v>102</v>
      </c>
      <c r="DQ210" s="2" t="str">
        <f>HYPERLINK(".\links\Sigp\AGAP008410-PA-SigP.txt","CYT")</f>
        <v>CYT</v>
      </c>
      <c r="DR210" s="2" t="s">
        <v>102</v>
      </c>
      <c r="DS210" s="2">
        <v>14.103999999999999</v>
      </c>
      <c r="DT210" s="2">
        <v>4.1399999999999997</v>
      </c>
      <c r="DU210" s="2" t="s">
        <v>102</v>
      </c>
      <c r="DV210" s="2" t="s">
        <v>102</v>
      </c>
      <c r="DW210" s="2" t="s">
        <v>211</v>
      </c>
      <c r="DX210" s="2">
        <v>127</v>
      </c>
      <c r="DY210" s="12">
        <v>0</v>
      </c>
      <c r="DZ210" s="2" t="s">
        <v>102</v>
      </c>
      <c r="EA210" s="2" t="s">
        <v>102</v>
      </c>
      <c r="EB210" s="2" t="s">
        <v>102</v>
      </c>
      <c r="EC210" s="2" t="str">
        <f>HYPERLINK(".\links\gpi\AGAP008410-PA-gpi.txt","Y-NoSP")</f>
        <v>Y-NoSP</v>
      </c>
      <c r="ED210" s="2">
        <v>0.44</v>
      </c>
      <c r="EF210" s="2">
        <v>2</v>
      </c>
      <c r="EG210" s="2" t="s">
        <v>102</v>
      </c>
      <c r="EH210" s="2" t="s">
        <v>102</v>
      </c>
      <c r="EI210" s="2">
        <v>11.8110236220472</v>
      </c>
      <c r="EJ210" s="2">
        <v>3.9370078740157499</v>
      </c>
      <c r="EK210" s="2">
        <v>1.5748031496063</v>
      </c>
      <c r="EL210" s="2">
        <v>5.5118110236220499</v>
      </c>
      <c r="EM210" s="2" t="s">
        <v>102</v>
      </c>
      <c r="EN210" s="2" t="s">
        <v>102</v>
      </c>
      <c r="EO210" s="2" t="s">
        <v>102</v>
      </c>
      <c r="EP210" s="2" t="s">
        <v>102</v>
      </c>
      <c r="EQ210" s="2" t="s">
        <v>102</v>
      </c>
      <c r="ER210" s="2" t="s">
        <v>102</v>
      </c>
      <c r="ES210" s="2" t="s">
        <v>102</v>
      </c>
      <c r="ET210" s="2" t="str">
        <f>HYPERLINK(".\links\REFSEQ-INVERTEBRATE\AGAP008410-PA-REFSEQ-INVERTEBRATE.txt","AGAP008410-PA")</f>
        <v>AGAP008410-PA</v>
      </c>
      <c r="EU210" s="2" t="str">
        <f>HYPERLINK("http://www.ncbi.nlm.nih.gov/sutils/blink.cgi?pid=XP_317040.2","6E-87")</f>
        <v>6E-87</v>
      </c>
      <c r="EV210" s="2" t="str">
        <f>HYPERLINK("http://www.ncbi.nlm.nih.gov/protein/XP_317040.2","XP_317040.2")</f>
        <v>XP_317040.2</v>
      </c>
      <c r="EW210" s="2">
        <v>100</v>
      </c>
      <c r="EX210" s="2">
        <v>100</v>
      </c>
      <c r="EY210" s="2">
        <v>100</v>
      </c>
      <c r="EZ210" s="2" t="s">
        <v>105</v>
      </c>
    </row>
    <row r="211" spans="1:156" x14ac:dyDescent="0.25">
      <c r="A211" s="2" t="s">
        <v>2372</v>
      </c>
      <c r="B211" s="2">
        <v>0.31283336121317301</v>
      </c>
      <c r="C211" s="2">
        <f t="shared" si="3"/>
        <v>1.2421447993081045</v>
      </c>
      <c r="D211" s="2">
        <v>6.49271915378797</v>
      </c>
      <c r="E211" s="2">
        <v>9.6000227554795803</v>
      </c>
      <c r="F211" s="2">
        <v>1.94574958113031E-3</v>
      </c>
      <c r="G211" s="2">
        <v>4.2897901839013798E-2</v>
      </c>
      <c r="H211" s="2" t="s">
        <v>2373</v>
      </c>
      <c r="I211" s="2" t="s">
        <v>94</v>
      </c>
      <c r="J211" s="2" t="str">
        <f>HYPERLINK("https://vectorbase.org/vectorbase/app/record/gene/AGAP010018","AGAP010018-RA")</f>
        <v>AGAP010018-RA</v>
      </c>
      <c r="K211" s="2" t="str">
        <f>HYPERLINK(".\links\pep\AGAP010018-PA-pep.txt","AGAP010018-PA")</f>
        <v>AGAP010018-PA</v>
      </c>
      <c r="L211" s="12" t="s">
        <v>2374</v>
      </c>
      <c r="M211" s="2">
        <v>162</v>
      </c>
      <c r="N211" s="2">
        <v>0</v>
      </c>
      <c r="O211" s="2">
        <v>0</v>
      </c>
      <c r="P211" s="2" t="s">
        <v>2375</v>
      </c>
      <c r="Q211" s="9" t="s">
        <v>2376</v>
      </c>
      <c r="R211" s="2" t="s">
        <v>388</v>
      </c>
      <c r="S211" s="2" t="str">
        <f>HYPERLINK(".\links\REFSEQ-INVERTEBRATE\AGAP010018-PA-REFSEQ-INVERTEBRATE.txt","REFSEQ-INVERTEBRATE")</f>
        <v>REFSEQ-INVERTEBRATE</v>
      </c>
      <c r="T211" s="2">
        <v>8.0000000000000001E-51</v>
      </c>
      <c r="U211" s="2">
        <v>77</v>
      </c>
      <c r="V211" s="2" t="s">
        <v>2377</v>
      </c>
      <c r="W211" s="10" t="s">
        <v>2378</v>
      </c>
      <c r="X211" s="2" t="s">
        <v>388</v>
      </c>
      <c r="Y211" s="2" t="str">
        <f>HYPERLINK(".\links\ARTHORPODA\AGAP010018-PA-ARTHORPODA.txt","ARTHORPODA")</f>
        <v>ARTHORPODA</v>
      </c>
      <c r="Z211" s="2">
        <v>0</v>
      </c>
      <c r="AA211" s="2">
        <v>79</v>
      </c>
      <c r="AB211" s="13" t="s">
        <v>102</v>
      </c>
      <c r="AC211" s="13" t="str">
        <f>HYPERLINK(".\links\Sigp\AGAP010018-PA-SigP.txt","CYT")</f>
        <v>CYT</v>
      </c>
      <c r="AD211" s="2" t="s">
        <v>102</v>
      </c>
      <c r="AE211" s="2">
        <v>18.315000000000001</v>
      </c>
      <c r="AF211" s="2">
        <v>7.96</v>
      </c>
      <c r="AG211" s="2" t="s">
        <v>102</v>
      </c>
      <c r="AH211" s="2" t="s">
        <v>102</v>
      </c>
      <c r="AI211" s="2" t="s">
        <v>124</v>
      </c>
      <c r="AJ211" s="13">
        <v>0</v>
      </c>
      <c r="AK211" s="2" t="s">
        <v>102</v>
      </c>
      <c r="AL211" s="2" t="s">
        <v>102</v>
      </c>
      <c r="AM211" s="2" t="s">
        <v>102</v>
      </c>
      <c r="AN211" s="13" t="str">
        <f>HYPERLINK(".\links\gpi\AGAP010018-PA-gpi.txt","N")</f>
        <v>N</v>
      </c>
      <c r="AO211" s="14" t="str">
        <f>HYPERLINK(".\links\netoglyc\AGAP010018-PA-netoglyc.txt","5")</f>
        <v>5</v>
      </c>
      <c r="AP211" s="13">
        <v>17.899999999999999</v>
      </c>
      <c r="AQ211" s="2">
        <v>4.9000000000000004</v>
      </c>
      <c r="AR211" s="2">
        <v>5.6</v>
      </c>
      <c r="AS211" s="2" t="s">
        <v>104</v>
      </c>
      <c r="AT211" s="9" t="str">
        <f>HYPERLINK(".\links\NR-LIGHT\AGAP010018-PA-NR-LIGHT.txt","AGAP010018-PA, partial")</f>
        <v>AGAP010018-PA, partial</v>
      </c>
      <c r="AU211" s="2" t="str">
        <f>HYPERLINK("http://www.ncbi.nlm.nih.gov/sutils/blink.cgi?pid=XP_553913.3","3E-088")</f>
        <v>3E-088</v>
      </c>
      <c r="AV211" s="2" t="str">
        <f>HYPERLINK("http://www.ncbi.nlm.nih.gov/protein/XP_553913.3","XP_553913.3")</f>
        <v>XP_553913.3</v>
      </c>
      <c r="AW211" s="2">
        <v>100</v>
      </c>
      <c r="AX211" s="2">
        <v>100</v>
      </c>
      <c r="AY211" s="2">
        <v>100</v>
      </c>
      <c r="AZ211" s="2" t="s">
        <v>105</v>
      </c>
      <c r="BA211" s="9" t="str">
        <f>HYPERLINK(".\links\REFSEQ-INVERTEBRATE\AGAP010018-PA-REFSEQ-INVERTEBRATE.txt","AGAP010018-PA, partial")</f>
        <v>AGAP010018-PA, partial</v>
      </c>
      <c r="BB211" s="2" t="str">
        <f>HYPERLINK("http://www.ncbi.nlm.nih.gov/sutils/blink.cgi?pid=XP_553913.3","3E-088")</f>
        <v>3E-088</v>
      </c>
      <c r="BC211" s="2" t="str">
        <f>HYPERLINK("http://www.ncbi.nlm.nih.gov/protein/XP_553913.3","XP_553913.3")</f>
        <v>XP_553913.3</v>
      </c>
      <c r="BD211" s="2">
        <v>100</v>
      </c>
      <c r="BE211" s="2">
        <v>100</v>
      </c>
      <c r="BF211" s="2">
        <v>100</v>
      </c>
      <c r="BG211" s="2" t="s">
        <v>105</v>
      </c>
      <c r="BH211" s="9" t="str">
        <f>HYPERLINK(".\links\REFSEQ-PROTOZOA\AGAP010018-PA-REFSEQ-PROTOZOA.txt","peptidase M28E domain containing-protein")</f>
        <v>peptidase M28E domain containing-protein</v>
      </c>
      <c r="BI211" s="2" t="str">
        <f>HYPERLINK("http://www.ncbi.nlm.nih.gov/sutils/blink.cgi?pid=XP_020428815.1","6E-018")</f>
        <v>6E-018</v>
      </c>
      <c r="BJ211" s="2" t="str">
        <f>HYPERLINK("http://www.ncbi.nlm.nih.gov/protein/XP_020428815.1","XP_020428815.1")</f>
        <v>XP_020428815.1</v>
      </c>
      <c r="BK211" s="2">
        <v>32</v>
      </c>
      <c r="BL211" s="2">
        <v>59</v>
      </c>
      <c r="BM211" s="2">
        <v>27</v>
      </c>
      <c r="BN211" s="2" t="s">
        <v>762</v>
      </c>
      <c r="BO211" s="9" t="str">
        <f>HYPERLINK(".\links\SWISSP\AGAP010018-PA-SWISSP.txt","Probable DNA replication complex GINS protein PSF2")</f>
        <v>Probable DNA replication complex GINS protein PSF2</v>
      </c>
      <c r="BP211" s="2" t="str">
        <f>HYPERLINK("http://www.uniprot.org/uniprot/Q9VQY9","2E-040")</f>
        <v>2E-040</v>
      </c>
      <c r="BQ211" s="2" t="str">
        <f>HYPERLINK("http://www.uniprot.org/uniprot/Q9VQY9#expression","Q9VQY9")</f>
        <v>Q9VQY9</v>
      </c>
      <c r="BR211" s="2">
        <v>48</v>
      </c>
      <c r="BS211" s="2">
        <v>75</v>
      </c>
      <c r="BT211" s="2">
        <v>77</v>
      </c>
      <c r="BU211" s="2" t="s">
        <v>107</v>
      </c>
      <c r="BV211" s="9" t="str">
        <f>HYPERLINK(".\links\FLYBASE\AGAP010018-PA-FLYBASE.txt","FBpp0303867")</f>
        <v>FBpp0303867</v>
      </c>
      <c r="BW211" s="2" t="str">
        <f>HYPERLINK("http://flybase.org/reports/FBgn0261976#alliance_summary_container","5E-46")</f>
        <v>5E-46</v>
      </c>
      <c r="BX211" s="2">
        <v>203</v>
      </c>
      <c r="BY211" s="2">
        <v>54</v>
      </c>
      <c r="BZ211" s="2">
        <v>83</v>
      </c>
      <c r="CA211" s="2">
        <v>65</v>
      </c>
      <c r="CB211" s="9" t="str">
        <f>HYPERLINK(".\links\CDD\AGAP010018-PA-CDD.txt","GINS_A_psf2, Alpha-helical domain of GINS complex protein Psf2 (partner of Sld5 2)")</f>
        <v>GINS_A_psf2, Alpha-helical domain of GINS complex protein Psf2 (partner of Sld5 2)</v>
      </c>
      <c r="CC211" s="15">
        <v>4.0000000000000003E-31</v>
      </c>
      <c r="CD211" s="2">
        <v>101.7</v>
      </c>
      <c r="CE211" s="2" t="s">
        <v>2379</v>
      </c>
      <c r="CF211" s="2" t="s">
        <v>2380</v>
      </c>
      <c r="CG211" s="9" t="str">
        <f>HYPERLINK(".\links\KOG\AGAP010018-PA-KOG.txt","Uncharacterized conserved protein")</f>
        <v>Uncharacterized conserved protein</v>
      </c>
      <c r="CH211" s="15">
        <v>4.9999999999999997E-37</v>
      </c>
      <c r="CI211" s="2">
        <v>77.5</v>
      </c>
      <c r="CJ211" s="2" t="s">
        <v>2381</v>
      </c>
      <c r="CK211" s="2" t="s">
        <v>284</v>
      </c>
      <c r="CL211" s="9" t="str">
        <f>HYPERLINK(".\links\PFAM\AGAP010018-PA-PFAM.txt","Sld5, GINS complex protein")</f>
        <v>Sld5, GINS complex protein</v>
      </c>
      <c r="CM211" s="15">
        <v>2.0000000000000002E-15</v>
      </c>
      <c r="CN211" s="2">
        <v>105.7</v>
      </c>
      <c r="CO211" s="2" t="s">
        <v>2382</v>
      </c>
      <c r="CP211" s="9" t="str">
        <f>HYPERLINK(".\links\SMART\AGAP010018-PA-SMART.txt","RGS, Regulator of G protein signalling domain")</f>
        <v>RGS, Regulator of G protein signalling domain</v>
      </c>
      <c r="CQ211" s="15">
        <v>0.77</v>
      </c>
      <c r="CR211" s="2">
        <v>42.4</v>
      </c>
      <c r="CS211" s="2" t="s">
        <v>2383</v>
      </c>
      <c r="CT211" s="2" t="s">
        <v>2377</v>
      </c>
      <c r="CU211" s="2" t="s">
        <v>2377</v>
      </c>
      <c r="CV211" s="2" t="s">
        <v>2377</v>
      </c>
      <c r="CW211" s="2" t="str">
        <f>HYPERLINK(".\links\pep\AGAP010018-PA-pep.txt","AGAP010018-PA")</f>
        <v>AGAP010018-PA</v>
      </c>
      <c r="CX211" s="2" t="s">
        <v>2374</v>
      </c>
      <c r="CY211" s="2">
        <v>162</v>
      </c>
      <c r="CZ211" s="2" t="s">
        <v>113</v>
      </c>
      <c r="DA211" s="2" t="s">
        <v>2384</v>
      </c>
      <c r="DB211" s="2">
        <v>0</v>
      </c>
      <c r="DC211" s="2">
        <v>0</v>
      </c>
      <c r="DD211" s="2" t="str">
        <f>HYPERLINK("https://www.kegg.jp/kegg-bin/search_pathway_text?map=aga&amp;keyword=AGAP010018&amp;mode=1&amp;viewImage=true","AGAP010018")</f>
        <v>AGAP010018</v>
      </c>
      <c r="DE211" s="2" t="s">
        <v>2372</v>
      </c>
      <c r="DF211" s="2" t="s">
        <v>2373</v>
      </c>
      <c r="DG211" s="2" t="s">
        <v>94</v>
      </c>
      <c r="DH211" s="2" t="str">
        <f>HYPERLINK("https://vectorbase.org/vectorbase/app/record/gene/AGAP010018","AGAP010018-RA")</f>
        <v>AGAP010018-RA</v>
      </c>
      <c r="DI211" s="2" t="s">
        <v>90</v>
      </c>
      <c r="DJ211" s="2">
        <v>826</v>
      </c>
      <c r="DK211" s="2" t="str">
        <f>HYPERLINK(".\links\netoglyc\AGAP010018-PA-netoglyc.txt","5")</f>
        <v>5</v>
      </c>
      <c r="DL211" s="2">
        <v>17.899999999999999</v>
      </c>
      <c r="DM211" s="2">
        <v>4.9000000000000004</v>
      </c>
      <c r="DN211" s="2">
        <v>5.6</v>
      </c>
      <c r="DO211" s="2" t="s">
        <v>104</v>
      </c>
      <c r="DP211" s="2" t="s">
        <v>102</v>
      </c>
      <c r="DQ211" s="2" t="str">
        <f>HYPERLINK(".\links\Sigp\AGAP010018-PA-SigP.txt","CYT")</f>
        <v>CYT</v>
      </c>
      <c r="DR211" s="2" t="s">
        <v>102</v>
      </c>
      <c r="DS211" s="2">
        <v>18.315000000000001</v>
      </c>
      <c r="DT211" s="2">
        <v>7.96</v>
      </c>
      <c r="DU211" s="2" t="s">
        <v>102</v>
      </c>
      <c r="DV211" s="2" t="s">
        <v>102</v>
      </c>
      <c r="DW211" s="2" t="s">
        <v>124</v>
      </c>
      <c r="DX211" s="2">
        <v>162</v>
      </c>
      <c r="DY211" s="12">
        <v>0</v>
      </c>
      <c r="DZ211" s="2" t="s">
        <v>102</v>
      </c>
      <c r="EA211" s="2" t="s">
        <v>102</v>
      </c>
      <c r="EB211" s="2" t="s">
        <v>102</v>
      </c>
      <c r="EC211" s="2" t="str">
        <f>HYPERLINK(".\links\gpi\AGAP010018-PA-gpi.txt","N")</f>
        <v>N</v>
      </c>
      <c r="ED211" s="2">
        <v>0.24</v>
      </c>
      <c r="EF211" s="2">
        <v>2</v>
      </c>
      <c r="EG211" s="2" t="s">
        <v>102</v>
      </c>
      <c r="EH211" s="2" t="s">
        <v>102</v>
      </c>
      <c r="EI211" s="2">
        <v>17.901234567901199</v>
      </c>
      <c r="EJ211" s="2">
        <v>5.5555555555555598</v>
      </c>
      <c r="EK211" s="2">
        <v>4.9382716049382704</v>
      </c>
      <c r="EL211" s="2">
        <v>10.493827160493799</v>
      </c>
      <c r="EM211" s="2" t="s">
        <v>102</v>
      </c>
      <c r="EN211" s="2" t="s">
        <v>102</v>
      </c>
      <c r="EO211" s="2" t="s">
        <v>102</v>
      </c>
      <c r="EP211" s="2" t="s">
        <v>102</v>
      </c>
      <c r="EQ211" s="2" t="s">
        <v>102</v>
      </c>
      <c r="ER211" s="2" t="s">
        <v>102</v>
      </c>
      <c r="ES211" s="2" t="s">
        <v>102</v>
      </c>
      <c r="ET211" s="2" t="str">
        <f>HYPERLINK(".\links\REFSEQ-INVERTEBRATE\AGAP010018-PA-REFSEQ-INVERTEBRATE.txt","AGAP010018-PA, partial")</f>
        <v>AGAP010018-PA, partial</v>
      </c>
      <c r="EU211" s="2" t="str">
        <f>HYPERLINK("http://www.ncbi.nlm.nih.gov/sutils/blink.cgi?pid=XP_553913.3","1E-118")</f>
        <v>1E-118</v>
      </c>
      <c r="EV211" s="2" t="str">
        <f>HYPERLINK("http://www.ncbi.nlm.nih.gov/protein/XP_553913.3","XP_553913.3")</f>
        <v>XP_553913.3</v>
      </c>
      <c r="EW211" s="2">
        <v>100</v>
      </c>
      <c r="EX211" s="2">
        <v>100</v>
      </c>
      <c r="EY211" s="2">
        <v>100</v>
      </c>
      <c r="EZ211" s="2" t="s">
        <v>105</v>
      </c>
    </row>
    <row r="212" spans="1:156" x14ac:dyDescent="0.25">
      <c r="A212" s="2" t="s">
        <v>2385</v>
      </c>
      <c r="B212" s="2">
        <v>0.31149821075038397</v>
      </c>
      <c r="C212" s="2">
        <f t="shared" si="3"/>
        <v>1.2409957809901768</v>
      </c>
      <c r="D212" s="2">
        <v>6.0728154579568496</v>
      </c>
      <c r="E212" s="2">
        <v>16.260864773909901</v>
      </c>
      <c r="F212" s="2">
        <v>5.5192192371391599E-5</v>
      </c>
      <c r="G212" s="2">
        <v>8.4581920422063892E-3</v>
      </c>
      <c r="H212" s="2" t="s">
        <v>2386</v>
      </c>
      <c r="I212" s="2" t="s">
        <v>94</v>
      </c>
      <c r="J212" s="2" t="str">
        <f>HYPERLINK("https://vectorbase.org/vectorbase/app/record/gene/AGAP004768","AGAP004768-RA")</f>
        <v>AGAP004768-RA</v>
      </c>
      <c r="K212" s="2" t="str">
        <f>HYPERLINK(".\links\pep\AGAP004768-PA-pep.txt","AGAP004768-PA")</f>
        <v>AGAP004768-PA</v>
      </c>
      <c r="L212" s="12" t="s">
        <v>95</v>
      </c>
      <c r="M212" s="2">
        <v>489</v>
      </c>
      <c r="N212" s="2">
        <v>0</v>
      </c>
      <c r="O212" s="2">
        <v>1</v>
      </c>
      <c r="P212" s="2" t="s">
        <v>2387</v>
      </c>
      <c r="Q212" s="9" t="s">
        <v>2388</v>
      </c>
      <c r="R212" s="2" t="s">
        <v>420</v>
      </c>
      <c r="S212" s="2" t="str">
        <f>HYPERLINK(".\links\KOG\AGAP004768-PA-KOG.txt","KOG")</f>
        <v>KOG</v>
      </c>
      <c r="T212" s="2">
        <v>0</v>
      </c>
      <c r="U212" s="2">
        <v>102.1</v>
      </c>
      <c r="V212" s="2" t="s">
        <v>2389</v>
      </c>
      <c r="W212" s="10" t="s">
        <v>2390</v>
      </c>
      <c r="X212" s="2" t="s">
        <v>388</v>
      </c>
      <c r="Y212" s="2" t="str">
        <f>HYPERLINK(".\links\UNIPROTKB\AGAP004768-PA-UNIPROTKB.txt","UNIPROTKB")</f>
        <v>UNIPROTKB</v>
      </c>
      <c r="Z212" s="2">
        <v>0</v>
      </c>
      <c r="AA212" s="2">
        <v>89.6</v>
      </c>
      <c r="AB212" s="13" t="str">
        <f>HYPERLINK(".\links\pep\AGAP004768-PA-sulf.txt","2")</f>
        <v>2</v>
      </c>
      <c r="AC212" s="13" t="str">
        <f>HYPERLINK(".\links\Sigp\AGAP004768-PA-SigP.txt","CYT")</f>
        <v>CYT</v>
      </c>
      <c r="AD212" s="2" t="s">
        <v>102</v>
      </c>
      <c r="AE212" s="2">
        <v>54.326999999999998</v>
      </c>
      <c r="AF212" s="2">
        <v>4.3600000000000003</v>
      </c>
      <c r="AG212" s="2" t="s">
        <v>102</v>
      </c>
      <c r="AH212" s="2" t="s">
        <v>102</v>
      </c>
      <c r="AI212" s="2" t="s">
        <v>211</v>
      </c>
      <c r="AJ212" s="13">
        <v>0</v>
      </c>
      <c r="AK212" s="2" t="s">
        <v>102</v>
      </c>
      <c r="AL212" s="2" t="s">
        <v>102</v>
      </c>
      <c r="AM212" s="2" t="s">
        <v>102</v>
      </c>
      <c r="AN212" s="13" t="str">
        <f>HYPERLINK(".\links\gpi\AGAP004768-PA-gpi.txt","N")</f>
        <v>N</v>
      </c>
      <c r="AO212" s="14" t="str">
        <f>HYPERLINK(".\links\netoglyc\AGAP004768-PA-netoglyc.txt","2")</f>
        <v>2</v>
      </c>
      <c r="AP212" s="13">
        <v>13.7</v>
      </c>
      <c r="AQ212" s="2">
        <v>6.5</v>
      </c>
      <c r="AR212" s="2">
        <v>4.0999999999999996</v>
      </c>
      <c r="AS212" s="2" t="s">
        <v>104</v>
      </c>
      <c r="AT212" s="9" t="str">
        <f>HYPERLINK(".\links\NR-LIGHT\AGAP004768-PA-NR-LIGHT.txt","AGAP004768-PB")</f>
        <v>AGAP004768-PB</v>
      </c>
      <c r="AU212" s="2" t="str">
        <f>HYPERLINK("http://www.ncbi.nlm.nih.gov/sutils/blink.cgi?pid=XP_318047.4","0.0")</f>
        <v>0.0</v>
      </c>
      <c r="AV212" s="2" t="str">
        <f>HYPERLINK("http://www.ncbi.nlm.nih.gov/protein/XP_318047.4","XP_318047.4")</f>
        <v>XP_318047.4</v>
      </c>
      <c r="AW212" s="2">
        <v>100</v>
      </c>
      <c r="AX212" s="2">
        <v>100</v>
      </c>
      <c r="AY212" s="2">
        <v>100</v>
      </c>
      <c r="AZ212" s="2" t="s">
        <v>105</v>
      </c>
      <c r="BA212" s="9" t="str">
        <f>HYPERLINK(".\links\REFSEQ-INVERTEBRATE\AGAP004768-PA-REFSEQ-INVERTEBRATE.txt","AGAP004768-PA")</f>
        <v>AGAP004768-PA</v>
      </c>
      <c r="BB212" s="2" t="str">
        <f>HYPERLINK("http://www.ncbi.nlm.nih.gov/sutils/blink.cgi?pid=XP_001689087.1","0.0")</f>
        <v>0.0</v>
      </c>
      <c r="BC212" s="2" t="str">
        <f>HYPERLINK("http://www.ncbi.nlm.nih.gov/protein/XP_001689087.1","XP_001689087.1")</f>
        <v>XP_001689087.1</v>
      </c>
      <c r="BD212" s="2">
        <v>100</v>
      </c>
      <c r="BE212" s="2">
        <v>100</v>
      </c>
      <c r="BF212" s="2">
        <v>100</v>
      </c>
      <c r="BG212" s="2" t="s">
        <v>105</v>
      </c>
      <c r="BH212" s="9" t="str">
        <f>HYPERLINK(".\links\REFSEQ-PROTOZOA\AGAP004768-PA-REFSEQ-PROTOZOA.txt","periodic tryptophan protein")</f>
        <v>periodic tryptophan protein</v>
      </c>
      <c r="BI212" s="2" t="str">
        <f>HYPERLINK("http://www.ncbi.nlm.nih.gov/sutils/blink.cgi?pid=XP_004364825.1","4E-071")</f>
        <v>4E-071</v>
      </c>
      <c r="BJ212" s="2" t="str">
        <f>HYPERLINK("http://www.ncbi.nlm.nih.gov/protein/XP_004364825.1","XP_004364825.1")</f>
        <v>XP_004364825.1</v>
      </c>
      <c r="BK212" s="2">
        <v>34</v>
      </c>
      <c r="BL212" s="2">
        <v>52</v>
      </c>
      <c r="BM212" s="2">
        <v>85</v>
      </c>
      <c r="BN212" s="2" t="s">
        <v>106</v>
      </c>
      <c r="BO212" s="9" t="str">
        <f>HYPERLINK(".\links\SWISSP\AGAP004768-PA-SWISSP.txt","Periodic tryptophan protein 1 homolog")</f>
        <v>Periodic tryptophan protein 1 homolog</v>
      </c>
      <c r="BP212" s="2" t="str">
        <f>HYPERLINK("http://www.uniprot.org/uniprot/Q2HJ56","4E-093")</f>
        <v>4E-093</v>
      </c>
      <c r="BQ212" s="2" t="str">
        <f>HYPERLINK("http://www.uniprot.org/uniprot/Q2HJ56#expression","Q2HJ56")</f>
        <v>Q2HJ56</v>
      </c>
      <c r="BR212" s="2">
        <v>41</v>
      </c>
      <c r="BS212" s="2">
        <v>60</v>
      </c>
      <c r="BT212" s="2">
        <v>89</v>
      </c>
      <c r="BU212" s="2" t="s">
        <v>1284</v>
      </c>
      <c r="BV212" s="9" t="str">
        <f>HYPERLINK(".\links\FLYBASE\AGAP004768-PA-FLYBASE.txt","FBpp0087323")</f>
        <v>FBpp0087323</v>
      </c>
      <c r="BW212" s="2" t="str">
        <f>HYPERLINK("http://flybase.org/reports/FBgn0263510#alliance_summary_container","1E-149")</f>
        <v>1E-149</v>
      </c>
      <c r="BX212" s="2">
        <v>459</v>
      </c>
      <c r="BY212" s="2">
        <v>49</v>
      </c>
      <c r="BZ212" s="2">
        <v>69</v>
      </c>
      <c r="CA212" s="2">
        <v>99</v>
      </c>
      <c r="CB212" s="9" t="str">
        <f>HYPERLINK(".\links\CDD\AGAP004768-PA-CDD.txt","WD40,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212" s="15">
        <v>3.9999999999999999E-19</v>
      </c>
      <c r="CD212" s="2">
        <v>83</v>
      </c>
      <c r="CE212" s="2" t="s">
        <v>1716</v>
      </c>
      <c r="CF212" s="2" t="s">
        <v>2391</v>
      </c>
      <c r="CG212" s="9" t="str">
        <f>HYPERLINK(".\links\KOG\AGAP004768-PA-KOG.txt","WD40 repeat-containing protein")</f>
        <v>WD40 repeat-containing protein</v>
      </c>
      <c r="CH212" s="15">
        <v>9.9999999999999999E-119</v>
      </c>
      <c r="CI212" s="2">
        <v>102.2</v>
      </c>
      <c r="CJ212" s="2" t="s">
        <v>1730</v>
      </c>
      <c r="CK212" s="2" t="s">
        <v>284</v>
      </c>
      <c r="CL212" s="9" t="str">
        <f>HYPERLINK(".\links\PFAM\AGAP004768-PA-PFAM.txt","WD40, WD domain, G-beta repeat")</f>
        <v>WD40, WD domain, G-beta repeat</v>
      </c>
      <c r="CM212" s="15">
        <v>1E-3</v>
      </c>
      <c r="CN212" s="2">
        <v>82.1</v>
      </c>
      <c r="CO212" s="2" t="s">
        <v>1871</v>
      </c>
      <c r="CP212" s="9" t="str">
        <f>HYPERLINK(".\links\SMART\AGAP004768-PA-SMART.txt","WD40, WD40 repeats")</f>
        <v>WD40, WD40 repeats</v>
      </c>
      <c r="CQ212" s="15">
        <v>9.0000000000000002E-6</v>
      </c>
      <c r="CR212" s="2">
        <v>80</v>
      </c>
      <c r="CS212" s="2" t="s">
        <v>1720</v>
      </c>
      <c r="CT212" s="2" t="s">
        <v>2389</v>
      </c>
      <c r="CU212" s="2" t="s">
        <v>2389</v>
      </c>
      <c r="CV212" s="2" t="s">
        <v>2389</v>
      </c>
      <c r="CW212" s="2" t="str">
        <f>HYPERLINK(".\links\pep\AGAP004768-PA-pep.txt","AGAP004768-PA")</f>
        <v>AGAP004768-PA</v>
      </c>
      <c r="CX212" s="2" t="s">
        <v>95</v>
      </c>
      <c r="CY212" s="2">
        <v>489</v>
      </c>
      <c r="CZ212" s="2" t="s">
        <v>113</v>
      </c>
      <c r="DA212" s="2" t="s">
        <v>2392</v>
      </c>
      <c r="DB212" s="2">
        <v>0</v>
      </c>
      <c r="DC212" s="2">
        <v>1</v>
      </c>
      <c r="DD212" s="2" t="str">
        <f>HYPERLINK("https://www.kegg.jp/kegg-bin/search_pathway_text?map=aga&amp;keyword=AGAP004768&amp;mode=1&amp;viewImage=true","AGAP004768")</f>
        <v>AGAP004768</v>
      </c>
      <c r="DE212" s="2" t="s">
        <v>2385</v>
      </c>
      <c r="DF212" s="2" t="s">
        <v>2386</v>
      </c>
      <c r="DG212" s="2" t="s">
        <v>94</v>
      </c>
      <c r="DH212" s="2" t="str">
        <f>HYPERLINK("https://vectorbase.org/vectorbase/app/record/gene/AGAP004768","AGAP004768-RA")</f>
        <v>AGAP004768-RA</v>
      </c>
      <c r="DI212" s="2" t="s">
        <v>115</v>
      </c>
      <c r="DJ212" s="2">
        <v>1582</v>
      </c>
      <c r="DK212" s="2" t="str">
        <f>HYPERLINK(".\links\netoglyc\AGAP004768-PA-netoglyc.txt","2")</f>
        <v>2</v>
      </c>
      <c r="DL212" s="2">
        <v>13.7</v>
      </c>
      <c r="DM212" s="2">
        <v>6.5</v>
      </c>
      <c r="DN212" s="2">
        <v>4.0999999999999996</v>
      </c>
      <c r="DO212" s="2" t="s">
        <v>104</v>
      </c>
      <c r="DP212" s="2" t="s">
        <v>102</v>
      </c>
      <c r="DQ212" s="2" t="str">
        <f>HYPERLINK(".\links\Sigp\AGAP004768-PA-SigP.txt","CYT")</f>
        <v>CYT</v>
      </c>
      <c r="DR212" s="2" t="s">
        <v>102</v>
      </c>
      <c r="DS212" s="2">
        <v>54.326999999999998</v>
      </c>
      <c r="DT212" s="2">
        <v>4.3600000000000003</v>
      </c>
      <c r="DU212" s="2" t="s">
        <v>102</v>
      </c>
      <c r="DV212" s="2" t="s">
        <v>102</v>
      </c>
      <c r="DW212" s="2" t="s">
        <v>211</v>
      </c>
      <c r="DX212" s="2">
        <v>489</v>
      </c>
      <c r="DY212" s="12">
        <v>0</v>
      </c>
      <c r="DZ212" s="2" t="s">
        <v>102</v>
      </c>
      <c r="EA212" s="2" t="s">
        <v>102</v>
      </c>
      <c r="EB212" s="2" t="s">
        <v>102</v>
      </c>
      <c r="EC212" s="2" t="str">
        <f>HYPERLINK(".\links\gpi\AGAP004768-PA-gpi.txt","Y-NoSP")</f>
        <v>Y-NoSP</v>
      </c>
      <c r="ED212" s="2">
        <v>0.23</v>
      </c>
      <c r="EF212" s="2">
        <v>12</v>
      </c>
      <c r="EG212" s="2" t="str">
        <f>HYPERLINK(".\links\pep\AGAP004768-PA-sulf.txt","2")</f>
        <v>2</v>
      </c>
      <c r="EH212" s="2" t="s">
        <v>102</v>
      </c>
      <c r="EI212" s="2">
        <v>13.701431492842501</v>
      </c>
      <c r="EJ212" s="2">
        <v>4.0899795501022496</v>
      </c>
      <c r="EK212" s="2">
        <v>6.5439672801636002</v>
      </c>
      <c r="EL212" s="2">
        <v>10.633946830265799</v>
      </c>
      <c r="EM212" s="2" t="s">
        <v>102</v>
      </c>
      <c r="EN212" s="2">
        <v>2</v>
      </c>
      <c r="EO212" s="2">
        <v>2</v>
      </c>
      <c r="EP212" s="2" t="s">
        <v>102</v>
      </c>
      <c r="EQ212" s="2" t="s">
        <v>102</v>
      </c>
      <c r="ER212" s="2" t="s">
        <v>102</v>
      </c>
      <c r="ES212" s="2" t="s">
        <v>102</v>
      </c>
      <c r="ET212" s="2" t="str">
        <f>HYPERLINK(".\links\REFSEQ-INVERTEBRATE\AGAP004768-PA-REFSEQ-INVERTEBRATE.txt","AGAP004768-PA")</f>
        <v>AGAP004768-PA</v>
      </c>
      <c r="EU212" s="2" t="str">
        <f>HYPERLINK("http://www.ncbi.nlm.nih.gov/sutils/blink.cgi?pid=XP_001689087.1","0.0")</f>
        <v>0.0</v>
      </c>
      <c r="EV212" s="2" t="str">
        <f>HYPERLINK("http://www.ncbi.nlm.nih.gov/protein/XP_001689087.1","XP_001689087.1")</f>
        <v>XP_001689087.1</v>
      </c>
      <c r="EW212" s="2">
        <v>100</v>
      </c>
      <c r="EX212" s="2">
        <v>100</v>
      </c>
      <c r="EY212" s="2">
        <v>100</v>
      </c>
      <c r="EZ212" s="2" t="s">
        <v>105</v>
      </c>
    </row>
    <row r="213" spans="1:156" x14ac:dyDescent="0.25">
      <c r="A213" s="2" t="s">
        <v>2393</v>
      </c>
      <c r="B213" s="2">
        <v>0.310870757826467</v>
      </c>
      <c r="C213" s="2">
        <f t="shared" si="3"/>
        <v>1.2404561679007087</v>
      </c>
      <c r="D213" s="2">
        <v>5.8653090489443303</v>
      </c>
      <c r="E213" s="2">
        <v>10.1621414892877</v>
      </c>
      <c r="F213" s="2">
        <v>1.43354008613563E-3</v>
      </c>
      <c r="G213" s="2">
        <v>3.7152645524746501E-2</v>
      </c>
      <c r="H213" s="2" t="s">
        <v>93</v>
      </c>
      <c r="I213" s="2" t="s">
        <v>94</v>
      </c>
      <c r="J213" s="2" t="str">
        <f>HYPERLINK("https://vectorbase.org/vectorbase/app/record/gene/AGAP006929","AGAP006929-RA")</f>
        <v>AGAP006929-RA</v>
      </c>
      <c r="K213" s="2" t="str">
        <f>HYPERLINK(".\links\pep\AGAP006929-PA-pep.txt","AGAP006929-PA")</f>
        <v>AGAP006929-PA</v>
      </c>
      <c r="L213" s="12" t="s">
        <v>95</v>
      </c>
      <c r="M213" s="2">
        <v>796</v>
      </c>
      <c r="N213" s="2">
        <v>0</v>
      </c>
      <c r="O213" s="2">
        <v>5</v>
      </c>
      <c r="P213" s="2" t="s">
        <v>102</v>
      </c>
      <c r="Q213" s="9" t="s">
        <v>607</v>
      </c>
      <c r="R213" s="2" t="s">
        <v>608</v>
      </c>
      <c r="V213" s="2" t="s">
        <v>2394</v>
      </c>
      <c r="W213" s="10" t="s">
        <v>2395</v>
      </c>
      <c r="X213" s="2" t="s">
        <v>196</v>
      </c>
      <c r="Y213" s="2" t="str">
        <f>HYPERLINK(".\links\ARTHORPODA\AGAP006929-PA-ARTHORPODA.txt","ARTHORPODA")</f>
        <v>ARTHORPODA</v>
      </c>
      <c r="Z213" s="2">
        <v>0</v>
      </c>
      <c r="AA213" s="2">
        <v>100</v>
      </c>
      <c r="AB213" s="13" t="s">
        <v>102</v>
      </c>
      <c r="AC213" s="13" t="str">
        <f>HYPERLINK(".\links\Sigp\AGAP006929-PA-SigP.txt","CYT")</f>
        <v>CYT</v>
      </c>
      <c r="AD213" s="2" t="s">
        <v>102</v>
      </c>
      <c r="AE213" s="2">
        <v>90.799000000000007</v>
      </c>
      <c r="AF213" s="2">
        <v>5.81</v>
      </c>
      <c r="AG213" s="2" t="s">
        <v>102</v>
      </c>
      <c r="AH213" s="2" t="s">
        <v>102</v>
      </c>
      <c r="AI213" s="2" t="s">
        <v>211</v>
      </c>
      <c r="AJ213" s="13">
        <v>0</v>
      </c>
      <c r="AK213" s="2" t="s">
        <v>102</v>
      </c>
      <c r="AL213" s="2" t="s">
        <v>102</v>
      </c>
      <c r="AM213" s="2" t="s">
        <v>102</v>
      </c>
      <c r="AN213" s="13" t="str">
        <f>HYPERLINK(".\links\gpi\AGAP006929-PA-gpi.txt","N")</f>
        <v>N</v>
      </c>
      <c r="AO213" s="14" t="str">
        <f>HYPERLINK(".\links\netoglyc\AGAP006929-PA-netoglyc.txt","3")</f>
        <v>3</v>
      </c>
      <c r="AP213" s="13">
        <v>11.4</v>
      </c>
      <c r="AQ213" s="2">
        <v>3.9</v>
      </c>
      <c r="AR213" s="2">
        <v>5.8</v>
      </c>
      <c r="AS213" s="2" t="s">
        <v>104</v>
      </c>
      <c r="AT213" s="9" t="str">
        <f>HYPERLINK(".\links\NR-LIGHT\AGAP006929-PA-NR-LIGHT.txt","AGAP006927-PA")</f>
        <v>AGAP006927-PA</v>
      </c>
      <c r="AU213" s="2" t="str">
        <f>HYPERLINK("http://www.ncbi.nlm.nih.gov/sutils/blink.cgi?pid=XP_565270.1","1E-044")</f>
        <v>1E-044</v>
      </c>
      <c r="AV213" s="2" t="str">
        <f>HYPERLINK("http://www.ncbi.nlm.nih.gov/protein/XP_565270.1","XP_565270.1")</f>
        <v>XP_565270.1</v>
      </c>
      <c r="AW213" s="2">
        <v>49</v>
      </c>
      <c r="AX213" s="2">
        <v>66</v>
      </c>
      <c r="AY213" s="2">
        <v>54</v>
      </c>
      <c r="AZ213" s="2" t="s">
        <v>105</v>
      </c>
      <c r="BA213" s="9" t="str">
        <f>HYPERLINK(".\links\REFSEQ-INVERTEBRATE\AGAP006929-PA-REFSEQ-INVERTEBRATE.txt","AGAP006927-PA")</f>
        <v>AGAP006927-PA</v>
      </c>
      <c r="BB213" s="2" t="str">
        <f>HYPERLINK("http://www.ncbi.nlm.nih.gov/sutils/blink.cgi?pid=XP_565270.1","1E-044")</f>
        <v>1E-044</v>
      </c>
      <c r="BC213" s="2" t="str">
        <f>HYPERLINK("http://www.ncbi.nlm.nih.gov/protein/XP_565270.1","XP_565270.1")</f>
        <v>XP_565270.1</v>
      </c>
      <c r="BD213" s="2">
        <v>49</v>
      </c>
      <c r="BE213" s="2">
        <v>66</v>
      </c>
      <c r="BF213" s="2">
        <v>54</v>
      </c>
      <c r="BG213" s="2" t="s">
        <v>105</v>
      </c>
      <c r="BH213" s="9" t="str">
        <f>HYPERLINK(".\links\REFSEQ-PROTOZOA\AGAP006929-PA-REFSEQ-PROTOZOA.txt","liver stage antigen 3")</f>
        <v>liver stage antigen 3</v>
      </c>
      <c r="BI213" s="2" t="str">
        <f>HYPERLINK("http://www.ncbi.nlm.nih.gov/sutils/blink.cgi?pid=XP_001349701.1","0.008")</f>
        <v>0.008</v>
      </c>
      <c r="BJ213" s="2" t="str">
        <f>HYPERLINK("http://www.ncbi.nlm.nih.gov/protein/XP_001349701.1","XP_001349701.1")</f>
        <v>XP_001349701.1</v>
      </c>
      <c r="BK213" s="2">
        <v>21</v>
      </c>
      <c r="BL213" s="2">
        <v>45</v>
      </c>
      <c r="BM213" s="2">
        <v>13</v>
      </c>
      <c r="BN213" s="2" t="s">
        <v>869</v>
      </c>
      <c r="BO213" s="9" t="str">
        <f>HYPERLINK(".\links\SWISSP\AGAP006929-PA-SWISSP.txt","Eukaryotic translation initiation factor 4G")</f>
        <v>Eukaryotic translation initiation factor 4G</v>
      </c>
      <c r="BP213" s="2" t="str">
        <f>HYPERLINK("http://www.uniprot.org/uniprot/B9FXV5","0.034")</f>
        <v>0.034</v>
      </c>
      <c r="BQ213" s="2" t="str">
        <f>HYPERLINK("http://www.uniprot.org/uniprot/B9FXV5#expression","B9FXV5")</f>
        <v>B9FXV5</v>
      </c>
      <c r="BR213" s="2">
        <v>26</v>
      </c>
      <c r="BS213" s="2">
        <v>42</v>
      </c>
      <c r="BT213" s="2">
        <v>9</v>
      </c>
      <c r="BU213" s="2" t="s">
        <v>2396</v>
      </c>
      <c r="BV213" s="9" t="str">
        <f>HYPERLINK(".\links\FLYBASE\AGAP006929-PA-FLYBASE.txt","FBpp0074052")</f>
        <v>FBpp0074052</v>
      </c>
      <c r="BW213" s="2" t="str">
        <f>HYPERLINK("http://flybase.org/reports/FBgn0026575#alliance_summary_container","0.35")</f>
        <v>0.35</v>
      </c>
      <c r="BX213" s="2">
        <v>1901</v>
      </c>
      <c r="BY213" s="2">
        <v>26</v>
      </c>
      <c r="BZ213" s="2">
        <v>46</v>
      </c>
      <c r="CA213" s="2">
        <v>4</v>
      </c>
      <c r="CB213" s="9" t="str">
        <f>HYPERLINK(".\links\CDD\AGAP006929-PA-CDD.txt","zf-AD, Zinc-finger associated domain (zf-AD)")</f>
        <v>zf-AD, Zinc-finger associated domain (zf-AD)</v>
      </c>
      <c r="CC213" s="15">
        <v>9.9999999999999995E-8</v>
      </c>
      <c r="CD213" s="2">
        <v>98.6</v>
      </c>
      <c r="CE213" s="2" t="s">
        <v>684</v>
      </c>
      <c r="CF213" s="2" t="s">
        <v>2397</v>
      </c>
      <c r="CG213" s="9" t="str">
        <f>HYPERLINK(".\links\KOG\AGAP006929-PA-KOG.txt","Uncharacterized conserved protein")</f>
        <v>Uncharacterized conserved protein</v>
      </c>
      <c r="CH213" s="15">
        <v>0.38</v>
      </c>
      <c r="CI213" s="2">
        <v>13.9</v>
      </c>
      <c r="CJ213" s="2" t="s">
        <v>2398</v>
      </c>
      <c r="CK213" s="2" t="s">
        <v>284</v>
      </c>
      <c r="CL213" s="9" t="str">
        <f>HYPERLINK(".\links\PFAM\AGAP006929-PA-PFAM.txt","zf-AD, Zinc-finger associated domain (zf-AD)")</f>
        <v>zf-AD, Zinc-finger associated domain (zf-AD)</v>
      </c>
      <c r="CM213" s="15">
        <v>6.9999999999999999E-6</v>
      </c>
      <c r="CN213" s="2">
        <v>100</v>
      </c>
      <c r="CO213" s="2" t="s">
        <v>687</v>
      </c>
      <c r="CP213" s="9" t="str">
        <f>HYPERLINK(".\links\SMART\AGAP006929-PA-SMART.txt","zf-AD, Zinc-finger associated domain (zf-AD)")</f>
        <v>zf-AD, Zinc-finger associated domain (zf-AD)</v>
      </c>
      <c r="CQ213" s="15">
        <v>1.0000000000000001E-9</v>
      </c>
      <c r="CR213" s="2">
        <v>98.6</v>
      </c>
      <c r="CS213" s="2" t="s">
        <v>684</v>
      </c>
      <c r="CT213" s="2" t="s">
        <v>2394</v>
      </c>
      <c r="CU213" s="2" t="s">
        <v>2394</v>
      </c>
      <c r="CV213" s="2" t="s">
        <v>2394</v>
      </c>
      <c r="CW213" s="2" t="str">
        <f>HYPERLINK(".\links\pep\AGAP006929-PA-pep.txt","AGAP006929-PA")</f>
        <v>AGAP006929-PA</v>
      </c>
      <c r="CX213" s="2" t="s">
        <v>95</v>
      </c>
      <c r="CY213" s="2">
        <v>796</v>
      </c>
      <c r="CZ213" s="2" t="s">
        <v>113</v>
      </c>
      <c r="DA213" s="2" t="s">
        <v>2399</v>
      </c>
      <c r="DB213" s="2">
        <v>0</v>
      </c>
      <c r="DC213" s="2">
        <v>5</v>
      </c>
      <c r="DD213" s="2" t="str">
        <f>HYPERLINK("https://www.kegg.jp/kegg-bin/search_pathway_text?map=aga&amp;keyword=AGAP006929&amp;mode=1&amp;viewImage=true","AGAP006929")</f>
        <v>AGAP006929</v>
      </c>
      <c r="DE213" s="2" t="s">
        <v>2393</v>
      </c>
      <c r="DF213" s="2" t="s">
        <v>93</v>
      </c>
      <c r="DG213" s="2" t="s">
        <v>94</v>
      </c>
      <c r="DH213" s="2" t="str">
        <f>HYPERLINK("https://vectorbase.org/vectorbase/app/record/gene/AGAP006929","AGAP006929-RA")</f>
        <v>AGAP006929-RA</v>
      </c>
      <c r="DI213" s="2" t="s">
        <v>90</v>
      </c>
      <c r="DJ213" s="2">
        <v>2588</v>
      </c>
      <c r="DK213" s="2" t="str">
        <f>HYPERLINK(".\links\netoglyc\AGAP006929-PA-netoglyc.txt","3")</f>
        <v>3</v>
      </c>
      <c r="DL213" s="2">
        <v>11.4</v>
      </c>
      <c r="DM213" s="2">
        <v>3.9</v>
      </c>
      <c r="DN213" s="2">
        <v>5.8</v>
      </c>
      <c r="DO213" s="2" t="s">
        <v>104</v>
      </c>
      <c r="DP213" s="2" t="s">
        <v>2400</v>
      </c>
      <c r="DQ213" s="2" t="str">
        <f>HYPERLINK(".\links\Sigp\AGAP006929-PA-SigP.txt","CYT")</f>
        <v>CYT</v>
      </c>
      <c r="DR213" s="2" t="s">
        <v>102</v>
      </c>
      <c r="DS213" s="2">
        <v>90.799000000000007</v>
      </c>
      <c r="DT213" s="2">
        <v>5.81</v>
      </c>
      <c r="DU213" s="2" t="s">
        <v>102</v>
      </c>
      <c r="DV213" s="2" t="s">
        <v>102</v>
      </c>
      <c r="DW213" s="2" t="s">
        <v>211</v>
      </c>
      <c r="DX213" s="2">
        <v>796</v>
      </c>
      <c r="DY213" s="12">
        <v>0</v>
      </c>
      <c r="DZ213" s="2" t="s">
        <v>102</v>
      </c>
      <c r="EA213" s="2" t="s">
        <v>102</v>
      </c>
      <c r="EB213" s="2" t="s">
        <v>102</v>
      </c>
      <c r="EC213" s="2" t="str">
        <f>HYPERLINK(".\links\gpi\AGAP006929-PA-gpi.txt","Y-NoSP")</f>
        <v>Y-NoSP</v>
      </c>
      <c r="ED213" s="2">
        <v>0.22</v>
      </c>
      <c r="EF213" s="2">
        <v>18</v>
      </c>
      <c r="EG213" s="2" t="s">
        <v>102</v>
      </c>
      <c r="EH213" s="2" t="s">
        <v>102</v>
      </c>
      <c r="EI213" s="2">
        <v>11.4321608040201</v>
      </c>
      <c r="EJ213" s="2">
        <v>5.7788944723618103</v>
      </c>
      <c r="EK213" s="2">
        <v>3.8944723618090502</v>
      </c>
      <c r="EL213" s="2">
        <v>9.6733668341708494</v>
      </c>
      <c r="EM213" s="2">
        <v>2</v>
      </c>
      <c r="EN213" s="2" t="s">
        <v>102</v>
      </c>
      <c r="EO213" s="2" t="s">
        <v>102</v>
      </c>
      <c r="EP213" s="2" t="s">
        <v>102</v>
      </c>
      <c r="EQ213" s="2" t="s">
        <v>102</v>
      </c>
      <c r="ER213" s="2" t="s">
        <v>102</v>
      </c>
      <c r="ES213" s="2" t="s">
        <v>102</v>
      </c>
      <c r="ET213" s="2" t="str">
        <f>HYPERLINK(".\links\REFSEQ-INVERTEBRATE\AGAP006929-PA-REFSEQ-INVERTEBRATE.txt","AGAP006928-PA, partial")</f>
        <v>AGAP006928-PA, partial</v>
      </c>
      <c r="EU213" s="2" t="str">
        <f>HYPERLINK("http://www.ncbi.nlm.nih.gov/sutils/blink.cgi?pid=XP_308832.3","6E-54")</f>
        <v>6E-54</v>
      </c>
      <c r="EV213" s="2" t="str">
        <f>HYPERLINK("http://www.ncbi.nlm.nih.gov/protein/XP_308832.3","XP_308832.3")</f>
        <v>XP_308832.3</v>
      </c>
      <c r="EW213" s="2">
        <v>72</v>
      </c>
      <c r="EX213" s="2">
        <v>83</v>
      </c>
      <c r="EY213" s="2">
        <v>103</v>
      </c>
      <c r="EZ213" s="2" t="s">
        <v>105</v>
      </c>
    </row>
    <row r="214" spans="1:156" x14ac:dyDescent="0.25">
      <c r="A214" s="2" t="s">
        <v>2401</v>
      </c>
      <c r="B214" s="2">
        <v>0.31026631397334797</v>
      </c>
      <c r="C214" s="2">
        <f t="shared" si="3"/>
        <v>1.2399365646317997</v>
      </c>
      <c r="D214" s="2">
        <v>4.9922772580354797</v>
      </c>
      <c r="E214" s="2">
        <v>8.8705097786917708</v>
      </c>
      <c r="F214" s="2">
        <v>2.8981419967053102E-3</v>
      </c>
      <c r="G214" s="2">
        <v>4.9803632520221103E-2</v>
      </c>
      <c r="H214" s="2" t="s">
        <v>93</v>
      </c>
      <c r="I214" s="2" t="s">
        <v>94</v>
      </c>
      <c r="J214" s="2" t="str">
        <f>HYPERLINK("https://vectorbase.org/vectorbase/app/record/gene/AGAP028683","AGAP028683-RA")</f>
        <v>AGAP028683-RA</v>
      </c>
      <c r="K214" s="2" t="str">
        <f>HYPERLINK(".\links\pep\AGAP028683-PA-pep.txt","AGAP028683-PA")</f>
        <v>AGAP028683-PA</v>
      </c>
      <c r="L214" s="12" t="s">
        <v>95</v>
      </c>
      <c r="M214" s="2">
        <v>350</v>
      </c>
      <c r="N214" s="2">
        <v>0</v>
      </c>
      <c r="O214" s="2">
        <v>0</v>
      </c>
      <c r="P214" s="2" t="s">
        <v>102</v>
      </c>
      <c r="Q214" s="9" t="s">
        <v>2402</v>
      </c>
      <c r="R214" s="2" t="s">
        <v>196</v>
      </c>
      <c r="S214" s="2" t="str">
        <f>HYPERLINK(".\links\REFSEQ-INVERTEBRATE\AGAP028683-PA-REFSEQ-INVERTEBRATE.txt","REFSEQ-INVERTEBRATE")</f>
        <v>REFSEQ-INVERTEBRATE</v>
      </c>
      <c r="T214" s="2">
        <v>9.9999999999999996E-75</v>
      </c>
      <c r="U214" s="2">
        <v>100</v>
      </c>
      <c r="V214" s="2" t="s">
        <v>2403</v>
      </c>
      <c r="W214" s="10" t="s">
        <v>2404</v>
      </c>
      <c r="X214" s="2" t="s">
        <v>420</v>
      </c>
      <c r="Y214" s="2" t="str">
        <f>HYPERLINK(".\links\REFSEQ-INVERTEBRATE\AGAP028683-PA-REFSEQ-INVERTEBRATE.txt","REFSEQ-INVERTEBRATE")</f>
        <v>REFSEQ-INVERTEBRATE</v>
      </c>
      <c r="Z214" s="15">
        <v>1.9999999999999999E-80</v>
      </c>
      <c r="AA214" s="2">
        <v>97.3</v>
      </c>
      <c r="AB214" s="13" t="str">
        <f>HYPERLINK(".\links\pep\AGAP028683-PA-sulf.txt","1")</f>
        <v>1</v>
      </c>
      <c r="AC214" s="13" t="str">
        <f>HYPERLINK(".\links\Sigp\AGAP028683-PA-SigP.txt","CYT")</f>
        <v>CYT</v>
      </c>
      <c r="AD214" s="2" t="s">
        <v>102</v>
      </c>
      <c r="AE214" s="2">
        <v>39.848999999999997</v>
      </c>
      <c r="AF214" s="2">
        <v>5.78</v>
      </c>
      <c r="AG214" s="2" t="s">
        <v>102</v>
      </c>
      <c r="AH214" s="2" t="s">
        <v>102</v>
      </c>
      <c r="AI214" s="2" t="s">
        <v>198</v>
      </c>
      <c r="AJ214" s="13">
        <v>0</v>
      </c>
      <c r="AK214" s="2" t="s">
        <v>102</v>
      </c>
      <c r="AL214" s="2" t="s">
        <v>102</v>
      </c>
      <c r="AM214" s="2" t="s">
        <v>102</v>
      </c>
      <c r="AN214" s="9" t="str">
        <f>HYPERLINK(".\links\gpi\AGAP028683-PA-gpi.txt","N")</f>
        <v>N</v>
      </c>
      <c r="AO214" s="14" t="str">
        <f>HYPERLINK(".\links\netoglyc\AGAP028683-PA-netoglyc.txt","1")</f>
        <v>1</v>
      </c>
      <c r="AP214" s="13">
        <v>11.7</v>
      </c>
      <c r="AQ214" s="2">
        <v>2.9</v>
      </c>
      <c r="AR214" s="2">
        <v>4.3</v>
      </c>
      <c r="AS214" s="2" t="s">
        <v>104</v>
      </c>
      <c r="AT214" s="9" t="str">
        <f>HYPERLINK(".\links\NR-LIGHT\AGAP028683-PA-NR-LIGHT.txt","AGAP012753-PA, partial")</f>
        <v>AGAP012753-PA, partial</v>
      </c>
      <c r="AU214" s="2" t="str">
        <f>HYPERLINK("http://www.ncbi.nlm.nih.gov/sutils/blink.cgi?pid=XP_560562.1","1E-074")</f>
        <v>1E-074</v>
      </c>
      <c r="AV214" s="2" t="str">
        <f>HYPERLINK("http://www.ncbi.nlm.nih.gov/protein/XP_560562.1","XP_560562.1")</f>
        <v>XP_560562.1</v>
      </c>
      <c r="AW214" s="2">
        <v>98</v>
      </c>
      <c r="AX214" s="2">
        <v>99</v>
      </c>
      <c r="AY214" s="2">
        <v>100</v>
      </c>
      <c r="AZ214" s="2" t="s">
        <v>105</v>
      </c>
      <c r="BA214" s="9" t="str">
        <f>HYPERLINK(".\links\REFSEQ-INVERTEBRATE\AGAP028683-PA-REFSEQ-INVERTEBRATE.txt","AGAP012753-PA, partial")</f>
        <v>AGAP012753-PA, partial</v>
      </c>
      <c r="BB214" s="2" t="str">
        <f>HYPERLINK("http://www.ncbi.nlm.nih.gov/sutils/blink.cgi?pid=XP_560562.1","1E-074")</f>
        <v>1E-074</v>
      </c>
      <c r="BC214" s="2" t="str">
        <f>HYPERLINK("http://www.ncbi.nlm.nih.gov/protein/XP_560562.1","XP_560562.1")</f>
        <v>XP_560562.1</v>
      </c>
      <c r="BD214" s="2">
        <v>98</v>
      </c>
      <c r="BE214" s="2">
        <v>99</v>
      </c>
      <c r="BF214" s="2">
        <v>100</v>
      </c>
      <c r="BG214" s="2" t="s">
        <v>105</v>
      </c>
      <c r="BH214" s="9" t="str">
        <f>HYPERLINK(".\links\REFSEQ-PROTOZOA\AGAP028683-PA-REFSEQ-PROTOZOA.txt","zinc finger protein")</f>
        <v>zinc finger protein</v>
      </c>
      <c r="BI214" s="2" t="str">
        <f>HYPERLINK("http://www.ncbi.nlm.nih.gov/sutils/blink.cgi?pid=XP_004993762.1","6E-009")</f>
        <v>6E-009</v>
      </c>
      <c r="BJ214" s="2" t="str">
        <f>HYPERLINK("http://www.ncbi.nlm.nih.gov/protein/XP_004993762.1","XP_004993762.1")</f>
        <v>XP_004993762.1</v>
      </c>
      <c r="BK214" s="2">
        <v>31</v>
      </c>
      <c r="BL214" s="2">
        <v>40</v>
      </c>
      <c r="BM214" s="2">
        <v>17</v>
      </c>
      <c r="BN214" s="2" t="s">
        <v>435</v>
      </c>
      <c r="BO214" s="9" t="str">
        <f>HYPERLINK(".\links\SWISSP\AGAP028683-PA-SWISSP.txt","Zinc finger protein 441")</f>
        <v>Zinc finger protein 441</v>
      </c>
      <c r="BP214" s="2" t="str">
        <f>HYPERLINK("http://www.uniprot.org/uniprot/Q8N8Z8","1E-011")</f>
        <v>1E-011</v>
      </c>
      <c r="BQ214" s="2" t="str">
        <f>HYPERLINK("http://www.uniprot.org/uniprot/Q8N8Z8#expression","Q8N8Z8")</f>
        <v>Q8N8Z8</v>
      </c>
      <c r="BR214" s="2">
        <v>32</v>
      </c>
      <c r="BS214" s="2">
        <v>46</v>
      </c>
      <c r="BT214" s="2">
        <v>20</v>
      </c>
      <c r="BU214" s="2" t="s">
        <v>127</v>
      </c>
      <c r="BV214" s="9" t="str">
        <f>HYPERLINK(".\links\FLYBASE\AGAP028683-PA-FLYBASE.txt","FBpp0081613")</f>
        <v>FBpp0081613</v>
      </c>
      <c r="BW214" s="2" t="str">
        <f>HYPERLINK("http://flybase.org/reports/FBgn0037751#alliance_summary_container","7E-09")</f>
        <v>7E-09</v>
      </c>
      <c r="BX214" s="2">
        <v>814</v>
      </c>
      <c r="BY214" s="2">
        <v>27</v>
      </c>
      <c r="BZ214" s="2">
        <v>46</v>
      </c>
      <c r="CA214" s="2">
        <v>18</v>
      </c>
      <c r="CB214" s="9" t="str">
        <f>HYPERLINK(".\links\CDD\AGAP028683-PA-CDD.txt","zf-AD, Zinc-finger associated domain (zf-AD)")</f>
        <v>zf-AD, Zinc-finger associated domain (zf-AD)</v>
      </c>
      <c r="CC214" s="15">
        <v>2.9999999999999999E-7</v>
      </c>
      <c r="CD214" s="2">
        <v>101.4</v>
      </c>
      <c r="CE214" s="2" t="s">
        <v>684</v>
      </c>
      <c r="CF214" s="2" t="s">
        <v>2405</v>
      </c>
      <c r="CG214" s="9" t="str">
        <f>HYPERLINK(".\links\KOG\AGAP028683-PA-KOG.txt","C2H2-type Zn-finger protein")</f>
        <v>C2H2-type Zn-finger protein</v>
      </c>
      <c r="CH214" s="15">
        <v>3.9999999999999998E-6</v>
      </c>
      <c r="CI214" s="2">
        <v>42.3</v>
      </c>
      <c r="CJ214" s="2" t="s">
        <v>743</v>
      </c>
      <c r="CK214" s="2" t="s">
        <v>309</v>
      </c>
      <c r="CL214" s="9" t="str">
        <f>HYPERLINK(".\links\PFAM\AGAP028683-PA-PFAM.txt","zf-AD, Zinc-finger associated domain (zf-AD)")</f>
        <v>zf-AD, Zinc-finger associated domain (zf-AD)</v>
      </c>
      <c r="CM214" s="15">
        <v>1E-4</v>
      </c>
      <c r="CN214" s="2">
        <v>101.4</v>
      </c>
      <c r="CO214" s="2" t="s">
        <v>687</v>
      </c>
      <c r="CP214" s="9" t="str">
        <f>HYPERLINK(".\links\SMART\AGAP028683-PA-SMART.txt","zf-AD, Zinc-finger associated domain (zf-AD)")</f>
        <v>zf-AD, Zinc-finger associated domain (zf-AD)</v>
      </c>
      <c r="CQ214" s="15">
        <v>3E-9</v>
      </c>
      <c r="CR214" s="2">
        <v>101.4</v>
      </c>
      <c r="CS214" s="2" t="s">
        <v>684</v>
      </c>
      <c r="CT214" s="2" t="s">
        <v>2403</v>
      </c>
      <c r="CU214" s="2" t="s">
        <v>2403</v>
      </c>
      <c r="CV214" s="2" t="s">
        <v>2403</v>
      </c>
      <c r="CW214" s="2" t="str">
        <f>HYPERLINK(".\links\pep\AGAP028683-PA-pep.txt","AGAP028683-PA")</f>
        <v>AGAP028683-PA</v>
      </c>
      <c r="CX214" s="2" t="s">
        <v>95</v>
      </c>
      <c r="CY214" s="2">
        <v>350</v>
      </c>
      <c r="CZ214" s="2" t="s">
        <v>113</v>
      </c>
      <c r="DA214" s="2" t="s">
        <v>2406</v>
      </c>
      <c r="DB214" s="2">
        <v>0</v>
      </c>
      <c r="DC214" s="2">
        <v>0</v>
      </c>
      <c r="DD214" s="2" t="str">
        <f>HYPERLINK("https://www.kegg.jp/kegg-bin/search_pathway_text?map=aga&amp;keyword=AGAP028683&amp;mode=1&amp;viewImage=true","AGAP028683")</f>
        <v>AGAP028683</v>
      </c>
      <c r="DE214" s="2" t="s">
        <v>2401</v>
      </c>
      <c r="DF214" s="2" t="s">
        <v>93</v>
      </c>
      <c r="DG214" s="2" t="s">
        <v>94</v>
      </c>
      <c r="DH214" s="2" t="str">
        <f>HYPERLINK("https://vectorbase.org/vectorbase/app/record/gene/AGAP028683","AGAP028683-RA")</f>
        <v>AGAP028683-RA</v>
      </c>
      <c r="DI214" s="2" t="s">
        <v>135</v>
      </c>
      <c r="DJ214" s="2">
        <v>1244</v>
      </c>
      <c r="DK214" s="2" t="str">
        <f>HYPERLINK(".\links\netoglyc\AGAP028683-PA-netoglyc.txt","1")</f>
        <v>1</v>
      </c>
      <c r="DL214" s="2">
        <v>11.7</v>
      </c>
      <c r="DM214" s="2">
        <v>2.9</v>
      </c>
      <c r="DN214" s="2">
        <v>4.3</v>
      </c>
      <c r="DO214" s="2" t="s">
        <v>104</v>
      </c>
      <c r="DP214" s="2" t="s">
        <v>102</v>
      </c>
      <c r="DQ214" s="2" t="str">
        <f>HYPERLINK(".\links\Sigp\AGAP028683-PA-SigP.txt","CYT")</f>
        <v>CYT</v>
      </c>
      <c r="DR214" s="2" t="s">
        <v>102</v>
      </c>
      <c r="DS214" s="2">
        <v>39.848999999999997</v>
      </c>
      <c r="DT214" s="2">
        <v>5.78</v>
      </c>
      <c r="DU214" s="2" t="s">
        <v>102</v>
      </c>
      <c r="DV214" s="2" t="s">
        <v>102</v>
      </c>
      <c r="DW214" s="2" t="s">
        <v>198</v>
      </c>
      <c r="DX214" s="2">
        <v>350</v>
      </c>
      <c r="DY214" s="12">
        <v>0</v>
      </c>
      <c r="DZ214" s="2" t="s">
        <v>102</v>
      </c>
      <c r="EA214" s="2" t="s">
        <v>102</v>
      </c>
      <c r="EB214" s="2" t="s">
        <v>102</v>
      </c>
      <c r="EC214" s="2" t="str">
        <f>HYPERLINK(".\links\gpi\AGAP028683-PA-gpi.txt","Y-NoSP")</f>
        <v>Y-NoSP</v>
      </c>
      <c r="ED214" s="2">
        <v>0.31</v>
      </c>
      <c r="EF214" s="2">
        <v>19</v>
      </c>
      <c r="EG214" s="2" t="str">
        <f>HYPERLINK(".\links\pep\AGAP028683-PA-sulf.txt","1")</f>
        <v>1</v>
      </c>
      <c r="EH214" s="2" t="s">
        <v>102</v>
      </c>
      <c r="EI214" s="2">
        <v>11.714285714285699</v>
      </c>
      <c r="EJ214" s="2">
        <v>4.28571428571429</v>
      </c>
      <c r="EK214" s="2">
        <v>2.8571428571428599</v>
      </c>
      <c r="EL214" s="2">
        <v>7.1428571428571397</v>
      </c>
      <c r="EM214" s="2" t="s">
        <v>102</v>
      </c>
      <c r="EN214" s="2">
        <v>2</v>
      </c>
      <c r="EO214" s="2">
        <v>2</v>
      </c>
      <c r="EP214" s="2" t="s">
        <v>102</v>
      </c>
      <c r="EQ214" s="2" t="s">
        <v>102</v>
      </c>
      <c r="ER214" s="2" t="s">
        <v>102</v>
      </c>
      <c r="ES214" s="2" t="s">
        <v>102</v>
      </c>
      <c r="ET214" s="2" t="str">
        <f>HYPERLINK(".\links\REFSEQ-INVERTEBRATE\AGAP028683-PA-REFSEQ-INVERTEBRATE.txt","AGAP012753-PA, partial")</f>
        <v>AGAP012753-PA, partial</v>
      </c>
      <c r="EU214" s="2" t="str">
        <f>HYPERLINK("http://www.ncbi.nlm.nih.gov/sutils/blink.cgi?pid=XP_560562.1","7E-95")</f>
        <v>7E-95</v>
      </c>
      <c r="EV214" s="2" t="str">
        <f>HYPERLINK("http://www.ncbi.nlm.nih.gov/protein/XP_560562.1","XP_560562.1")</f>
        <v>XP_560562.1</v>
      </c>
      <c r="EW214" s="2">
        <v>98</v>
      </c>
      <c r="EX214" s="2">
        <v>99</v>
      </c>
      <c r="EY214" s="2">
        <v>100</v>
      </c>
      <c r="EZ214" s="2" t="s">
        <v>105</v>
      </c>
    </row>
    <row r="215" spans="1:156" x14ac:dyDescent="0.25">
      <c r="A215" s="2" t="s">
        <v>2407</v>
      </c>
      <c r="B215" s="2">
        <v>0.31015032744313098</v>
      </c>
      <c r="C215" s="2">
        <f t="shared" si="3"/>
        <v>1.239836883025635</v>
      </c>
      <c r="D215" s="2">
        <v>5.50098289569664</v>
      </c>
      <c r="E215" s="2">
        <v>10.350276864883099</v>
      </c>
      <c r="F215" s="2">
        <v>1.29455267379989E-3</v>
      </c>
      <c r="G215" s="2">
        <v>3.6347055841304703E-2</v>
      </c>
      <c r="H215" s="2" t="s">
        <v>2408</v>
      </c>
      <c r="I215" s="2" t="s">
        <v>94</v>
      </c>
      <c r="J215" s="2" t="str">
        <f>HYPERLINK("https://vectorbase.org/vectorbase/app/record/gene/AGAP001484","AGAP001484-RA")</f>
        <v>AGAP001484-RA</v>
      </c>
      <c r="K215" s="2" t="str">
        <f>HYPERLINK(".\links\pep\AGAP001484-PA-pep.txt","AGAP001484-PA")</f>
        <v>AGAP001484-PA</v>
      </c>
      <c r="L215" s="12" t="s">
        <v>95</v>
      </c>
      <c r="M215" s="2">
        <v>414</v>
      </c>
      <c r="N215" s="2">
        <v>0</v>
      </c>
      <c r="O215" s="2">
        <v>0</v>
      </c>
      <c r="P215" s="2" t="s">
        <v>2409</v>
      </c>
      <c r="Q215" s="9" t="s">
        <v>2410</v>
      </c>
      <c r="R215" s="2" t="s">
        <v>771</v>
      </c>
      <c r="S215" s="2" t="str">
        <f>HYPERLINK(".\links\KOG\AGAP001484-PA-KOG.txt","KOG")</f>
        <v>KOG</v>
      </c>
      <c r="T215" s="2">
        <v>3.0000000000000001E-58</v>
      </c>
      <c r="U215" s="2">
        <v>101.3</v>
      </c>
      <c r="V215" s="2" t="s">
        <v>2411</v>
      </c>
      <c r="W215" s="10" t="s">
        <v>2412</v>
      </c>
      <c r="X215" s="2" t="s">
        <v>771</v>
      </c>
      <c r="Y215" s="2" t="str">
        <f>HYPERLINK(".\links\CDD\AGAP001484-PA-CDD.txt","CDD")</f>
        <v>CDD</v>
      </c>
      <c r="Z215" s="2">
        <v>0</v>
      </c>
      <c r="AA215" s="2">
        <v>100</v>
      </c>
      <c r="AB215" s="13" t="str">
        <f>HYPERLINK(".\links\pep\AGAP001484-PA-sulf.txt","2")</f>
        <v>2</v>
      </c>
      <c r="AC215" s="13" t="str">
        <f>HYPERLINK(".\links\Sigp\AGAP001484-PA-SigP.txt","CYT")</f>
        <v>CYT</v>
      </c>
      <c r="AD215" s="2" t="s">
        <v>102</v>
      </c>
      <c r="AE215" s="2">
        <v>46.805999999999997</v>
      </c>
      <c r="AF215" s="2">
        <v>8</v>
      </c>
      <c r="AG215" s="2" t="s">
        <v>102</v>
      </c>
      <c r="AH215" s="2" t="s">
        <v>102</v>
      </c>
      <c r="AI215" s="2" t="s">
        <v>934</v>
      </c>
      <c r="AJ215" s="13">
        <v>0</v>
      </c>
      <c r="AK215" s="2" t="s">
        <v>102</v>
      </c>
      <c r="AL215" s="2" t="s">
        <v>102</v>
      </c>
      <c r="AM215" s="2" t="s">
        <v>102</v>
      </c>
      <c r="AN215" s="13" t="str">
        <f>HYPERLINK(".\links\gpi\AGAP001484-PA-gpi.txt","N")</f>
        <v>N</v>
      </c>
      <c r="AO215" s="14" t="str">
        <f>HYPERLINK(".\links\netoglyc\AGAP001484-PA-netoglyc.txt","0")</f>
        <v>0</v>
      </c>
      <c r="AP215" s="13">
        <v>13.5</v>
      </c>
      <c r="AQ215" s="2">
        <v>5.6</v>
      </c>
      <c r="AR215" s="2">
        <v>4.8</v>
      </c>
      <c r="AS215" s="2" t="s">
        <v>104</v>
      </c>
      <c r="AT215" s="9" t="str">
        <f>HYPERLINK(".\links\NR-LIGHT\AGAP001484-PA-NR-LIGHT.txt","AGAP001484-PA")</f>
        <v>AGAP001484-PA</v>
      </c>
      <c r="AU215" s="2" t="str">
        <f>HYPERLINK("http://www.ncbi.nlm.nih.gov/sutils/blink.cgi?pid=XP_321638.4","0.0")</f>
        <v>0.0</v>
      </c>
      <c r="AV215" s="2" t="str">
        <f>HYPERLINK("http://www.ncbi.nlm.nih.gov/protein/XP_321638.4","XP_321638.4")</f>
        <v>XP_321638.4</v>
      </c>
      <c r="AW215" s="2">
        <v>100</v>
      </c>
      <c r="AX215" s="2">
        <v>100</v>
      </c>
      <c r="AY215" s="2">
        <v>100</v>
      </c>
      <c r="AZ215" s="2" t="s">
        <v>105</v>
      </c>
      <c r="BA215" s="9" t="str">
        <f>HYPERLINK(".\links\REFSEQ-INVERTEBRATE\AGAP001484-PA-REFSEQ-INVERTEBRATE.txt","AGAP001484-PA")</f>
        <v>AGAP001484-PA</v>
      </c>
      <c r="BB215" s="2" t="str">
        <f>HYPERLINK("http://www.ncbi.nlm.nih.gov/sutils/blink.cgi?pid=XP_321638.4","0.0")</f>
        <v>0.0</v>
      </c>
      <c r="BC215" s="2" t="str">
        <f>HYPERLINK("http://www.ncbi.nlm.nih.gov/protein/XP_321638.4","XP_321638.4")</f>
        <v>XP_321638.4</v>
      </c>
      <c r="BD215" s="2">
        <v>100</v>
      </c>
      <c r="BE215" s="2">
        <v>100</v>
      </c>
      <c r="BF215" s="2">
        <v>100</v>
      </c>
      <c r="BG215" s="2" t="s">
        <v>105</v>
      </c>
      <c r="BH215" s="9" t="str">
        <f>HYPERLINK(".\links\REFSEQ-PROTOZOA\AGAP001484-PA-REFSEQ-PROTOZOA.txt","AP-3 complex subunit mu-1")</f>
        <v>AP-3 complex subunit mu-1</v>
      </c>
      <c r="BI215" s="2" t="str">
        <f>HYPERLINK("http://www.ncbi.nlm.nih.gov/sutils/blink.cgi?pid=XP_004347850.1","1E-118")</f>
        <v>1E-118</v>
      </c>
      <c r="BJ215" s="2" t="str">
        <f>HYPERLINK("http://www.ncbi.nlm.nih.gov/protein/XP_004347850.1","XP_004347850.1")</f>
        <v>XP_004347850.1</v>
      </c>
      <c r="BK215" s="2">
        <v>50</v>
      </c>
      <c r="BL215" s="2">
        <v>69</v>
      </c>
      <c r="BM215" s="2">
        <v>100</v>
      </c>
      <c r="BN215" s="2" t="s">
        <v>106</v>
      </c>
      <c r="BO215" s="9" t="str">
        <f>HYPERLINK(".\links\SWISSP\AGAP001484-PA-SWISSP.txt","AP-3 complex subunit mu-2")</f>
        <v>AP-3 complex subunit mu-2</v>
      </c>
      <c r="BP215" s="2" t="str">
        <f>HYPERLINK("http://www.uniprot.org/uniprot/P53677","1E-167")</f>
        <v>1E-167</v>
      </c>
      <c r="BQ215" s="2" t="str">
        <f>HYPERLINK("http://www.uniprot.org/uniprot/P53677#expression","P53677")</f>
        <v>P53677</v>
      </c>
      <c r="BR215" s="2">
        <v>66</v>
      </c>
      <c r="BS215" s="2">
        <v>81</v>
      </c>
      <c r="BT215" s="2">
        <v>100</v>
      </c>
      <c r="BU215" s="2" t="s">
        <v>127</v>
      </c>
      <c r="BV215" s="9" t="str">
        <f>HYPERLINK(".\links\FLYBASE\AGAP001484-PA-FLYBASE.txt","FBpp0304594")</f>
        <v>FBpp0304594</v>
      </c>
      <c r="BW215" s="2" t="str">
        <f>HYPERLINK("http://flybase.org/reports/FBgn0000330#alliance_summary_container","0.0")</f>
        <v>0.0</v>
      </c>
      <c r="BX215" s="2">
        <v>415</v>
      </c>
      <c r="BY215" s="2">
        <v>75</v>
      </c>
      <c r="BZ215" s="2">
        <v>89</v>
      </c>
      <c r="CA215" s="2">
        <v>100</v>
      </c>
      <c r="CB215" s="9" t="str">
        <f>HYPERLINK(".\links\CDD\AGAP001484-PA-CDD.txt","AP-3_Mu3B_Cterm, C-terminal domain of medium Mu3B subunit in neuron-specific adaptor protein (AP) complex AP-3")</f>
        <v>AP-3_Mu3B_Cterm, C-terminal domain of medium Mu3B subunit in neuron-specific adaptor protein (AP) complex AP-3</v>
      </c>
      <c r="CC215" s="15">
        <v>9.9999999999999999E-110</v>
      </c>
      <c r="CD215" s="2">
        <v>99.6</v>
      </c>
      <c r="CE215" s="2" t="s">
        <v>2413</v>
      </c>
      <c r="CF215" s="2" t="s">
        <v>2414</v>
      </c>
      <c r="CG215" s="9" t="str">
        <f>HYPERLINK(".\links\KOG\AGAP001484-PA-KOG.txt","Clathrin-associated protein medium chain")</f>
        <v>Clathrin-associated protein medium chain</v>
      </c>
      <c r="CH215" s="15">
        <v>9.9999999999999995E-163</v>
      </c>
      <c r="CI215" s="2">
        <v>100</v>
      </c>
      <c r="CJ215" s="2" t="s">
        <v>2415</v>
      </c>
      <c r="CK215" s="2" t="s">
        <v>154</v>
      </c>
      <c r="CL215" s="9" t="str">
        <f>HYPERLINK(".\links\PFAM\AGAP001484-PA-PFAM.txt","Adap_comp_sub, Adaptor complexes medium subunit family")</f>
        <v>Adap_comp_sub, Adaptor complexes medium subunit family</v>
      </c>
      <c r="CM215" s="15">
        <v>1.9999999999999999E-82</v>
      </c>
      <c r="CN215" s="2">
        <v>100.8</v>
      </c>
      <c r="CO215" s="2" t="s">
        <v>2416</v>
      </c>
      <c r="CP215" s="9" t="str">
        <f>HYPERLINK(".\links\SMART\AGAP001484-PA-SMART.txt","PAX, Paired Box domain")</f>
        <v>PAX, Paired Box domain</v>
      </c>
      <c r="CQ215" s="15">
        <v>1.3</v>
      </c>
      <c r="CR215" s="2">
        <v>49.6</v>
      </c>
      <c r="CS215" s="2" t="s">
        <v>2417</v>
      </c>
      <c r="CT215" s="2" t="s">
        <v>2411</v>
      </c>
      <c r="CU215" s="2" t="s">
        <v>2411</v>
      </c>
      <c r="CV215" s="2" t="s">
        <v>2411</v>
      </c>
      <c r="CW215" s="2" t="str">
        <f>HYPERLINK(".\links\pep\AGAP001484-PA-pep.txt","AGAP001484-PA")</f>
        <v>AGAP001484-PA</v>
      </c>
      <c r="CX215" s="2" t="s">
        <v>95</v>
      </c>
      <c r="CY215" s="2">
        <v>414</v>
      </c>
      <c r="CZ215" s="2" t="s">
        <v>113</v>
      </c>
      <c r="DA215" s="2" t="s">
        <v>2418</v>
      </c>
      <c r="DB215" s="2">
        <v>0</v>
      </c>
      <c r="DC215" s="2">
        <v>0</v>
      </c>
      <c r="DD215" s="2" t="str">
        <f>HYPERLINK("https://www.kegg.jp/kegg-bin/search_pathway_text?map=aga&amp;keyword=AGAP001484&amp;mode=1&amp;viewImage=true","AGAP001484")</f>
        <v>AGAP001484</v>
      </c>
      <c r="DE215" s="2" t="s">
        <v>2407</v>
      </c>
      <c r="DF215" s="2" t="s">
        <v>2408</v>
      </c>
      <c r="DG215" s="2" t="s">
        <v>94</v>
      </c>
      <c r="DH215" s="2" t="str">
        <f>HYPERLINK("https://vectorbase.org/vectorbase/app/record/gene/AGAP001484","AGAP001484-RA")</f>
        <v>AGAP001484-RA</v>
      </c>
      <c r="DI215" s="2" t="s">
        <v>135</v>
      </c>
      <c r="DJ215" s="2">
        <v>1502</v>
      </c>
      <c r="DK215" s="2" t="str">
        <f>HYPERLINK(".\links\netoglyc\AGAP001484-PA-netoglyc.txt","0")</f>
        <v>0</v>
      </c>
      <c r="DL215" s="2">
        <v>13.5</v>
      </c>
      <c r="DM215" s="2">
        <v>5.6</v>
      </c>
      <c r="DN215" s="2">
        <v>4.8</v>
      </c>
      <c r="DO215" s="2" t="s">
        <v>104</v>
      </c>
      <c r="DP215" s="2" t="s">
        <v>102</v>
      </c>
      <c r="DQ215" s="2" t="str">
        <f>HYPERLINK(".\links\Sigp\AGAP001484-PA-SigP.txt","CYT")</f>
        <v>CYT</v>
      </c>
      <c r="DR215" s="2" t="s">
        <v>102</v>
      </c>
      <c r="DS215" s="2">
        <v>46.805999999999997</v>
      </c>
      <c r="DT215" s="2">
        <v>8</v>
      </c>
      <c r="DU215" s="2" t="s">
        <v>102</v>
      </c>
      <c r="DV215" s="2" t="s">
        <v>102</v>
      </c>
      <c r="DW215" s="2" t="s">
        <v>934</v>
      </c>
      <c r="DX215" s="2">
        <v>414</v>
      </c>
      <c r="DY215" s="12">
        <v>0</v>
      </c>
      <c r="DZ215" s="2" t="s">
        <v>102</v>
      </c>
      <c r="EA215" s="2" t="s">
        <v>102</v>
      </c>
      <c r="EB215" s="2" t="s">
        <v>102</v>
      </c>
      <c r="EC215" s="2" t="str">
        <f>HYPERLINK(".\links\gpi\AGAP001484-PA-gpi.txt","Y-NoSP")</f>
        <v>Y-NoSP</v>
      </c>
      <c r="ED215" s="2">
        <v>0.22</v>
      </c>
      <c r="EF215" s="2">
        <v>9</v>
      </c>
      <c r="EG215" s="2" t="str">
        <f>HYPERLINK(".\links\pep\AGAP001484-PA-sulf.txt","2")</f>
        <v>2</v>
      </c>
      <c r="EH215" s="2" t="s">
        <v>102</v>
      </c>
      <c r="EI215" s="2">
        <v>13.5265700483092</v>
      </c>
      <c r="EJ215" s="2">
        <v>4.8309178743961398</v>
      </c>
      <c r="EK215" s="2">
        <v>5.5555555555555598</v>
      </c>
      <c r="EL215" s="2">
        <v>10.3864734299517</v>
      </c>
      <c r="EM215" s="2" t="s">
        <v>102</v>
      </c>
      <c r="EN215" s="2">
        <v>1</v>
      </c>
      <c r="EO215" s="2">
        <v>1</v>
      </c>
      <c r="EP215" s="2" t="s">
        <v>102</v>
      </c>
      <c r="EQ215" s="2" t="s">
        <v>102</v>
      </c>
      <c r="ER215" s="2" t="s">
        <v>102</v>
      </c>
      <c r="ES215" s="2" t="s">
        <v>102</v>
      </c>
      <c r="ET215" s="2" t="str">
        <f>HYPERLINK(".\links\REFSEQ-INVERTEBRATE\AGAP001484-PA-REFSEQ-INVERTEBRATE.txt","AGAP001484-PA")</f>
        <v>AGAP001484-PA</v>
      </c>
      <c r="EU215" s="2" t="str">
        <f>HYPERLINK("http://www.ncbi.nlm.nih.gov/sutils/blink.cgi?pid=XP_321638.4","0.0")</f>
        <v>0.0</v>
      </c>
      <c r="EV215" s="2" t="str">
        <f>HYPERLINK("http://www.ncbi.nlm.nih.gov/protein/XP_321638.4","XP_321638.4")</f>
        <v>XP_321638.4</v>
      </c>
      <c r="EW215" s="2">
        <v>100</v>
      </c>
      <c r="EX215" s="2">
        <v>100</v>
      </c>
      <c r="EY215" s="2">
        <v>100</v>
      </c>
      <c r="EZ215" s="2" t="s">
        <v>105</v>
      </c>
    </row>
    <row r="216" spans="1:156" x14ac:dyDescent="0.25">
      <c r="A216" s="2" t="s">
        <v>2419</v>
      </c>
      <c r="B216" s="2">
        <v>0.30999897676493599</v>
      </c>
      <c r="C216" s="2">
        <f t="shared" si="3"/>
        <v>1.2397068206735133</v>
      </c>
      <c r="D216" s="2">
        <v>7.78402206902798</v>
      </c>
      <c r="E216" s="2">
        <v>11.2754024058334</v>
      </c>
      <c r="F216" s="2">
        <v>7.85408279197576E-4</v>
      </c>
      <c r="G216" s="2">
        <v>2.9655933300736001E-2</v>
      </c>
      <c r="H216" s="2" t="s">
        <v>2420</v>
      </c>
      <c r="I216" s="2" t="s">
        <v>94</v>
      </c>
      <c r="J216" s="2" t="str">
        <f>HYPERLINK("https://vectorbase.org/vectorbase/app/record/gene/AGAP012523","AGAP012523-RA")</f>
        <v>AGAP012523-RA</v>
      </c>
      <c r="K216" s="2" t="str">
        <f>HYPERLINK(".\links\pep\AGAP012523-PA-pep.txt","AGAP012523-PA")</f>
        <v>AGAP012523-PA</v>
      </c>
      <c r="L216" s="12" t="s">
        <v>95</v>
      </c>
      <c r="M216" s="2">
        <v>788</v>
      </c>
      <c r="N216" s="2">
        <v>0</v>
      </c>
      <c r="O216" s="2">
        <v>4</v>
      </c>
      <c r="P216" s="2" t="s">
        <v>2421</v>
      </c>
      <c r="Q216" s="9" t="s">
        <v>2422</v>
      </c>
      <c r="R216" s="2" t="s">
        <v>420</v>
      </c>
      <c r="S216" s="2" t="str">
        <f>HYPERLINK(".\links\KOG\AGAP012523-PA-KOG.txt","KOG")</f>
        <v>KOG</v>
      </c>
      <c r="T216" s="2">
        <v>0</v>
      </c>
      <c r="U216" s="2">
        <v>57.1</v>
      </c>
      <c r="V216" s="2" t="s">
        <v>2423</v>
      </c>
      <c r="W216" s="10" t="s">
        <v>2424</v>
      </c>
      <c r="X216" s="2" t="s">
        <v>420</v>
      </c>
      <c r="Y216" s="2" t="str">
        <f>HYPERLINK(".\links\CDD\AGAP012523-PA-CDD.txt","CDD")</f>
        <v>CDD</v>
      </c>
      <c r="Z216" s="2">
        <v>0</v>
      </c>
      <c r="AA216" s="2">
        <v>100</v>
      </c>
      <c r="AB216" s="13" t="str">
        <f>HYPERLINK(".\links\pep\AGAP012523-PA-sulf.txt","3")</f>
        <v>3</v>
      </c>
      <c r="AC216" s="13" t="str">
        <f>HYPERLINK(".\links\Sigp\AGAP012523-PA-SigP.txt","CYT")</f>
        <v>CYT</v>
      </c>
      <c r="AD216" s="2" t="s">
        <v>102</v>
      </c>
      <c r="AE216" s="2">
        <v>88.11</v>
      </c>
      <c r="AF216" s="2">
        <v>6.25</v>
      </c>
      <c r="AG216" s="2" t="s">
        <v>102</v>
      </c>
      <c r="AH216" s="2" t="s">
        <v>102</v>
      </c>
      <c r="AI216" s="2" t="s">
        <v>211</v>
      </c>
      <c r="AJ216" s="13">
        <v>0</v>
      </c>
      <c r="AK216" s="2" t="s">
        <v>102</v>
      </c>
      <c r="AL216" s="2" t="s">
        <v>102</v>
      </c>
      <c r="AM216" s="2" t="s">
        <v>102</v>
      </c>
      <c r="AN216" s="13" t="str">
        <f>HYPERLINK(".\links\gpi\AGAP012523-PA-gpi.txt","N")</f>
        <v>N</v>
      </c>
      <c r="AO216" s="14" t="str">
        <f>HYPERLINK(".\links\netoglyc\AGAP012523-PA-netoglyc.txt","0")</f>
        <v>0</v>
      </c>
      <c r="AP216" s="13">
        <v>12.4</v>
      </c>
      <c r="AQ216" s="2">
        <v>6.9</v>
      </c>
      <c r="AR216" s="2">
        <v>6.5</v>
      </c>
      <c r="AS216" s="2" t="s">
        <v>104</v>
      </c>
      <c r="AT216" s="9" t="str">
        <f>HYPERLINK(".\links\NR-LIGHT\AGAP012523-PA-NR-LIGHT.txt","AGAP012523-PA")</f>
        <v>AGAP012523-PA</v>
      </c>
      <c r="AU216" s="2" t="str">
        <f>HYPERLINK("http://www.ncbi.nlm.nih.gov/sutils/blink.cgi?pid=XP_306246.4","0.0")</f>
        <v>0.0</v>
      </c>
      <c r="AV216" s="2" t="str">
        <f>HYPERLINK("http://www.ncbi.nlm.nih.gov/protein/XP_306246.4","XP_306246.4")</f>
        <v>XP_306246.4</v>
      </c>
      <c r="AW216" s="2">
        <v>100</v>
      </c>
      <c r="AX216" s="2">
        <v>100</v>
      </c>
      <c r="AY216" s="2">
        <v>100</v>
      </c>
      <c r="AZ216" s="2" t="s">
        <v>105</v>
      </c>
      <c r="BA216" s="9" t="str">
        <f>HYPERLINK(".\links\REFSEQ-INVERTEBRATE\AGAP012523-PA-REFSEQ-INVERTEBRATE.txt","AGAP012523-PA")</f>
        <v>AGAP012523-PA</v>
      </c>
      <c r="BB216" s="2" t="str">
        <f>HYPERLINK("http://www.ncbi.nlm.nih.gov/sutils/blink.cgi?pid=XP_306246.4","0.0")</f>
        <v>0.0</v>
      </c>
      <c r="BC216" s="2" t="str">
        <f>HYPERLINK("http://www.ncbi.nlm.nih.gov/protein/XP_306246.4","XP_306246.4")</f>
        <v>XP_306246.4</v>
      </c>
      <c r="BD216" s="2">
        <v>100</v>
      </c>
      <c r="BE216" s="2">
        <v>100</v>
      </c>
      <c r="BF216" s="2">
        <v>100</v>
      </c>
      <c r="BG216" s="2" t="s">
        <v>105</v>
      </c>
      <c r="BH216" s="9" t="str">
        <f>HYPERLINK(".\links\REFSEQ-PROTOZOA\AGAP012523-PA-REFSEQ-PROTOZOA.txt","DEAD/DEAH box helicase")</f>
        <v>DEAD/DEAH box helicase</v>
      </c>
      <c r="BI216" s="2" t="str">
        <f>HYPERLINK("http://www.ncbi.nlm.nih.gov/sutils/blink.cgi?pid=XP_004364695.1","0.0")</f>
        <v>0.0</v>
      </c>
      <c r="BJ216" s="2" t="str">
        <f>HYPERLINK("http://www.ncbi.nlm.nih.gov/protein/XP_004364695.1","XP_004364695.1")</f>
        <v>XP_004364695.1</v>
      </c>
      <c r="BK216" s="2">
        <v>58</v>
      </c>
      <c r="BL216" s="2">
        <v>72</v>
      </c>
      <c r="BM216" s="2">
        <v>65</v>
      </c>
      <c r="BN216" s="2" t="s">
        <v>106</v>
      </c>
      <c r="BO216" s="9" t="str">
        <f>HYPERLINK(".\links\SWISSP\AGAP012523-PA-SWISSP.txt","ATP-dependent RNA helicase DDX42")</f>
        <v>ATP-dependent RNA helicase DDX42</v>
      </c>
      <c r="BP216" s="2" t="str">
        <f>HYPERLINK("http://www.uniprot.org/uniprot/Q5R7D1","0.0")</f>
        <v>0.0</v>
      </c>
      <c r="BQ216" s="2" t="str">
        <f>HYPERLINK("http://www.uniprot.org/uniprot/Q5R7D1#expression","Q5R7D1")</f>
        <v>Q5R7D1</v>
      </c>
      <c r="BR216" s="2">
        <v>59</v>
      </c>
      <c r="BS216" s="2">
        <v>75</v>
      </c>
      <c r="BT216" s="2">
        <v>71</v>
      </c>
      <c r="BU216" s="2" t="s">
        <v>363</v>
      </c>
      <c r="BV216" s="9" t="str">
        <f>HYPERLINK(".\links\FLYBASE\AGAP012523-PA-FLYBASE.txt","FBpp0076003")</f>
        <v>FBpp0076003</v>
      </c>
      <c r="BW216" s="2" t="str">
        <f>HYPERLINK("http://flybase.org/reports/FBgn0036104#alliance_summary_container","0.0")</f>
        <v>0.0</v>
      </c>
      <c r="BX216" s="2">
        <v>791</v>
      </c>
      <c r="BY216" s="2">
        <v>64</v>
      </c>
      <c r="BZ216" s="2">
        <v>77</v>
      </c>
      <c r="CA216" s="2">
        <v>99</v>
      </c>
      <c r="CB216" s="9" t="str">
        <f>HYPERLINK(".\links\CDD\AGAP012523-PA-CDD.txt","PTZ00110, helicase")</f>
        <v>PTZ00110, helicase</v>
      </c>
      <c r="CC216" s="15">
        <v>1.0000000000000001E-123</v>
      </c>
      <c r="CD216" s="2">
        <v>87.3</v>
      </c>
      <c r="CE216" s="2" t="s">
        <v>2425</v>
      </c>
      <c r="CF216" s="2" t="s">
        <v>2426</v>
      </c>
      <c r="CG216" s="9" t="str">
        <f>HYPERLINK(".\links\KOG\AGAP012523-PA-KOG.txt","ATP-dependent RNA helicase")</f>
        <v>ATP-dependent RNA helicase</v>
      </c>
      <c r="CH216" s="15">
        <v>0</v>
      </c>
      <c r="CI216" s="2">
        <v>103.8</v>
      </c>
      <c r="CJ216" s="2" t="s">
        <v>2427</v>
      </c>
      <c r="CK216" s="2" t="s">
        <v>722</v>
      </c>
      <c r="CL216" s="9" t="str">
        <f>HYPERLINK(".\links\PFAM\AGAP012523-PA-PFAM.txt","DEAD, DEAD/DEAH box helicase")</f>
        <v>DEAD, DEAD/DEAH box helicase</v>
      </c>
      <c r="CM216" s="15">
        <v>2.0000000000000001E-53</v>
      </c>
      <c r="CN216" s="2">
        <v>104.2</v>
      </c>
      <c r="CO216" s="2" t="s">
        <v>723</v>
      </c>
      <c r="CP216" s="9" t="str">
        <f>HYPERLINK(".\links\SMART\AGAP012523-PA-SMART.txt","DEXDc, DEAD-like helicases superfamily")</f>
        <v>DEXDc, DEAD-like helicases superfamily</v>
      </c>
      <c r="CQ216" s="15">
        <v>2.9999999999999999E-50</v>
      </c>
      <c r="CR216" s="2">
        <v>104</v>
      </c>
      <c r="CS216" s="2" t="s">
        <v>429</v>
      </c>
      <c r="CT216" s="2" t="s">
        <v>2423</v>
      </c>
      <c r="CU216" s="2" t="s">
        <v>2423</v>
      </c>
      <c r="CV216" s="2" t="s">
        <v>2423</v>
      </c>
      <c r="CW216" s="2" t="str">
        <f>HYPERLINK(".\links\pep\AGAP012523-PA-pep.txt","AGAP012523-PA")</f>
        <v>AGAP012523-PA</v>
      </c>
      <c r="CX216" s="2" t="s">
        <v>95</v>
      </c>
      <c r="CY216" s="2">
        <v>788</v>
      </c>
      <c r="CZ216" s="2" t="s">
        <v>113</v>
      </c>
      <c r="DA216" s="2" t="s">
        <v>2428</v>
      </c>
      <c r="DB216" s="2">
        <v>0</v>
      </c>
      <c r="DC216" s="2">
        <v>4</v>
      </c>
      <c r="DD216" s="2" t="str">
        <f>HYPERLINK("https://www.kegg.jp/kegg-bin/search_pathway_text?map=aga&amp;keyword=AGAP012523&amp;mode=1&amp;viewImage=true","AGAP012523")</f>
        <v>AGAP012523</v>
      </c>
      <c r="DE216" s="2" t="s">
        <v>2419</v>
      </c>
      <c r="DF216" s="2" t="s">
        <v>2420</v>
      </c>
      <c r="DG216" s="2" t="s">
        <v>94</v>
      </c>
      <c r="DH216" s="2" t="str">
        <f>HYPERLINK("https://vectorbase.org/vectorbase/app/record/gene/AGAP012523","AGAP012523-RA")</f>
        <v>AGAP012523-RA</v>
      </c>
      <c r="DI216" s="2" t="s">
        <v>115</v>
      </c>
      <c r="DJ216" s="2">
        <v>2594</v>
      </c>
      <c r="DK216" s="2" t="str">
        <f>HYPERLINK(".\links\netoglyc\AGAP012523-PA-netoglyc.txt","0")</f>
        <v>0</v>
      </c>
      <c r="DL216" s="2">
        <v>12.4</v>
      </c>
      <c r="DM216" s="2">
        <v>6.9</v>
      </c>
      <c r="DN216" s="2">
        <v>6.5</v>
      </c>
      <c r="DO216" s="2" t="s">
        <v>104</v>
      </c>
      <c r="DP216" s="2" t="s">
        <v>2429</v>
      </c>
      <c r="DQ216" s="2" t="str">
        <f>HYPERLINK(".\links\Sigp\AGAP012523-PA-SigP.txt","CYT")</f>
        <v>CYT</v>
      </c>
      <c r="DR216" s="2" t="s">
        <v>102</v>
      </c>
      <c r="DS216" s="2">
        <v>88.11</v>
      </c>
      <c r="DT216" s="2">
        <v>6.25</v>
      </c>
      <c r="DU216" s="2" t="s">
        <v>102</v>
      </c>
      <c r="DV216" s="2" t="s">
        <v>102</v>
      </c>
      <c r="DW216" s="2" t="s">
        <v>211</v>
      </c>
      <c r="DX216" s="2">
        <v>788</v>
      </c>
      <c r="DY216" s="12">
        <v>0</v>
      </c>
      <c r="DZ216" s="2" t="s">
        <v>102</v>
      </c>
      <c r="EA216" s="2" t="s">
        <v>102</v>
      </c>
      <c r="EB216" s="2" t="s">
        <v>102</v>
      </c>
      <c r="EC216" s="2" t="str">
        <f>HYPERLINK(".\links\gpi\AGAP012523-PA-gpi.txt","Y-NoSP")</f>
        <v>Y-NoSP</v>
      </c>
      <c r="ED216" s="2">
        <v>0.15</v>
      </c>
      <c r="EF216" s="2">
        <v>5</v>
      </c>
      <c r="EG216" s="2" t="str">
        <f>HYPERLINK(".\links\pep\AGAP012523-PA-sulf.txt","3")</f>
        <v>3</v>
      </c>
      <c r="EH216" s="2" t="s">
        <v>102</v>
      </c>
      <c r="EI216" s="2">
        <v>12.4365482233503</v>
      </c>
      <c r="EJ216" s="2">
        <v>6.4720812182741101</v>
      </c>
      <c r="EK216" s="2">
        <v>6.8527918781725896</v>
      </c>
      <c r="EL216" s="2">
        <v>13.3248730964467</v>
      </c>
      <c r="EM216" s="2">
        <v>2</v>
      </c>
      <c r="EN216" s="2">
        <v>3</v>
      </c>
      <c r="EO216" s="2">
        <v>3</v>
      </c>
      <c r="EP216" s="2" t="s">
        <v>102</v>
      </c>
      <c r="EQ216" s="2" t="s">
        <v>102</v>
      </c>
      <c r="ER216" s="2" t="s">
        <v>102</v>
      </c>
      <c r="ES216" s="2" t="s">
        <v>102</v>
      </c>
      <c r="ET216" s="2" t="str">
        <f>HYPERLINK(".\links\REFSEQ-INVERTEBRATE\AGAP012523-PA-REFSEQ-INVERTEBRATE.txt","AGAP012523-PA")</f>
        <v>AGAP012523-PA</v>
      </c>
      <c r="EU216" s="2" t="str">
        <f>HYPERLINK("http://www.ncbi.nlm.nih.gov/sutils/blink.cgi?pid=XP_306246.4","0.0")</f>
        <v>0.0</v>
      </c>
      <c r="EV216" s="2" t="str">
        <f>HYPERLINK("http://www.ncbi.nlm.nih.gov/protein/XP_306246.4","XP_306246.4")</f>
        <v>XP_306246.4</v>
      </c>
      <c r="EW216" s="2">
        <v>100</v>
      </c>
      <c r="EX216" s="2">
        <v>100</v>
      </c>
      <c r="EY216" s="2">
        <v>100</v>
      </c>
      <c r="EZ216" s="2" t="s">
        <v>105</v>
      </c>
    </row>
    <row r="217" spans="1:156" x14ac:dyDescent="0.25">
      <c r="A217" s="2" t="s">
        <v>2430</v>
      </c>
      <c r="B217" s="2">
        <v>0.30975598641384999</v>
      </c>
      <c r="C217" s="2">
        <f t="shared" si="3"/>
        <v>1.2394980368209878</v>
      </c>
      <c r="D217" s="2">
        <v>6.3183502065627204</v>
      </c>
      <c r="E217" s="2">
        <v>11.8508457319414</v>
      </c>
      <c r="F217" s="2">
        <v>5.7635164513809704E-4</v>
      </c>
      <c r="G217" s="2">
        <v>2.6919172809649099E-2</v>
      </c>
      <c r="H217" s="2" t="s">
        <v>2431</v>
      </c>
      <c r="I217" s="2" t="s">
        <v>94</v>
      </c>
      <c r="J217" s="2" t="str">
        <f>HYPERLINK("https://vectorbase.org/vectorbase/app/record/gene/AGAP010074","AGAP010074-RA")</f>
        <v>AGAP010074-RA</v>
      </c>
      <c r="K217" s="2" t="str">
        <f>HYPERLINK(".\links\pep\AGAP010074-PA-pep.txt","AGAP010074-PA")</f>
        <v>AGAP010074-PA</v>
      </c>
      <c r="L217" s="12" t="s">
        <v>95</v>
      </c>
      <c r="M217" s="2">
        <v>341</v>
      </c>
      <c r="N217" s="2">
        <v>0</v>
      </c>
      <c r="O217" s="2">
        <v>2</v>
      </c>
      <c r="P217" s="2" t="s">
        <v>2432</v>
      </c>
      <c r="Q217" s="9" t="s">
        <v>2433</v>
      </c>
      <c r="R217" s="2" t="s">
        <v>1079</v>
      </c>
      <c r="S217" s="2" t="str">
        <f>HYPERLINK(".\links\KOG\AGAP010074-PA-KOG.txt","KOG")</f>
        <v>KOG</v>
      </c>
      <c r="T217" s="2">
        <v>6.9999999999999996E-56</v>
      </c>
      <c r="U217" s="2">
        <v>89.7</v>
      </c>
      <c r="V217" s="2" t="s">
        <v>2434</v>
      </c>
      <c r="W217" s="10" t="s">
        <v>2435</v>
      </c>
      <c r="X217" s="2" t="s">
        <v>1079</v>
      </c>
      <c r="Y217" s="2" t="str">
        <f>HYPERLINK(".\links\KOG\AGAP010074-PA-KOG.txt","KOG")</f>
        <v>KOG</v>
      </c>
      <c r="Z217" s="15">
        <v>3E-32</v>
      </c>
      <c r="AA217" s="2">
        <v>88.6</v>
      </c>
      <c r="AB217" s="13" t="s">
        <v>102</v>
      </c>
      <c r="AC217" s="13" t="str">
        <f>HYPERLINK(".\links\Sigp\AGAP010074-PA-SigP.txt","CYT")</f>
        <v>CYT</v>
      </c>
      <c r="AD217" s="2" t="s">
        <v>102</v>
      </c>
      <c r="AE217" s="2">
        <v>37.061999999999998</v>
      </c>
      <c r="AF217" s="2">
        <v>9.08</v>
      </c>
      <c r="AG217" s="2" t="s">
        <v>102</v>
      </c>
      <c r="AH217" s="2" t="s">
        <v>102</v>
      </c>
      <c r="AI217" s="2" t="s">
        <v>2436</v>
      </c>
      <c r="AJ217" s="13" t="str">
        <f>HYPERLINK(".\links\tmhmm\AGAP010074-PA-tmhmm.txt","3")</f>
        <v>3</v>
      </c>
      <c r="AK217" s="2">
        <v>17.600000000000001</v>
      </c>
      <c r="AL217" s="2">
        <v>32</v>
      </c>
      <c r="AM217" s="2">
        <v>50.4</v>
      </c>
      <c r="AN217" s="13" t="str">
        <f>HYPERLINK(".\links\gpi\AGAP010074-PA-gpi.txt","N")</f>
        <v>N</v>
      </c>
      <c r="AO217" s="14" t="str">
        <f>HYPERLINK(".\links\netoglyc\AGAP010074-PA-netoglyc.txt","2")</f>
        <v>2</v>
      </c>
      <c r="AP217" s="13">
        <v>14.7</v>
      </c>
      <c r="AQ217" s="2">
        <v>10.9</v>
      </c>
      <c r="AR217" s="2">
        <v>5.6</v>
      </c>
      <c r="AS217" s="2">
        <v>3.5</v>
      </c>
      <c r="AT217" s="9" t="str">
        <f>HYPERLINK(".\links\NR-LIGHT\AGAP010074-PA-NR-LIGHT.txt","AGAP010074-PA")</f>
        <v>AGAP010074-PA</v>
      </c>
      <c r="AU217" s="2" t="str">
        <f>HYPERLINK("http://www.ncbi.nlm.nih.gov/sutils/blink.cgi?pid=XP_319231.4","0.0")</f>
        <v>0.0</v>
      </c>
      <c r="AV217" s="2" t="str">
        <f>HYPERLINK("http://www.ncbi.nlm.nih.gov/protein/XP_319231.4","XP_319231.4")</f>
        <v>XP_319231.4</v>
      </c>
      <c r="AW217" s="2">
        <v>99</v>
      </c>
      <c r="AX217" s="2">
        <v>99</v>
      </c>
      <c r="AY217" s="2">
        <v>100</v>
      </c>
      <c r="AZ217" s="2" t="s">
        <v>105</v>
      </c>
      <c r="BA217" s="9" t="str">
        <f>HYPERLINK(".\links\REFSEQ-INVERTEBRATE\AGAP010074-PA-REFSEQ-INVERTEBRATE.txt","AGAP010074-PA")</f>
        <v>AGAP010074-PA</v>
      </c>
      <c r="BB217" s="2" t="str">
        <f>HYPERLINK("http://www.ncbi.nlm.nih.gov/sutils/blink.cgi?pid=XP_319231.4","0.0")</f>
        <v>0.0</v>
      </c>
      <c r="BC217" s="2" t="str">
        <f>HYPERLINK("http://www.ncbi.nlm.nih.gov/protein/XP_319231.4","XP_319231.4")</f>
        <v>XP_319231.4</v>
      </c>
      <c r="BD217" s="2">
        <v>99</v>
      </c>
      <c r="BE217" s="2">
        <v>99</v>
      </c>
      <c r="BF217" s="2">
        <v>100</v>
      </c>
      <c r="BG217" s="2" t="s">
        <v>105</v>
      </c>
      <c r="BH217" s="9" t="str">
        <f>HYPERLINK(".\links\REFSEQ-PROTOZOA\AGAP010074-PA-REFSEQ-PROTOZOA.txt","peroxisome biogenesis factor 13")</f>
        <v>peroxisome biogenesis factor 13</v>
      </c>
      <c r="BI217" s="2" t="str">
        <f>HYPERLINK("http://www.ncbi.nlm.nih.gov/sutils/blink.cgi?pid=XP_004346731.2","1E-026")</f>
        <v>1E-026</v>
      </c>
      <c r="BJ217" s="2" t="str">
        <f>HYPERLINK("http://www.ncbi.nlm.nih.gov/protein/XP_004346731.2","XP_004346731.2")</f>
        <v>XP_004346731.2</v>
      </c>
      <c r="BK217" s="2">
        <v>30</v>
      </c>
      <c r="BL217" s="2">
        <v>42</v>
      </c>
      <c r="BM217" s="2">
        <v>76</v>
      </c>
      <c r="BN217" s="2" t="s">
        <v>106</v>
      </c>
      <c r="BO217" s="9" t="str">
        <f>HYPERLINK(".\links\SWISSP\AGAP010074-PA-SWISSP.txt","Probable peroxisomal membrane protein PEX13")</f>
        <v>Probable peroxisomal membrane protein PEX13</v>
      </c>
      <c r="BP217" s="2" t="str">
        <f>HYPERLINK("http://www.uniprot.org/uniprot/Q19951","2E-036")</f>
        <v>2E-036</v>
      </c>
      <c r="BQ217" s="2" t="str">
        <f>HYPERLINK("http://www.uniprot.org/uniprot/Q19951#expression","Q19951")</f>
        <v>Q19951</v>
      </c>
      <c r="BR217" s="2">
        <v>36</v>
      </c>
      <c r="BS217" s="2">
        <v>49</v>
      </c>
      <c r="BT217" s="2">
        <v>98</v>
      </c>
      <c r="BU217" s="2" t="s">
        <v>1445</v>
      </c>
      <c r="BV217" s="9" t="str">
        <f>HYPERLINK(".\links\FLYBASE\AGAP010074-PA-FLYBASE.txt","FBpp0086874")</f>
        <v>FBpp0086874</v>
      </c>
      <c r="BW217" s="2" t="str">
        <f>HYPERLINK("http://flybase.org/reports/FBgn0033812#alliance_summary_container","3E-62")</f>
        <v>3E-62</v>
      </c>
      <c r="BX217" s="2">
        <v>440</v>
      </c>
      <c r="BY217" s="2">
        <v>45</v>
      </c>
      <c r="BZ217" s="2">
        <v>65</v>
      </c>
      <c r="CA217" s="2">
        <v>56</v>
      </c>
      <c r="CB217" s="9" t="str">
        <f>HYPERLINK(".\links\CDD\AGAP010074-PA-CDD.txt","Peroxin-13_N, Peroxin 13, N-terminal region")</f>
        <v>Peroxin-13_N, Peroxin 13, N-terminal region</v>
      </c>
      <c r="CC217" s="15">
        <v>2.0000000000000001E-37</v>
      </c>
      <c r="CD217" s="2">
        <v>100.7</v>
      </c>
      <c r="CE217" s="2" t="s">
        <v>2437</v>
      </c>
      <c r="CF217" s="2" t="s">
        <v>2438</v>
      </c>
      <c r="CG217" s="9" t="str">
        <f>HYPERLINK(".\links\KOG\AGAP010074-PA-KOG.txt","Peroxisomal biogenesis protein peroxin")</f>
        <v>Peroxisomal biogenesis protein peroxin</v>
      </c>
      <c r="CH217" s="15">
        <v>6.9999999999999996E-56</v>
      </c>
      <c r="CI217" s="2">
        <v>89.8</v>
      </c>
      <c r="CJ217" s="2" t="s">
        <v>2439</v>
      </c>
      <c r="CK217" s="2" t="s">
        <v>154</v>
      </c>
      <c r="CL217" s="9" t="str">
        <f>HYPERLINK(".\links\PFAM\AGAP010074-PA-PFAM.txt","Peroxin-13_N, Peroxin 13, N-terminal region")</f>
        <v>Peroxin-13_N, Peroxin 13, N-terminal region</v>
      </c>
      <c r="CM217" s="15">
        <v>5.0000000000000003E-38</v>
      </c>
      <c r="CN217" s="2">
        <v>100.7</v>
      </c>
      <c r="CO217" s="2" t="s">
        <v>2437</v>
      </c>
      <c r="CP217" s="9" t="str">
        <f>HYPERLINK(".\links\SMART\AGAP010074-PA-SMART.txt","SH3, Src homology 3 domains")</f>
        <v>SH3, Src homology 3 domains</v>
      </c>
      <c r="CQ217" s="15">
        <v>1.9999999999999999E-6</v>
      </c>
      <c r="CR217" s="2">
        <v>114.3</v>
      </c>
      <c r="CS217" s="2" t="s">
        <v>2440</v>
      </c>
      <c r="CT217" s="2" t="s">
        <v>2434</v>
      </c>
      <c r="CU217" s="2" t="s">
        <v>2434</v>
      </c>
      <c r="CV217" s="2" t="s">
        <v>2434</v>
      </c>
      <c r="CW217" s="2" t="str">
        <f>HYPERLINK(".\links\pep\AGAP010074-PA-pep.txt","AGAP010074-PA")</f>
        <v>AGAP010074-PA</v>
      </c>
      <c r="CX217" s="2" t="s">
        <v>95</v>
      </c>
      <c r="CY217" s="2">
        <v>341</v>
      </c>
      <c r="CZ217" s="2" t="s">
        <v>113</v>
      </c>
      <c r="DA217" s="2" t="s">
        <v>2441</v>
      </c>
      <c r="DB217" s="2">
        <v>0</v>
      </c>
      <c r="DC217" s="2">
        <v>2</v>
      </c>
      <c r="DD217" s="2" t="str">
        <f>HYPERLINK("https://www.kegg.jp/kegg-bin/search_pathway_text?map=aga&amp;keyword=AGAP010074&amp;mode=1&amp;viewImage=true","AGAP010074")</f>
        <v>AGAP010074</v>
      </c>
      <c r="DE217" s="2" t="s">
        <v>2430</v>
      </c>
      <c r="DF217" s="2" t="s">
        <v>2431</v>
      </c>
      <c r="DG217" s="2" t="s">
        <v>94</v>
      </c>
      <c r="DH217" s="2" t="str">
        <f>HYPERLINK("https://vectorbase.org/vectorbase/app/record/gene/AGAP010074","AGAP010074-RA")</f>
        <v>AGAP010074-RA</v>
      </c>
      <c r="DI217" s="2" t="s">
        <v>118</v>
      </c>
      <c r="DJ217" s="2">
        <v>1323</v>
      </c>
      <c r="DK217" s="2" t="str">
        <f>HYPERLINK(".\links\netoglyc\AGAP010074-PA-netoglyc.txt","2")</f>
        <v>2</v>
      </c>
      <c r="DL217" s="2">
        <v>14.7</v>
      </c>
      <c r="DM217" s="2">
        <v>10.9</v>
      </c>
      <c r="DN217" s="2">
        <v>5.6</v>
      </c>
      <c r="DO217" s="2">
        <v>3.5</v>
      </c>
      <c r="DP217" s="2" t="s">
        <v>102</v>
      </c>
      <c r="DQ217" s="2" t="str">
        <f>HYPERLINK(".\links\Sigp\AGAP010074-PA-SigP.txt","CYT")</f>
        <v>CYT</v>
      </c>
      <c r="DR217" s="2" t="s">
        <v>102</v>
      </c>
      <c r="DS217" s="2">
        <v>37.061999999999998</v>
      </c>
      <c r="DT217" s="2">
        <v>9.08</v>
      </c>
      <c r="DU217" s="2" t="s">
        <v>102</v>
      </c>
      <c r="DV217" s="2" t="s">
        <v>102</v>
      </c>
      <c r="DW217" s="2" t="s">
        <v>2436</v>
      </c>
      <c r="DX217" s="2">
        <v>341</v>
      </c>
      <c r="DY217" s="12" t="str">
        <f>HYPERLINK(".\links\tmhmm\AGAP010074-PA-tmhmm.txt","3")</f>
        <v>3</v>
      </c>
      <c r="DZ217" s="2">
        <v>17.600000000000001</v>
      </c>
      <c r="EA217" s="2">
        <v>32</v>
      </c>
      <c r="EB217" s="2">
        <v>50.4</v>
      </c>
      <c r="EC217" s="2" t="str">
        <f>HYPERLINK(".\links\gpi\AGAP010074-PA-gpi.txt","Y-NoSP")</f>
        <v>Y-NoSP</v>
      </c>
      <c r="ED217" s="2">
        <v>0.28999999999999998</v>
      </c>
      <c r="EF217" s="2">
        <v>0</v>
      </c>
      <c r="EG217" s="2" t="s">
        <v>102</v>
      </c>
      <c r="EH217" s="2" t="s">
        <v>102</v>
      </c>
      <c r="EI217" s="2">
        <v>14.662756598240501</v>
      </c>
      <c r="EJ217" s="2">
        <v>5.5718475073313796</v>
      </c>
      <c r="EK217" s="2">
        <v>10.8504398826979</v>
      </c>
      <c r="EL217" s="2">
        <v>16.4222873900293</v>
      </c>
      <c r="EM217" s="2" t="s">
        <v>102</v>
      </c>
      <c r="EN217" s="2">
        <v>1</v>
      </c>
      <c r="EO217" s="2">
        <v>1</v>
      </c>
      <c r="EP217" s="2" t="s">
        <v>102</v>
      </c>
      <c r="EQ217" s="2" t="s">
        <v>102</v>
      </c>
      <c r="ER217" s="2" t="s">
        <v>102</v>
      </c>
      <c r="ES217" s="2" t="s">
        <v>102</v>
      </c>
      <c r="ET217" s="2" t="str">
        <f>HYPERLINK(".\links\REFSEQ-INVERTEBRATE\AGAP010074-PA-REFSEQ-INVERTEBRATE.txt","AGAP010074-PA")</f>
        <v>AGAP010074-PA</v>
      </c>
      <c r="EU217" s="2" t="str">
        <f>HYPERLINK("http://www.ncbi.nlm.nih.gov/sutils/blink.cgi?pid=XP_319231.4","0.0")</f>
        <v>0.0</v>
      </c>
      <c r="EV217" s="2" t="str">
        <f>HYPERLINK("http://www.ncbi.nlm.nih.gov/protein/XP_319231.4","XP_319231.4")</f>
        <v>XP_319231.4</v>
      </c>
      <c r="EW217" s="2">
        <v>99</v>
      </c>
      <c r="EX217" s="2">
        <v>99</v>
      </c>
      <c r="EY217" s="2">
        <v>100</v>
      </c>
      <c r="EZ217" s="2" t="s">
        <v>105</v>
      </c>
    </row>
    <row r="218" spans="1:156" x14ac:dyDescent="0.25">
      <c r="A218" s="2" t="s">
        <v>2442</v>
      </c>
      <c r="B218" s="2">
        <v>0.30904617234103998</v>
      </c>
      <c r="C218" s="2">
        <f t="shared" si="3"/>
        <v>1.2388883468145697</v>
      </c>
      <c r="D218" s="2">
        <v>8.5615620324273607</v>
      </c>
      <c r="E218" s="2">
        <v>11.9684025403802</v>
      </c>
      <c r="F218" s="2">
        <v>5.4110310455557299E-4</v>
      </c>
      <c r="G218" s="2">
        <v>2.6293505281983199E-2</v>
      </c>
      <c r="H218" s="2" t="s">
        <v>2443</v>
      </c>
      <c r="I218" s="2" t="s">
        <v>94</v>
      </c>
      <c r="J218" s="2" t="str">
        <f>HYPERLINK("https://vectorbase.org/vectorbase/app/record/gene/AGAP004551","AGAP004551-RA")</f>
        <v>AGAP004551-RA</v>
      </c>
      <c r="K218" s="2" t="str">
        <f>HYPERLINK(".\links\pep\AGAP004551-PA-pep.txt","AGAP004551-PA")</f>
        <v>AGAP004551-PA</v>
      </c>
      <c r="L218" s="12" t="s">
        <v>95</v>
      </c>
      <c r="M218" s="2">
        <v>241</v>
      </c>
      <c r="N218" s="2">
        <v>0</v>
      </c>
      <c r="O218" s="2">
        <v>0</v>
      </c>
      <c r="P218" s="2" t="s">
        <v>2444</v>
      </c>
      <c r="Q218" s="9" t="s">
        <v>2445</v>
      </c>
      <c r="R218" s="2" t="s">
        <v>2446</v>
      </c>
      <c r="S218" s="2" t="str">
        <f>HYPERLINK(".\links\KOG\AGAP004551-PA-KOG.txt","KOG")</f>
        <v>KOG</v>
      </c>
      <c r="T218" s="2">
        <v>9.9999999999999993E-35</v>
      </c>
      <c r="U218" s="2">
        <v>98.6</v>
      </c>
      <c r="V218" s="2" t="s">
        <v>2447</v>
      </c>
      <c r="W218" s="10" t="s">
        <v>2448</v>
      </c>
      <c r="X218" s="2" t="s">
        <v>2449</v>
      </c>
      <c r="Y218" s="2" t="str">
        <f>HYPERLINK(".\links\REFSEQVERTEBRATE95\AGAP004551-PA-REFSEQVERTEBRATE95.txt","REFSEQVERTEBRATE95")</f>
        <v>REFSEQVERTEBRATE95</v>
      </c>
      <c r="Z218" s="15">
        <v>2.0000000000000001E-25</v>
      </c>
      <c r="AA218" s="2">
        <v>98.1</v>
      </c>
      <c r="AB218" s="13" t="str">
        <f>HYPERLINK(".\links\pep\AGAP004551-PA-sulf.txt","1")</f>
        <v>1</v>
      </c>
      <c r="AC218" s="13" t="str">
        <f>HYPERLINK(".\links\Sigp\AGAP004551-PA-SigP.txt","SIG")</f>
        <v>SIG</v>
      </c>
      <c r="AD218" s="2" t="s">
        <v>2450</v>
      </c>
      <c r="AE218" s="2">
        <v>26.835999999999999</v>
      </c>
      <c r="AF218" s="2">
        <v>6.69</v>
      </c>
      <c r="AG218" s="2">
        <v>24.850999999999999</v>
      </c>
      <c r="AH218" s="2">
        <v>6.47</v>
      </c>
      <c r="AI218" s="2" t="s">
        <v>2451</v>
      </c>
      <c r="AJ218" s="13">
        <v>0</v>
      </c>
      <c r="AK218" s="2" t="s">
        <v>102</v>
      </c>
      <c r="AL218" s="2" t="s">
        <v>102</v>
      </c>
      <c r="AM218" s="2" t="s">
        <v>102</v>
      </c>
      <c r="AN218" s="13" t="str">
        <f>HYPERLINK(".\links\gpi\AGAP004551-PA-gpi.txt","Y")</f>
        <v>Y</v>
      </c>
      <c r="AO218" s="14" t="str">
        <f>HYPERLINK(".\links\netoglyc\AGAP004551-PA-netoglyc.txt","0")</f>
        <v>0</v>
      </c>
      <c r="AP218" s="13">
        <v>14.5</v>
      </c>
      <c r="AQ218" s="2">
        <v>4.5999999999999996</v>
      </c>
      <c r="AR218" s="2">
        <v>4.5999999999999996</v>
      </c>
      <c r="AS218" s="2" t="s">
        <v>104</v>
      </c>
      <c r="AT218" s="9" t="str">
        <f>HYPERLINK(".\links\NR-LIGHT\AGAP004551-PA-NR-LIGHT.txt","AGAP004551-PA")</f>
        <v>AGAP004551-PA</v>
      </c>
      <c r="AU218" s="2" t="str">
        <f>HYPERLINK("http://www.ncbi.nlm.nih.gov/sutils/blink.cgi?pid=XP_313849.2","1E-137")</f>
        <v>1E-137</v>
      </c>
      <c r="AV218" s="2" t="str">
        <f>HYPERLINK("http://www.ncbi.nlm.nih.gov/protein/XP_313849.2","XP_313849.2")</f>
        <v>XP_313849.2</v>
      </c>
      <c r="AW218" s="2">
        <v>100</v>
      </c>
      <c r="AX218" s="2">
        <v>100</v>
      </c>
      <c r="AY218" s="2">
        <v>100</v>
      </c>
      <c r="AZ218" s="2" t="s">
        <v>105</v>
      </c>
      <c r="BA218" s="9" t="str">
        <f>HYPERLINK(".\links\REFSEQ-INVERTEBRATE\AGAP004551-PA-REFSEQ-INVERTEBRATE.txt","AGAP004551-PA")</f>
        <v>AGAP004551-PA</v>
      </c>
      <c r="BB218" s="2" t="str">
        <f>HYPERLINK("http://www.ncbi.nlm.nih.gov/sutils/blink.cgi?pid=XP_313849.2","1E-137")</f>
        <v>1E-137</v>
      </c>
      <c r="BC218" s="2" t="str">
        <f>HYPERLINK("http://www.ncbi.nlm.nih.gov/protein/XP_313849.2","XP_313849.2")</f>
        <v>XP_313849.2</v>
      </c>
      <c r="BD218" s="2">
        <v>100</v>
      </c>
      <c r="BE218" s="2">
        <v>100</v>
      </c>
      <c r="BF218" s="2">
        <v>100</v>
      </c>
      <c r="BG218" s="2" t="s">
        <v>105</v>
      </c>
      <c r="BH218" s="9" t="str">
        <f>HYPERLINK(".\links\REFSEQ-PROTOZOA\AGAP004551-PA-REFSEQ-PROTOZOA.txt","hypothetical protein (macronuclear)")</f>
        <v>hypothetical protein (macronuclear)</v>
      </c>
      <c r="BI218" s="2" t="str">
        <f>HYPERLINK("http://www.ncbi.nlm.nih.gov/sutils/blink.cgi?pid=XP_001423595.1","1E-020")</f>
        <v>1E-020</v>
      </c>
      <c r="BJ218" s="2" t="str">
        <f>HYPERLINK("http://www.ncbi.nlm.nih.gov/protein/XP_001423595.1","XP_001423595.1")</f>
        <v>XP_001423595.1</v>
      </c>
      <c r="BK218" s="2">
        <v>30</v>
      </c>
      <c r="BL218" s="2">
        <v>50</v>
      </c>
      <c r="BM218" s="2">
        <v>90</v>
      </c>
      <c r="BN218" s="2" t="s">
        <v>347</v>
      </c>
      <c r="BO218" s="9" t="str">
        <f>HYPERLINK(".\links\SWISSP\AGAP004551-PA-SWISSP.txt","GILT-like protein 1")</f>
        <v>GILT-like protein 1</v>
      </c>
      <c r="BP218" s="2" t="str">
        <f>HYPERLINK("http://www.uniprot.org/uniprot/Q95RA9","3E-060")</f>
        <v>3E-060</v>
      </c>
      <c r="BQ218" s="2" t="str">
        <f>HYPERLINK("http://www.uniprot.org/uniprot/Q95RA9#expression","Q95RA9")</f>
        <v>Q95RA9</v>
      </c>
      <c r="BR218" s="2">
        <v>48</v>
      </c>
      <c r="BS218" s="2">
        <v>67</v>
      </c>
      <c r="BT218" s="2">
        <v>94</v>
      </c>
      <c r="BU218" s="2" t="s">
        <v>107</v>
      </c>
      <c r="BV218" s="9" t="str">
        <f>HYPERLINK(".\links\FLYBASE\AGAP004551-PA-FLYBASE.txt","FBpp0082228")</f>
        <v>FBpp0082228</v>
      </c>
      <c r="BW218" s="2" t="str">
        <f>HYPERLINK("http://flybase.org/reports/FBgn0038149#alliance_summary_container","2E-78")</f>
        <v>2E-78</v>
      </c>
      <c r="BX218" s="2">
        <v>250</v>
      </c>
      <c r="BY218" s="2">
        <v>48</v>
      </c>
      <c r="BZ218" s="2">
        <v>67</v>
      </c>
      <c r="CA218" s="2">
        <v>94</v>
      </c>
      <c r="CB218" s="9" t="str">
        <f>HYPERLINK(".\links\CDD\AGAP004551-PA-CDD.txt","GILT, Gamma interferon inducible lysosomal thiol reductase (GILT)")</f>
        <v>GILT, Gamma interferon inducible lysosomal thiol reductase (GILT)</v>
      </c>
      <c r="CC218" s="15">
        <v>1.9999999999999999E-29</v>
      </c>
      <c r="CD218" s="2">
        <v>111.3</v>
      </c>
      <c r="CE218" s="2" t="s">
        <v>2452</v>
      </c>
      <c r="CF218" s="2" t="s">
        <v>2453</v>
      </c>
      <c r="CG218" s="9" t="str">
        <f>HYPERLINK(".\links\KOG\AGAP004551-PA-KOG.txt","Gamma-interferon inducible lysosomal thiol reductase")</f>
        <v>Gamma-interferon inducible lysosomal thiol reductase</v>
      </c>
      <c r="CH218" s="15">
        <v>9.9999999999999993E-35</v>
      </c>
      <c r="CI218" s="2">
        <v>98.6</v>
      </c>
      <c r="CJ218" s="2" t="s">
        <v>2454</v>
      </c>
      <c r="CK218" s="2" t="s">
        <v>111</v>
      </c>
      <c r="CL218" s="9" t="str">
        <f>HYPERLINK(".\links\PFAM\AGAP004551-PA-PFAM.txt","GILT, Gamma interferon inducible lysosomal thiol reductase (GILT)")</f>
        <v>GILT, Gamma interferon inducible lysosomal thiol reductase (GILT)</v>
      </c>
      <c r="CM218" s="15">
        <v>4.9999999999999997E-30</v>
      </c>
      <c r="CN218" s="2">
        <v>111.3</v>
      </c>
      <c r="CO218" s="2" t="s">
        <v>2452</v>
      </c>
      <c r="CP218" s="9" t="str">
        <f>HYPERLINK(".\links\SMART\AGAP004551-PA-SMART.txt","AFOR_N, Aldehyde ferredoxin oxidoreductase, N-terminal domain")</f>
        <v>AFOR_N, Aldehyde ferredoxin oxidoreductase, N-terminal domain</v>
      </c>
      <c r="CQ218" s="15">
        <v>0.73</v>
      </c>
      <c r="CR218" s="2">
        <v>24.1</v>
      </c>
      <c r="CS218" s="2" t="s">
        <v>2455</v>
      </c>
      <c r="CT218" s="2" t="s">
        <v>2447</v>
      </c>
      <c r="CU218" s="2" t="s">
        <v>2447</v>
      </c>
      <c r="CV218" s="2" t="s">
        <v>2447</v>
      </c>
      <c r="CW218" s="2" t="str">
        <f>HYPERLINK(".\links\pep\AGAP004551-PA-pep.txt","AGAP004551-PA")</f>
        <v>AGAP004551-PA</v>
      </c>
      <c r="CX218" s="2" t="s">
        <v>95</v>
      </c>
      <c r="CY218" s="2">
        <v>241</v>
      </c>
      <c r="CZ218" s="2" t="s">
        <v>113</v>
      </c>
      <c r="DA218" s="2" t="s">
        <v>2456</v>
      </c>
      <c r="DB218" s="2">
        <v>0</v>
      </c>
      <c r="DC218" s="2">
        <v>0</v>
      </c>
      <c r="DD218" s="2" t="str">
        <f>HYPERLINK("https://www.kegg.jp/kegg-bin/search_pathway_text?map=aga&amp;keyword=AGAP004551&amp;mode=1&amp;viewImage=true","AGAP004551")</f>
        <v>AGAP004551</v>
      </c>
      <c r="DE218" s="2" t="s">
        <v>2442</v>
      </c>
      <c r="DF218" s="2" t="s">
        <v>2443</v>
      </c>
      <c r="DG218" s="2" t="s">
        <v>94</v>
      </c>
      <c r="DH218" s="2" t="str">
        <f>HYPERLINK("https://vectorbase.org/vectorbase/app/record/gene/AGAP004551","AGAP004551-RA")</f>
        <v>AGAP004551-RA</v>
      </c>
      <c r="DI218" s="2" t="s">
        <v>135</v>
      </c>
      <c r="DJ218" s="2">
        <v>1236</v>
      </c>
      <c r="DK218" s="2" t="str">
        <f>HYPERLINK(".\links\netoglyc\AGAP004551-PA-netoglyc.txt","0")</f>
        <v>0</v>
      </c>
      <c r="DL218" s="2">
        <v>14.5</v>
      </c>
      <c r="DM218" s="2">
        <v>4.5999999999999996</v>
      </c>
      <c r="DN218" s="2">
        <v>4.5999999999999996</v>
      </c>
      <c r="DO218" s="2" t="s">
        <v>104</v>
      </c>
      <c r="DP218" s="2" t="s">
        <v>102</v>
      </c>
      <c r="DQ218" s="2" t="str">
        <f>HYPERLINK(".\links\Sigp\AGAP004551-PA-SigP.txt","SIG")</f>
        <v>SIG</v>
      </c>
      <c r="DR218" s="2" t="s">
        <v>2450</v>
      </c>
      <c r="DS218" s="2">
        <v>26.835999999999999</v>
      </c>
      <c r="DT218" s="2">
        <v>6.69</v>
      </c>
      <c r="DU218" s="2">
        <v>24.850999999999999</v>
      </c>
      <c r="DV218" s="2">
        <v>6.47</v>
      </c>
      <c r="DW218" s="2" t="s">
        <v>2451</v>
      </c>
      <c r="DX218" s="2">
        <v>241</v>
      </c>
      <c r="DY218" s="12">
        <v>0</v>
      </c>
      <c r="DZ218" s="2" t="s">
        <v>102</v>
      </c>
      <c r="EA218" s="2" t="s">
        <v>102</v>
      </c>
      <c r="EB218" s="2" t="s">
        <v>102</v>
      </c>
      <c r="EC218" s="2" t="str">
        <f>HYPERLINK(".\links\gpi\AGAP004551-PA-gpi.txt","Y-NoSP")</f>
        <v>Y-NoSP</v>
      </c>
      <c r="ED218" s="2">
        <v>0.28000000000000003</v>
      </c>
      <c r="EF218" s="2">
        <v>10</v>
      </c>
      <c r="EG218" s="2" t="str">
        <f>HYPERLINK(".\links\pep\AGAP004551-PA-sulf.txt","1")</f>
        <v>1</v>
      </c>
      <c r="EH218" s="2" t="s">
        <v>102</v>
      </c>
      <c r="EI218" s="2">
        <v>14.5228215767635</v>
      </c>
      <c r="EJ218" s="2">
        <v>4.5643153526970996</v>
      </c>
      <c r="EK218" s="2">
        <v>4.5643153526970996</v>
      </c>
      <c r="EL218" s="2">
        <v>9.1286307053941904</v>
      </c>
      <c r="EM218" s="2" t="s">
        <v>102</v>
      </c>
      <c r="EN218" s="2" t="s">
        <v>102</v>
      </c>
      <c r="EO218" s="2" t="s">
        <v>102</v>
      </c>
      <c r="EP218" s="2" t="s">
        <v>102</v>
      </c>
      <c r="EQ218" s="2" t="s">
        <v>102</v>
      </c>
      <c r="ER218" s="2" t="s">
        <v>102</v>
      </c>
      <c r="ES218" s="2" t="s">
        <v>102</v>
      </c>
      <c r="ET218" s="2" t="str">
        <f>HYPERLINK(".\links\REFSEQ-INVERTEBRATE\AGAP004551-PA-REFSEQ-INVERTEBRATE.txt","AGAP004551-PA")</f>
        <v>AGAP004551-PA</v>
      </c>
      <c r="EU218" s="2" t="str">
        <f>HYPERLINK("http://www.ncbi.nlm.nih.gov/sutils/blink.cgi?pid=XP_313849.2","1E-180")</f>
        <v>1E-180</v>
      </c>
      <c r="EV218" s="2" t="str">
        <f>HYPERLINK("http://www.ncbi.nlm.nih.gov/protein/XP_313849.2","XP_313849.2")</f>
        <v>XP_313849.2</v>
      </c>
      <c r="EW218" s="2">
        <v>100</v>
      </c>
      <c r="EX218" s="2">
        <v>100</v>
      </c>
      <c r="EY218" s="2">
        <v>100</v>
      </c>
      <c r="EZ218" s="2" t="s">
        <v>105</v>
      </c>
    </row>
    <row r="219" spans="1:156" x14ac:dyDescent="0.25">
      <c r="A219" s="2" t="s">
        <v>2457</v>
      </c>
      <c r="B219" s="2">
        <v>0.30821362664341501</v>
      </c>
      <c r="C219" s="2">
        <f t="shared" si="3"/>
        <v>1.2381736194580977</v>
      </c>
      <c r="D219" s="2">
        <v>6.71598819578234</v>
      </c>
      <c r="E219" s="2">
        <v>11.473605906932001</v>
      </c>
      <c r="F219" s="2">
        <v>7.0591580280017496E-4</v>
      </c>
      <c r="G219" s="2">
        <v>2.8954601187736202E-2</v>
      </c>
      <c r="H219" s="2" t="s">
        <v>2458</v>
      </c>
      <c r="I219" s="2" t="s">
        <v>94</v>
      </c>
      <c r="J219" s="2" t="str">
        <f>HYPERLINK("https://vectorbase.org/vectorbase/app/record/gene/AGAP004434","AGAP004434-RA")</f>
        <v>AGAP004434-RA</v>
      </c>
      <c r="K219" s="2" t="str">
        <f>HYPERLINK(".\links\pep\AGAP004434-PA-pep.txt","AGAP004434-PA")</f>
        <v>AGAP004434-PA</v>
      </c>
      <c r="L219" s="12" t="s">
        <v>95</v>
      </c>
      <c r="M219" s="2">
        <v>760</v>
      </c>
      <c r="N219" s="2">
        <v>0</v>
      </c>
      <c r="O219" s="2">
        <v>3</v>
      </c>
      <c r="P219" s="2" t="s">
        <v>2459</v>
      </c>
      <c r="Q219" s="9" t="s">
        <v>2460</v>
      </c>
      <c r="R219" s="2" t="s">
        <v>388</v>
      </c>
      <c r="S219" s="2" t="str">
        <f>HYPERLINK(".\links\KOG\AGAP004434-PA-KOG.txt","KOG")</f>
        <v>KOG</v>
      </c>
      <c r="T219" s="2">
        <v>0</v>
      </c>
      <c r="U219" s="2">
        <v>100.5</v>
      </c>
      <c r="V219" s="2" t="s">
        <v>2461</v>
      </c>
      <c r="W219" s="10" t="s">
        <v>2462</v>
      </c>
      <c r="X219" s="2" t="s">
        <v>388</v>
      </c>
      <c r="Y219" s="2" t="str">
        <f>HYPERLINK(".\links\COG\AGAP004434-PA-COG.txt","COG")</f>
        <v>COG</v>
      </c>
      <c r="Z219" s="15">
        <v>1.0000000000000001E-33</v>
      </c>
      <c r="AA219" s="2">
        <v>100.8</v>
      </c>
      <c r="AB219" s="13" t="str">
        <f>HYPERLINK(".\links\pep\AGAP004434-PA-sulf.txt","1")</f>
        <v>1</v>
      </c>
      <c r="AC219" s="13" t="str">
        <f>HYPERLINK(".\links\Sigp\AGAP004434-PA-SigP.txt","CYT")</f>
        <v>CYT</v>
      </c>
      <c r="AD219" s="2" t="s">
        <v>102</v>
      </c>
      <c r="AE219" s="2">
        <v>87.923000000000002</v>
      </c>
      <c r="AF219" s="2">
        <v>8.8800000000000008</v>
      </c>
      <c r="AG219" s="2" t="s">
        <v>102</v>
      </c>
      <c r="AH219" s="2" t="s">
        <v>102</v>
      </c>
      <c r="AI219" s="2" t="s">
        <v>124</v>
      </c>
      <c r="AJ219" s="13">
        <v>0</v>
      </c>
      <c r="AK219" s="2" t="s">
        <v>102</v>
      </c>
      <c r="AL219" s="2" t="s">
        <v>102</v>
      </c>
      <c r="AM219" s="2" t="s">
        <v>102</v>
      </c>
      <c r="AN219" s="13" t="str">
        <f>HYPERLINK(".\links\gpi\AGAP004434-PA-gpi.txt","N")</f>
        <v>N</v>
      </c>
      <c r="AO219" s="14" t="str">
        <f>HYPERLINK(".\links\netoglyc\AGAP004434-PA-netoglyc.txt","0")</f>
        <v>0</v>
      </c>
      <c r="AP219" s="13">
        <v>12.4</v>
      </c>
      <c r="AQ219" s="2">
        <v>4.5999999999999996</v>
      </c>
      <c r="AR219" s="2">
        <v>4.9000000000000004</v>
      </c>
      <c r="AS219" s="2" t="s">
        <v>104</v>
      </c>
      <c r="AT219" s="9" t="str">
        <f>HYPERLINK(".\links\NR-LIGHT\AGAP004434-PA-NR-LIGHT.txt","AGAP004434-PA")</f>
        <v>AGAP004434-PA</v>
      </c>
      <c r="AU219" s="2" t="str">
        <f>HYPERLINK("http://www.ncbi.nlm.nih.gov/sutils/blink.cgi?pid=XP_313721.3","0.0")</f>
        <v>0.0</v>
      </c>
      <c r="AV219" s="2" t="str">
        <f>HYPERLINK("http://www.ncbi.nlm.nih.gov/protein/XP_313721.3","XP_313721.3")</f>
        <v>XP_313721.3</v>
      </c>
      <c r="AW219" s="2">
        <v>100</v>
      </c>
      <c r="AX219" s="2">
        <v>100</v>
      </c>
      <c r="AY219" s="2">
        <v>100</v>
      </c>
      <c r="AZ219" s="2" t="s">
        <v>105</v>
      </c>
      <c r="BA219" s="9" t="str">
        <f>HYPERLINK(".\links\REFSEQ-INVERTEBRATE\AGAP004434-PA-REFSEQ-INVERTEBRATE.txt","AGAP004434-PA")</f>
        <v>AGAP004434-PA</v>
      </c>
      <c r="BB219" s="2" t="str">
        <f>HYPERLINK("http://www.ncbi.nlm.nih.gov/sutils/blink.cgi?pid=XP_313721.3","0.0")</f>
        <v>0.0</v>
      </c>
      <c r="BC219" s="2" t="str">
        <f>HYPERLINK("http://www.ncbi.nlm.nih.gov/protein/XP_313721.3","XP_313721.3")</f>
        <v>XP_313721.3</v>
      </c>
      <c r="BD219" s="2">
        <v>100</v>
      </c>
      <c r="BE219" s="2">
        <v>100</v>
      </c>
      <c r="BF219" s="2">
        <v>100</v>
      </c>
      <c r="BG219" s="2" t="s">
        <v>105</v>
      </c>
      <c r="BH219" s="9" t="str">
        <f>HYPERLINK(".\links\REFSEQ-PROTOZOA\AGAP004434-PA-REFSEQ-PROTOZOA.txt","bromodomain domain containing protein, partial")</f>
        <v>bromodomain domain containing protein, partial</v>
      </c>
      <c r="BI219" s="2" t="str">
        <f>HYPERLINK("http://www.ncbi.nlm.nih.gov/sutils/blink.cgi?pid=XP_004337259.1","2E-098")</f>
        <v>2E-098</v>
      </c>
      <c r="BJ219" s="2" t="str">
        <f>HYPERLINK("http://www.ncbi.nlm.nih.gov/protein/XP_004337259.1","XP_004337259.1")</f>
        <v>XP_004337259.1</v>
      </c>
      <c r="BK219" s="2">
        <v>36</v>
      </c>
      <c r="BL219" s="2">
        <v>53</v>
      </c>
      <c r="BM219" s="2">
        <v>83</v>
      </c>
      <c r="BN219" s="2" t="s">
        <v>600</v>
      </c>
      <c r="BO219" s="9" t="str">
        <f>HYPERLINK(".\links\SWISSP\AGAP004434-PA-SWISSP.txt","Histone acetyltransferase KAT2A")</f>
        <v>Histone acetyltransferase KAT2A</v>
      </c>
      <c r="BP219" s="2" t="str">
        <f>HYPERLINK("http://www.uniprot.org/uniprot/A0A0R4IXF6","0.0")</f>
        <v>0.0</v>
      </c>
      <c r="BQ219" s="2" t="str">
        <f>HYPERLINK("http://www.uniprot.org/uniprot/A0A0R4IXF6#expression","A0A0R4IXF6")</f>
        <v>A0A0R4IXF6</v>
      </c>
      <c r="BR219" s="2">
        <v>50</v>
      </c>
      <c r="BS219" s="2">
        <v>68</v>
      </c>
      <c r="BT219" s="2">
        <v>98</v>
      </c>
      <c r="BU219" s="2" t="s">
        <v>213</v>
      </c>
      <c r="BV219" s="9" t="str">
        <f>HYPERLINK(".\links\FLYBASE\AGAP004434-PA-FLYBASE.txt","FBpp0075701")</f>
        <v>FBpp0075701</v>
      </c>
      <c r="BW219" s="2" t="str">
        <f>HYPERLINK("http://flybase.org/reports/FBgn0020388#alliance_summary_container","0.0")</f>
        <v>0.0</v>
      </c>
      <c r="BX219" s="2">
        <v>813</v>
      </c>
      <c r="BY219" s="2">
        <v>67</v>
      </c>
      <c r="BZ219" s="2">
        <v>80</v>
      </c>
      <c r="CA219" s="2">
        <v>92</v>
      </c>
      <c r="CB219" s="9" t="str">
        <f>HYPERLINK(".\links\CDD\AGAP004434-PA-CDD.txt","PCAF_N, PCAF (P300/CBP-associated factor) N-terminal domain")</f>
        <v>PCAF_N, PCAF (P300/CBP-associated factor) N-terminal domain</v>
      </c>
      <c r="CC219" s="15">
        <v>1.0000000000000001E-115</v>
      </c>
      <c r="CD219" s="2">
        <v>100.8</v>
      </c>
      <c r="CE219" s="2" t="s">
        <v>2463</v>
      </c>
      <c r="CF219" s="2" t="s">
        <v>2464</v>
      </c>
      <c r="CG219" s="9" t="str">
        <f>HYPERLINK(".\links\KOG\AGAP004434-PA-KOG.txt","catalytic subunit PCAF/GCN5 and related proteins")</f>
        <v>catalytic subunit PCAF/GCN5 and related proteins</v>
      </c>
      <c r="CH219" s="15">
        <v>1E-180</v>
      </c>
      <c r="CI219" s="2">
        <v>100.6</v>
      </c>
      <c r="CJ219" s="2" t="s">
        <v>2465</v>
      </c>
      <c r="CK219" s="2" t="s">
        <v>629</v>
      </c>
      <c r="CL219" s="9" t="str">
        <f>HYPERLINK(".\links\PFAM\AGAP004434-PA-PFAM.txt","PCAF_N, PCAF (P300/CBP-associated factor) N-terminal domain")</f>
        <v>PCAF_N, PCAF (P300/CBP-associated factor) N-terminal domain</v>
      </c>
      <c r="CM219" s="15">
        <v>9.9999999999999999E-117</v>
      </c>
      <c r="CN219" s="2">
        <v>100.8</v>
      </c>
      <c r="CO219" s="2" t="s">
        <v>2463</v>
      </c>
      <c r="CP219" s="9" t="str">
        <f>HYPERLINK(".\links\SMART\AGAP004434-PA-SMART.txt","BROMO, bromo domain")</f>
        <v>BROMO, bromo domain</v>
      </c>
      <c r="CQ219" s="15">
        <v>2.0000000000000002E-31</v>
      </c>
      <c r="CR219" s="2">
        <v>94.4</v>
      </c>
      <c r="CS219" s="2" t="s">
        <v>2466</v>
      </c>
      <c r="CT219" s="2" t="s">
        <v>2461</v>
      </c>
      <c r="CU219" s="2" t="s">
        <v>2461</v>
      </c>
      <c r="CV219" s="2" t="s">
        <v>2461</v>
      </c>
      <c r="CW219" s="2" t="str">
        <f>HYPERLINK(".\links\pep\AGAP004434-PA-pep.txt","AGAP004434-PA")</f>
        <v>AGAP004434-PA</v>
      </c>
      <c r="CX219" s="2" t="s">
        <v>95</v>
      </c>
      <c r="CY219" s="2">
        <v>760</v>
      </c>
      <c r="CZ219" s="2" t="s">
        <v>113</v>
      </c>
      <c r="DA219" s="2" t="s">
        <v>2467</v>
      </c>
      <c r="DB219" s="2">
        <v>0</v>
      </c>
      <c r="DC219" s="2">
        <v>3</v>
      </c>
      <c r="DD219" s="2" t="str">
        <f>HYPERLINK("https://www.kegg.jp/kegg-bin/search_pathway_text?map=aga&amp;keyword=AGAP004434&amp;mode=1&amp;viewImage=true","AGAP004434")</f>
        <v>AGAP004434</v>
      </c>
      <c r="DE219" s="2" t="s">
        <v>2457</v>
      </c>
      <c r="DF219" s="2" t="s">
        <v>2458</v>
      </c>
      <c r="DG219" s="2" t="s">
        <v>94</v>
      </c>
      <c r="DH219" s="2" t="str">
        <f>HYPERLINK("https://vectorbase.org/vectorbase/app/record/gene/AGAP004434","AGAP004434-RA")</f>
        <v>AGAP004434-RA</v>
      </c>
      <c r="DI219" s="2" t="s">
        <v>115</v>
      </c>
      <c r="DJ219" s="2">
        <v>3097</v>
      </c>
      <c r="DK219" s="2" t="str">
        <f>HYPERLINK(".\links\netoglyc\AGAP004434-PA-netoglyc.txt","0")</f>
        <v>0</v>
      </c>
      <c r="DL219" s="2">
        <v>12.4</v>
      </c>
      <c r="DM219" s="2">
        <v>4.5999999999999996</v>
      </c>
      <c r="DN219" s="2">
        <v>4.9000000000000004</v>
      </c>
      <c r="DO219" s="2" t="s">
        <v>104</v>
      </c>
      <c r="DP219" s="2" t="s">
        <v>102</v>
      </c>
      <c r="DQ219" s="2" t="str">
        <f>HYPERLINK(".\links\Sigp\AGAP004434-PA-SigP.txt","CYT")</f>
        <v>CYT</v>
      </c>
      <c r="DR219" s="2" t="s">
        <v>102</v>
      </c>
      <c r="DS219" s="2">
        <v>87.923000000000002</v>
      </c>
      <c r="DT219" s="2">
        <v>8.8800000000000008</v>
      </c>
      <c r="DU219" s="2" t="s">
        <v>102</v>
      </c>
      <c r="DV219" s="2" t="s">
        <v>102</v>
      </c>
      <c r="DW219" s="2" t="s">
        <v>124</v>
      </c>
      <c r="DX219" s="2">
        <v>760</v>
      </c>
      <c r="DY219" s="12">
        <v>0</v>
      </c>
      <c r="DZ219" s="2" t="s">
        <v>102</v>
      </c>
      <c r="EA219" s="2" t="s">
        <v>102</v>
      </c>
      <c r="EB219" s="2" t="s">
        <v>102</v>
      </c>
      <c r="EC219" s="2" t="str">
        <f>HYPERLINK(".\links\gpi\AGAP004434-PA-gpi.txt","N")</f>
        <v>N</v>
      </c>
      <c r="ED219" s="2">
        <v>0.17</v>
      </c>
      <c r="EF219" s="2">
        <v>18</v>
      </c>
      <c r="EG219" s="2" t="str">
        <f>HYPERLINK(".\links\pep\AGAP004434-PA-sulf.txt","1")</f>
        <v>1</v>
      </c>
      <c r="EH219" s="2" t="s">
        <v>102</v>
      </c>
      <c r="EI219" s="2">
        <v>12.3684210526316</v>
      </c>
      <c r="EJ219" s="2">
        <v>4.8684210526315796</v>
      </c>
      <c r="EK219" s="2">
        <v>4.6052631578947398</v>
      </c>
      <c r="EL219" s="2">
        <v>9.4736842105263204</v>
      </c>
      <c r="EM219" s="2">
        <v>1</v>
      </c>
      <c r="EN219" s="2">
        <v>1</v>
      </c>
      <c r="EO219" s="2">
        <v>3</v>
      </c>
      <c r="EP219" s="2" t="s">
        <v>102</v>
      </c>
      <c r="EQ219" s="2" t="s">
        <v>102</v>
      </c>
      <c r="ER219" s="2" t="s">
        <v>102</v>
      </c>
      <c r="ES219" s="2" t="s">
        <v>102</v>
      </c>
      <c r="ET219" s="2" t="str">
        <f>HYPERLINK(".\links\REFSEQ-INVERTEBRATE\AGAP004434-PA-REFSEQ-INVERTEBRATE.txt","AGAP004434-PA")</f>
        <v>AGAP004434-PA</v>
      </c>
      <c r="EU219" s="2" t="str">
        <f>HYPERLINK("http://www.ncbi.nlm.nih.gov/sutils/blink.cgi?pid=XP_313721.3","0.0")</f>
        <v>0.0</v>
      </c>
      <c r="EV219" s="2" t="str">
        <f>HYPERLINK("http://www.ncbi.nlm.nih.gov/protein/XP_313721.3","XP_313721.3")</f>
        <v>XP_313721.3</v>
      </c>
      <c r="EW219" s="2">
        <v>100</v>
      </c>
      <c r="EX219" s="2">
        <v>100</v>
      </c>
      <c r="EY219" s="2">
        <v>100</v>
      </c>
      <c r="EZ219" s="2" t="s">
        <v>105</v>
      </c>
    </row>
    <row r="220" spans="1:156" x14ac:dyDescent="0.25">
      <c r="A220" s="2" t="s">
        <v>2468</v>
      </c>
      <c r="B220" s="2">
        <v>0.30765599795855503</v>
      </c>
      <c r="C220" s="2">
        <f t="shared" si="3"/>
        <v>1.2376951346151814</v>
      </c>
      <c r="D220" s="2">
        <v>6.4779888438306701</v>
      </c>
      <c r="E220" s="2">
        <v>14.714023515858001</v>
      </c>
      <c r="F220" s="2">
        <v>1.2511229552866399E-4</v>
      </c>
      <c r="G220" s="2">
        <v>1.18297757554149E-2</v>
      </c>
      <c r="H220" s="2" t="s">
        <v>2469</v>
      </c>
      <c r="I220" s="2" t="s">
        <v>94</v>
      </c>
      <c r="J220" s="2" t="str">
        <f>HYPERLINK("https://vectorbase.org/vectorbase/app/record/gene/AGAP010235","AGAP010235-RB")</f>
        <v>AGAP010235-RB</v>
      </c>
      <c r="K220" s="2" t="str">
        <f>HYPERLINK(".\links\pep\AGAP010235-PB-pep.txt","AGAP010235-PB")</f>
        <v>AGAP010235-PB</v>
      </c>
      <c r="L220" s="12" t="s">
        <v>95</v>
      </c>
      <c r="M220" s="2">
        <v>576</v>
      </c>
      <c r="N220" s="2">
        <v>0</v>
      </c>
      <c r="O220" s="2">
        <v>0</v>
      </c>
      <c r="P220" s="2" t="s">
        <v>2470</v>
      </c>
      <c r="Q220" s="9" t="s">
        <v>2471</v>
      </c>
      <c r="R220" s="2" t="s">
        <v>771</v>
      </c>
      <c r="S220" s="2" t="str">
        <f>HYPERLINK(".\links\KOG\AGAP010235-PB-KOG.txt","KOG")</f>
        <v>KOG</v>
      </c>
      <c r="T220" s="2">
        <v>2.9999999999999999E-69</v>
      </c>
      <c r="U220" s="2">
        <v>98.9</v>
      </c>
      <c r="V220" s="2" t="s">
        <v>2472</v>
      </c>
      <c r="W220" s="10" t="s">
        <v>2473</v>
      </c>
      <c r="X220" s="2" t="s">
        <v>771</v>
      </c>
      <c r="Y220" s="2" t="str">
        <f>HYPERLINK(".\links\KOG\AGAP010235-PB-KOG.txt","KOG")</f>
        <v>KOG</v>
      </c>
      <c r="Z220" s="15">
        <v>1E-79</v>
      </c>
      <c r="AA220" s="2">
        <v>98.9</v>
      </c>
      <c r="AB220" s="13" t="str">
        <f>HYPERLINK(".\links\pep\AGAP010235-PB-sulf.txt","2")</f>
        <v>2</v>
      </c>
      <c r="AC220" s="13" t="str">
        <f>HYPERLINK(".\links\Sigp\AGAP010235-PB-SigP.txt","CYT")</f>
        <v>CYT</v>
      </c>
      <c r="AD220" s="2" t="s">
        <v>102</v>
      </c>
      <c r="AE220" s="2">
        <v>65.495999999999995</v>
      </c>
      <c r="AF220" s="2">
        <v>8.33</v>
      </c>
      <c r="AG220" s="2" t="s">
        <v>102</v>
      </c>
      <c r="AH220" s="2" t="s">
        <v>102</v>
      </c>
      <c r="AI220" s="2" t="s">
        <v>2212</v>
      </c>
      <c r="AJ220" s="13">
        <v>0</v>
      </c>
      <c r="AK220" s="2" t="s">
        <v>102</v>
      </c>
      <c r="AL220" s="2" t="s">
        <v>102</v>
      </c>
      <c r="AM220" s="2" t="s">
        <v>102</v>
      </c>
      <c r="AN220" s="13" t="str">
        <f>HYPERLINK(".\links\gpi\AGAP010235-PB-gpi.txt","N")</f>
        <v>N</v>
      </c>
      <c r="AO220" s="14" t="str">
        <f>HYPERLINK(".\links\netoglyc\AGAP010235-PB-netoglyc.txt","0")</f>
        <v>0</v>
      </c>
      <c r="AP220" s="13">
        <v>14.9</v>
      </c>
      <c r="AQ220" s="2">
        <v>5.4</v>
      </c>
      <c r="AR220" s="2">
        <v>5.6</v>
      </c>
      <c r="AS220" s="2" t="s">
        <v>104</v>
      </c>
      <c r="AT220" s="9" t="str">
        <f>HYPERLINK(".\links\NR-LIGHT\AGAP010235-PB-NR-LIGHT.txt","AGAP010235-PA-like protein")</f>
        <v>AGAP010235-PA-like protein</v>
      </c>
      <c r="AU220" s="2" t="str">
        <f>HYPERLINK("http://www.ncbi.nlm.nih.gov/sutils/blink.cgi?pid=KFB45479.1","0.0")</f>
        <v>0.0</v>
      </c>
      <c r="AV220" s="2" t="str">
        <f>HYPERLINK("http://www.ncbi.nlm.nih.gov/protein/KFB45479.1","KFB45479.1")</f>
        <v>KFB45479.1</v>
      </c>
      <c r="AW220" s="2">
        <v>93</v>
      </c>
      <c r="AX220" s="2">
        <v>96</v>
      </c>
      <c r="AY220" s="2">
        <v>102</v>
      </c>
      <c r="AZ220" s="2" t="s">
        <v>1522</v>
      </c>
      <c r="BA220" s="9" t="str">
        <f>HYPERLINK(".\links\REFSEQ-INVERTEBRATE\AGAP010235-PB-REFSEQ-INVERTEBRATE.txt","AGAP010235-PA")</f>
        <v>AGAP010235-PA</v>
      </c>
      <c r="BB220" s="2" t="str">
        <f>HYPERLINK("http://www.ncbi.nlm.nih.gov/sutils/blink.cgi?pid=XP_319423.3","0.0")</f>
        <v>0.0</v>
      </c>
      <c r="BC220" s="2" t="str">
        <f>HYPERLINK("http://www.ncbi.nlm.nih.gov/protein/XP_319423.3","XP_319423.3")</f>
        <v>XP_319423.3</v>
      </c>
      <c r="BD220" s="2">
        <v>100</v>
      </c>
      <c r="BE220" s="2">
        <v>100</v>
      </c>
      <c r="BF220" s="2">
        <v>91</v>
      </c>
      <c r="BG220" s="2" t="s">
        <v>105</v>
      </c>
      <c r="BH220" s="9" t="str">
        <f>HYPERLINK(".\links\REFSEQ-PROTOZOA\AGAP010235-PB-REFSEQ-PROTOZOA.txt","hypothetical protein CAOG_04525")</f>
        <v>hypothetical protein CAOG_04525</v>
      </c>
      <c r="BI220" s="2" t="str">
        <f>HYPERLINK("http://www.ncbi.nlm.nih.gov/sutils/blink.cgi?pid=XP_004347272.1","3E-045")</f>
        <v>3E-045</v>
      </c>
      <c r="BJ220" s="2" t="str">
        <f>HYPERLINK("http://www.ncbi.nlm.nih.gov/protein/XP_004347272.1","XP_004347272.1")</f>
        <v>XP_004347272.1</v>
      </c>
      <c r="BK220" s="2">
        <v>26</v>
      </c>
      <c r="BL220" s="2">
        <v>44</v>
      </c>
      <c r="BM220" s="2">
        <v>49</v>
      </c>
      <c r="BN220" s="2" t="s">
        <v>106</v>
      </c>
      <c r="BO220" s="9" t="str">
        <f>HYPERLINK(".\links\SWISSP\AGAP010235-PB-SWISSP.txt","TBC1 domain family member 24")</f>
        <v>TBC1 domain family member 24</v>
      </c>
      <c r="BP220" s="2" t="str">
        <f>HYPERLINK("http://www.uniprot.org/uniprot/Q08CX5","6E-068")</f>
        <v>6E-068</v>
      </c>
      <c r="BQ220" s="2" t="str">
        <f>HYPERLINK("http://www.uniprot.org/uniprot/Q08CX5#expression","Q08CX5")</f>
        <v>Q08CX5</v>
      </c>
      <c r="BR220" s="2">
        <v>30</v>
      </c>
      <c r="BS220" s="2">
        <v>48</v>
      </c>
      <c r="BT220" s="2">
        <v>99</v>
      </c>
      <c r="BU220" s="2" t="s">
        <v>459</v>
      </c>
      <c r="BV220" s="9" t="str">
        <f>HYPERLINK(".\links\FLYBASE\AGAP010235-PB-FLYBASE.txt","FBpp0080970")</f>
        <v>FBpp0080970</v>
      </c>
      <c r="BW220" s="2" t="str">
        <f>HYPERLINK("http://flybase.org/reports/FBgn0032901#alliance_summary_container","0.0")</f>
        <v>0.0</v>
      </c>
      <c r="BX220" s="2">
        <v>587</v>
      </c>
      <c r="BY220" s="2">
        <v>77</v>
      </c>
      <c r="BZ220" s="2">
        <v>85</v>
      </c>
      <c r="CA220" s="2">
        <v>98</v>
      </c>
      <c r="CB220" s="9" t="str">
        <f>HYPERLINK(".\links\CDD\AGAP010235-PB-CDD.txt","TLDc, domain in TBC and LysM domain containing proteins")</f>
        <v>TLDc, domain in TBC and LysM domain containing proteins</v>
      </c>
      <c r="CC220" s="15">
        <v>5.9999999999999998E-48</v>
      </c>
      <c r="CD220" s="2">
        <v>106.1</v>
      </c>
      <c r="CE220" s="2" t="s">
        <v>2474</v>
      </c>
      <c r="CF220" s="2" t="s">
        <v>2475</v>
      </c>
      <c r="CG220" s="9" t="str">
        <f>HYPERLINK(".\links\KOG\AGAP010235-PB-KOG.txt","Probable Rab-GAPs")</f>
        <v>Probable Rab-GAPs</v>
      </c>
      <c r="CH220" s="15">
        <v>2.9999999999999999E-69</v>
      </c>
      <c r="CI220" s="2">
        <v>98.9</v>
      </c>
      <c r="CJ220" s="2" t="s">
        <v>2476</v>
      </c>
      <c r="CK220" s="2" t="s">
        <v>154</v>
      </c>
      <c r="CL220" s="9" t="str">
        <f>HYPERLINK(".\links\PFAM\AGAP010235-PB-PFAM.txt","TLD, TLD")</f>
        <v>TLD, TLD</v>
      </c>
      <c r="CM220" s="15">
        <v>4.0000000000000002E-26</v>
      </c>
      <c r="CN220" s="2">
        <v>112.5</v>
      </c>
      <c r="CO220" s="2" t="s">
        <v>2477</v>
      </c>
      <c r="CP220" s="9" t="str">
        <f>HYPERLINK(".\links\SMART\AGAP010235-PB-SMART.txt","TLDc, domain in TBC and LysM domain containing proteins")</f>
        <v>TLDc, domain in TBC and LysM domain containing proteins</v>
      </c>
      <c r="CQ220" s="15">
        <v>4.9999999999999997E-50</v>
      </c>
      <c r="CR220" s="2">
        <v>106.1</v>
      </c>
      <c r="CS220" s="2" t="s">
        <v>2474</v>
      </c>
      <c r="CT220" s="2" t="s">
        <v>2472</v>
      </c>
      <c r="CU220" s="2" t="s">
        <v>2472</v>
      </c>
      <c r="CV220" s="2" t="s">
        <v>2472</v>
      </c>
      <c r="CW220" s="2" t="str">
        <f>HYPERLINK(".\links\pep\AGAP010235-PB-pep.txt","AGAP010235-PB")</f>
        <v>AGAP010235-PB</v>
      </c>
      <c r="CX220" s="2" t="s">
        <v>95</v>
      </c>
      <c r="CY220" s="2">
        <v>576</v>
      </c>
      <c r="CZ220" s="2" t="s">
        <v>113</v>
      </c>
      <c r="DA220" s="2" t="s">
        <v>2478</v>
      </c>
      <c r="DB220" s="2">
        <v>0</v>
      </c>
      <c r="DC220" s="2">
        <v>0</v>
      </c>
      <c r="DD220" s="2" t="str">
        <f>HYPERLINK("https://www.kegg.jp/kegg-bin/search_pathway_text?map=aga&amp;keyword=AGAP010235&amp;mode=1&amp;viewImage=true","AGAP010235")</f>
        <v>AGAP010235</v>
      </c>
      <c r="DE220" s="2" t="s">
        <v>2468</v>
      </c>
      <c r="DF220" s="2" t="s">
        <v>2469</v>
      </c>
      <c r="DG220" s="2" t="s">
        <v>94</v>
      </c>
      <c r="DH220" s="2" t="str">
        <f>HYPERLINK("https://vectorbase.org/vectorbase/app/record/gene/AGAP010235","AGAP010235-RB")</f>
        <v>AGAP010235-RB</v>
      </c>
      <c r="DI220" s="2" t="s">
        <v>90</v>
      </c>
      <c r="DJ220" s="2">
        <v>6072</v>
      </c>
      <c r="DK220" s="2" t="str">
        <f>HYPERLINK(".\links\netoglyc\AGAP010235-PB-netoglyc.txt","0")</f>
        <v>0</v>
      </c>
      <c r="DL220" s="2">
        <v>14.9</v>
      </c>
      <c r="DM220" s="2">
        <v>5.4</v>
      </c>
      <c r="DN220" s="2">
        <v>5.6</v>
      </c>
      <c r="DO220" s="2" t="s">
        <v>104</v>
      </c>
      <c r="DP220" s="2" t="s">
        <v>102</v>
      </c>
      <c r="DQ220" s="2" t="str">
        <f>HYPERLINK(".\links\Sigp\AGAP010235-PB-SigP.txt","CYT")</f>
        <v>CYT</v>
      </c>
      <c r="DR220" s="2" t="s">
        <v>102</v>
      </c>
      <c r="DS220" s="2">
        <v>65.495999999999995</v>
      </c>
      <c r="DT220" s="2">
        <v>8.33</v>
      </c>
      <c r="DU220" s="2" t="s">
        <v>102</v>
      </c>
      <c r="DV220" s="2" t="s">
        <v>102</v>
      </c>
      <c r="DW220" s="2" t="s">
        <v>2212</v>
      </c>
      <c r="DX220" s="2">
        <v>576</v>
      </c>
      <c r="DY220" s="12">
        <v>0</v>
      </c>
      <c r="DZ220" s="2" t="s">
        <v>102</v>
      </c>
      <c r="EA220" s="2" t="s">
        <v>102</v>
      </c>
      <c r="EB220" s="2" t="s">
        <v>102</v>
      </c>
      <c r="EC220" s="2" t="str">
        <f>HYPERLINK(".\links\gpi\AGAP010235-PB-gpi.txt","Y-NoSP")</f>
        <v>Y-NoSP</v>
      </c>
      <c r="ED220" s="2">
        <v>0.18</v>
      </c>
      <c r="EF220" s="2">
        <v>17</v>
      </c>
      <c r="EG220" s="2" t="str">
        <f>HYPERLINK(".\links\pep\AGAP010235-PB-sulf.txt","2")</f>
        <v>2</v>
      </c>
      <c r="EH220" s="2" t="s">
        <v>102</v>
      </c>
      <c r="EI220" s="2">
        <v>14.9305555555556</v>
      </c>
      <c r="EJ220" s="2">
        <v>5.5555555555555598</v>
      </c>
      <c r="EK220" s="2">
        <v>5.3819444444444402</v>
      </c>
      <c r="EL220" s="2">
        <v>10.9375</v>
      </c>
      <c r="EM220" s="2">
        <v>1</v>
      </c>
      <c r="EN220" s="2">
        <v>1</v>
      </c>
      <c r="EO220" s="2">
        <v>1</v>
      </c>
      <c r="EP220" s="2" t="s">
        <v>102</v>
      </c>
      <c r="EQ220" s="2" t="s">
        <v>102</v>
      </c>
      <c r="ER220" s="2" t="s">
        <v>102</v>
      </c>
      <c r="ES220" s="2" t="s">
        <v>102</v>
      </c>
      <c r="ET220" s="2" t="str">
        <f>HYPERLINK(".\links\REFSEQ-INVERTEBRATE\AGAP010235-PB-REFSEQ-INVERTEBRATE.txt","GTPase-activating protein skywalker isoform X5")</f>
        <v>GTPase-activating protein skywalker isoform X5</v>
      </c>
      <c r="EU220" s="2" t="str">
        <f>HYPERLINK("http://www.ncbi.nlm.nih.gov/sutils/blink.cgi?pid=XP_035909463.1","0.0")</f>
        <v>0.0</v>
      </c>
      <c r="EV220" s="2" t="str">
        <f>HYPERLINK("http://www.ncbi.nlm.nih.gov/protein/XP_035909463.1","XP_035909463.1")</f>
        <v>XP_035909463.1</v>
      </c>
      <c r="EW220" s="2">
        <v>95</v>
      </c>
      <c r="EX220" s="2">
        <v>97</v>
      </c>
      <c r="EY220" s="2">
        <v>101</v>
      </c>
      <c r="EZ220" s="2" t="s">
        <v>370</v>
      </c>
    </row>
    <row r="221" spans="1:156" x14ac:dyDescent="0.25">
      <c r="A221" s="2" t="s">
        <v>2479</v>
      </c>
      <c r="B221" s="2">
        <v>0.307550252096425</v>
      </c>
      <c r="C221" s="2">
        <f t="shared" si="3"/>
        <v>1.2376044180473378</v>
      </c>
      <c r="D221" s="2">
        <v>6.4458992377920898</v>
      </c>
      <c r="E221" s="2">
        <v>10.181362395449799</v>
      </c>
      <c r="F221" s="2">
        <v>1.4186731929044501E-3</v>
      </c>
      <c r="G221" s="2">
        <v>3.7152645524746501E-2</v>
      </c>
      <c r="H221" s="2" t="s">
        <v>2480</v>
      </c>
      <c r="I221" s="2" t="s">
        <v>94</v>
      </c>
      <c r="J221" s="2" t="str">
        <f>HYPERLINK("https://vectorbase.org/vectorbase/app/record/gene/AGAP007728","AGAP007728-RA")</f>
        <v>AGAP007728-RA</v>
      </c>
      <c r="K221" s="2" t="str">
        <f>HYPERLINK(".\links\pep\AGAP007728-PA-pep.txt","AGAP007728-PA")</f>
        <v>AGAP007728-PA</v>
      </c>
      <c r="L221" s="12" t="s">
        <v>95</v>
      </c>
      <c r="M221" s="2">
        <v>696</v>
      </c>
      <c r="N221" s="2">
        <v>0</v>
      </c>
      <c r="O221" s="2">
        <v>2</v>
      </c>
      <c r="P221" s="2" t="s">
        <v>2481</v>
      </c>
      <c r="Q221" s="9" t="s">
        <v>2482</v>
      </c>
      <c r="R221" s="2" t="s">
        <v>447</v>
      </c>
      <c r="S221" s="2" t="str">
        <f>HYPERLINK(".\links\REFSEQ-INVERTEBRATE\AGAP007728-PA-REFSEQ-INVERTEBRATE.txt","REFSEQ-INVERTEBRATE")</f>
        <v>REFSEQ-INVERTEBRATE</v>
      </c>
      <c r="T221" s="2">
        <v>0</v>
      </c>
      <c r="U221" s="2">
        <v>100</v>
      </c>
      <c r="V221" s="2" t="s">
        <v>2483</v>
      </c>
      <c r="W221" s="10" t="s">
        <v>183</v>
      </c>
      <c r="X221" s="2" t="s">
        <v>1558</v>
      </c>
      <c r="Y221" s="2" t="str">
        <f>HYPERLINK(".\links\COG\AGAP007728-PA-COG.txt","COG")</f>
        <v>COG</v>
      </c>
      <c r="Z221" s="15">
        <v>7.0000000000000001E-67</v>
      </c>
      <c r="AA221" s="2">
        <v>89</v>
      </c>
      <c r="AB221" s="13" t="s">
        <v>102</v>
      </c>
      <c r="AC221" s="13" t="str">
        <f>HYPERLINK(".\links\Sigp\AGAP007728-PA-SigP.txt","CYT")</f>
        <v>CYT</v>
      </c>
      <c r="AD221" s="2" t="s">
        <v>102</v>
      </c>
      <c r="AE221" s="2">
        <v>79.474999999999994</v>
      </c>
      <c r="AF221" s="2">
        <v>6.02</v>
      </c>
      <c r="AG221" s="2" t="s">
        <v>102</v>
      </c>
      <c r="AH221" s="2" t="s">
        <v>102</v>
      </c>
      <c r="AI221" s="2" t="s">
        <v>555</v>
      </c>
      <c r="AJ221" s="13">
        <v>0</v>
      </c>
      <c r="AK221" s="2" t="s">
        <v>102</v>
      </c>
      <c r="AL221" s="2" t="s">
        <v>102</v>
      </c>
      <c r="AM221" s="2" t="s">
        <v>102</v>
      </c>
      <c r="AN221" s="13" t="str">
        <f>HYPERLINK(".\links\gpi\AGAP007728-PA-gpi.txt","N")</f>
        <v>N</v>
      </c>
      <c r="AO221" s="14" t="str">
        <f>HYPERLINK(".\links\netoglyc\AGAP007728-PA-netoglyc.txt","0")</f>
        <v>0</v>
      </c>
      <c r="AP221" s="13">
        <v>13.6</v>
      </c>
      <c r="AQ221" s="2">
        <v>5</v>
      </c>
      <c r="AR221" s="2">
        <v>4.3</v>
      </c>
      <c r="AS221" s="2" t="s">
        <v>104</v>
      </c>
      <c r="AT221" s="9" t="str">
        <f>HYPERLINK(".\links\NR-LIGHT\AGAP007728-PA-NR-LIGHT.txt","AGAP007728-PA")</f>
        <v>AGAP007728-PA</v>
      </c>
      <c r="AU221" s="2" t="str">
        <f>HYPERLINK("http://www.ncbi.nlm.nih.gov/sutils/blink.cgi?pid=XP_308148.3","0.0")</f>
        <v>0.0</v>
      </c>
      <c r="AV221" s="2" t="str">
        <f>HYPERLINK("http://www.ncbi.nlm.nih.gov/protein/XP_308148.3","XP_308148.3")</f>
        <v>XP_308148.3</v>
      </c>
      <c r="AW221" s="2">
        <v>100</v>
      </c>
      <c r="AX221" s="2">
        <v>100</v>
      </c>
      <c r="AY221" s="2">
        <v>100</v>
      </c>
      <c r="AZ221" s="2" t="s">
        <v>105</v>
      </c>
      <c r="BA221" s="9" t="str">
        <f>HYPERLINK(".\links\REFSEQ-INVERTEBRATE\AGAP007728-PA-REFSEQ-INVERTEBRATE.txt","AGAP007728-PA")</f>
        <v>AGAP007728-PA</v>
      </c>
      <c r="BB221" s="2" t="str">
        <f>HYPERLINK("http://www.ncbi.nlm.nih.gov/sutils/blink.cgi?pid=XP_308148.3","0.0")</f>
        <v>0.0</v>
      </c>
      <c r="BC221" s="2" t="str">
        <f>HYPERLINK("http://www.ncbi.nlm.nih.gov/protein/XP_308148.3","XP_308148.3")</f>
        <v>XP_308148.3</v>
      </c>
      <c r="BD221" s="2">
        <v>100</v>
      </c>
      <c r="BE221" s="2">
        <v>100</v>
      </c>
      <c r="BF221" s="2">
        <v>100</v>
      </c>
      <c r="BG221" s="2" t="s">
        <v>105</v>
      </c>
      <c r="BH221" s="9" t="str">
        <f>HYPERLINK(".\links\REFSEQ-PROTOZOA\AGAP007728-PA-REFSEQ-PROTOZOA.txt","hypothetical protein SDRG_11506")</f>
        <v>hypothetical protein SDRG_11506</v>
      </c>
      <c r="BI221" s="2" t="str">
        <f>HYPERLINK("http://www.ncbi.nlm.nih.gov/sutils/blink.cgi?pid=XP_008615771.1","1E-105")</f>
        <v>1E-105</v>
      </c>
      <c r="BJ221" s="2" t="str">
        <f>HYPERLINK("http://www.ncbi.nlm.nih.gov/protein/XP_008615771.1","XP_008615771.1")</f>
        <v>XP_008615771.1</v>
      </c>
      <c r="BK221" s="2">
        <v>34</v>
      </c>
      <c r="BL221" s="2">
        <v>51</v>
      </c>
      <c r="BM221" s="2">
        <v>96</v>
      </c>
      <c r="BN221" s="2" t="s">
        <v>1766</v>
      </c>
      <c r="BO221" s="9" t="str">
        <f>HYPERLINK(".\links\SWISSP\AGAP007728-PA-SWISSP.txt","Mitochondrial intermediate peptidase")</f>
        <v>Mitochondrial intermediate peptidase</v>
      </c>
      <c r="BP221" s="2" t="str">
        <f>HYPERLINK("http://www.uniprot.org/uniprot/Q99797","0.0")</f>
        <v>0.0</v>
      </c>
      <c r="BQ221" s="2" t="str">
        <f>HYPERLINK("http://www.uniprot.org/uniprot/Q99797#expression","Q99797")</f>
        <v>Q99797</v>
      </c>
      <c r="BR221" s="2">
        <v>51</v>
      </c>
      <c r="BS221" s="2">
        <v>71</v>
      </c>
      <c r="BT221" s="2">
        <v>94</v>
      </c>
      <c r="BU221" s="2" t="s">
        <v>127</v>
      </c>
      <c r="BV221" s="9" t="str">
        <f>HYPERLINK(".\links\FLYBASE\AGAP007728-PA-FLYBASE.txt","FBpp0085393")</f>
        <v>FBpp0085393</v>
      </c>
      <c r="BW221" s="2" t="str">
        <f>HYPERLINK("http://flybase.org/reports/FBgn0033038#alliance_summary_container","0.0")</f>
        <v>0.0</v>
      </c>
      <c r="BX221" s="2">
        <v>699</v>
      </c>
      <c r="BY221" s="2">
        <v>65</v>
      </c>
      <c r="BZ221" s="2">
        <v>80</v>
      </c>
      <c r="CA221" s="2">
        <v>97</v>
      </c>
      <c r="CB221" s="9" t="str">
        <f>HYPERLINK(".\links\CDD\AGAP007728-PA-CDD.txt","M3A_MIP, Peptidase M3 mitochondrial intermediate peptidase (MIP)")</f>
        <v>M3A_MIP, Peptidase M3 mitochondrial intermediate peptidase (MIP)</v>
      </c>
      <c r="CC221" s="15">
        <v>0</v>
      </c>
      <c r="CD221" s="2">
        <v>105.4</v>
      </c>
      <c r="CE221" s="2" t="s">
        <v>2484</v>
      </c>
      <c r="CF221" s="2" t="s">
        <v>2485</v>
      </c>
      <c r="CG221" s="9" t="str">
        <f>HYPERLINK(".\links\KOG\AGAP007728-PA-KOG.txt","Metalloendopeptidase family - mitochondrial intermediate peptidase")</f>
        <v>Metalloendopeptidase family - mitochondrial intermediate peptidase</v>
      </c>
      <c r="CH221" s="15">
        <v>0</v>
      </c>
      <c r="CI221" s="2">
        <v>97.6</v>
      </c>
      <c r="CJ221" s="2" t="s">
        <v>2486</v>
      </c>
      <c r="CK221" s="2" t="s">
        <v>111</v>
      </c>
      <c r="CL221" s="9" t="str">
        <f>HYPERLINK(".\links\PFAM\AGAP007728-PA-PFAM.txt","Peptidase_M3, Peptidase family M3")</f>
        <v>Peptidase_M3, Peptidase family M3</v>
      </c>
      <c r="CM221" s="15">
        <v>3E-98</v>
      </c>
      <c r="CN221" s="2">
        <v>100.2</v>
      </c>
      <c r="CO221" s="2" t="s">
        <v>2487</v>
      </c>
      <c r="CP221" s="9" t="str">
        <f>HYPERLINK(".\links\SMART\AGAP007728-PA-SMART.txt","Catalase, Catalases are antioxidant enzymes that catalyse the conversion of hydrogen peroxide to water and molecular oxygen, serving to protect cells from its toxic effects")</f>
        <v>Catalase, Catalases are antioxidant enzymes that catalyse the conversion of hydrogen peroxide to water and molecular oxygen, serving to protect cells from its toxic effects</v>
      </c>
      <c r="CQ221" s="15">
        <v>2.2000000000000002</v>
      </c>
      <c r="CR221" s="2">
        <v>3.5</v>
      </c>
      <c r="CS221" s="2" t="s">
        <v>2488</v>
      </c>
      <c r="CT221" s="2" t="s">
        <v>2483</v>
      </c>
      <c r="CU221" s="2" t="s">
        <v>2483</v>
      </c>
      <c r="CV221" s="2" t="s">
        <v>2483</v>
      </c>
      <c r="CW221" s="2" t="str">
        <f>HYPERLINK(".\links\pep\AGAP007728-PA-pep.txt","AGAP007728-PA")</f>
        <v>AGAP007728-PA</v>
      </c>
      <c r="CX221" s="2" t="s">
        <v>95</v>
      </c>
      <c r="CY221" s="2">
        <v>696</v>
      </c>
      <c r="CZ221" s="2" t="s">
        <v>113</v>
      </c>
      <c r="DA221" s="2" t="s">
        <v>2489</v>
      </c>
      <c r="DB221" s="2">
        <v>0</v>
      </c>
      <c r="DC221" s="2">
        <v>2</v>
      </c>
      <c r="DD221" s="2" t="str">
        <f>HYPERLINK("https://www.kegg.jp/kegg-bin/search_pathway_text?map=aga&amp;keyword=AGAP007728&amp;mode=1&amp;viewImage=true","AGAP007728")</f>
        <v>AGAP007728</v>
      </c>
      <c r="DE221" s="2" t="s">
        <v>2479</v>
      </c>
      <c r="DF221" s="2" t="s">
        <v>2480</v>
      </c>
      <c r="DG221" s="2" t="s">
        <v>94</v>
      </c>
      <c r="DH221" s="2" t="str">
        <f>HYPERLINK("https://vectorbase.org/vectorbase/app/record/gene/AGAP007728","AGAP007728-RA")</f>
        <v>AGAP007728-RA</v>
      </c>
      <c r="DI221" s="2" t="s">
        <v>115</v>
      </c>
      <c r="DJ221" s="2">
        <v>2544</v>
      </c>
      <c r="DK221" s="2" t="str">
        <f>HYPERLINK(".\links\netoglyc\AGAP007728-PA-netoglyc.txt","0")</f>
        <v>0</v>
      </c>
      <c r="DL221" s="2">
        <v>13.6</v>
      </c>
      <c r="DM221" s="2">
        <v>5</v>
      </c>
      <c r="DN221" s="2">
        <v>4.3</v>
      </c>
      <c r="DO221" s="2" t="s">
        <v>104</v>
      </c>
      <c r="DP221" s="2" t="s">
        <v>2490</v>
      </c>
      <c r="DQ221" s="2" t="str">
        <f>HYPERLINK(".\links\Sigp\AGAP007728-PA-SigP.txt","CYT")</f>
        <v>CYT</v>
      </c>
      <c r="DR221" s="2" t="s">
        <v>102</v>
      </c>
      <c r="DS221" s="2">
        <v>79.474999999999994</v>
      </c>
      <c r="DT221" s="2">
        <v>6.02</v>
      </c>
      <c r="DU221" s="2" t="s">
        <v>102</v>
      </c>
      <c r="DV221" s="2" t="s">
        <v>102</v>
      </c>
      <c r="DW221" s="2" t="s">
        <v>555</v>
      </c>
      <c r="DX221" s="2">
        <v>696</v>
      </c>
      <c r="DY221" s="12">
        <v>0</v>
      </c>
      <c r="DZ221" s="2" t="s">
        <v>102</v>
      </c>
      <c r="EA221" s="2" t="s">
        <v>102</v>
      </c>
      <c r="EB221" s="2" t="s">
        <v>102</v>
      </c>
      <c r="EC221" s="2" t="str">
        <f>HYPERLINK(".\links\gpi\AGAP007728-PA-gpi.txt","Y-NoSP")</f>
        <v>Y-NoSP</v>
      </c>
      <c r="ED221" s="2">
        <v>0.16</v>
      </c>
      <c r="EF221" s="2">
        <v>13</v>
      </c>
      <c r="EG221" s="2" t="s">
        <v>102</v>
      </c>
      <c r="EH221" s="2" t="s">
        <v>102</v>
      </c>
      <c r="EI221" s="2">
        <v>13.6494252873563</v>
      </c>
      <c r="EJ221" s="2">
        <v>4.31034482758621</v>
      </c>
      <c r="EK221" s="2">
        <v>5.0287356321839098</v>
      </c>
      <c r="EL221" s="2">
        <v>9.3390804597701091</v>
      </c>
      <c r="EM221" s="2" t="s">
        <v>102</v>
      </c>
      <c r="EN221" s="2" t="s">
        <v>102</v>
      </c>
      <c r="EO221" s="2">
        <v>1</v>
      </c>
      <c r="EP221" s="2" t="s">
        <v>102</v>
      </c>
      <c r="EQ221" s="2" t="s">
        <v>102</v>
      </c>
      <c r="ER221" s="2" t="s">
        <v>102</v>
      </c>
      <c r="ES221" s="2" t="s">
        <v>102</v>
      </c>
      <c r="ET221" s="2" t="str">
        <f>HYPERLINK(".\links\REFSEQ-INVERTEBRATE\AGAP007728-PA-REFSEQ-INVERTEBRATE.txt","AGAP007728-PA")</f>
        <v>AGAP007728-PA</v>
      </c>
      <c r="EU221" s="2" t="str">
        <f>HYPERLINK("http://www.ncbi.nlm.nih.gov/sutils/blink.cgi?pid=XP_308148.3","0.0")</f>
        <v>0.0</v>
      </c>
      <c r="EV221" s="2" t="str">
        <f>HYPERLINK("http://www.ncbi.nlm.nih.gov/protein/XP_308148.3","XP_308148.3")</f>
        <v>XP_308148.3</v>
      </c>
      <c r="EW221" s="2">
        <v>100</v>
      </c>
      <c r="EX221" s="2">
        <v>100</v>
      </c>
      <c r="EY221" s="2">
        <v>100</v>
      </c>
      <c r="EZ221" s="2" t="s">
        <v>105</v>
      </c>
    </row>
    <row r="222" spans="1:156" x14ac:dyDescent="0.25">
      <c r="A222" s="2" t="s">
        <v>2491</v>
      </c>
      <c r="B222" s="2">
        <v>0.30741643776925098</v>
      </c>
      <c r="C222" s="2">
        <f t="shared" si="3"/>
        <v>1.2374896318190112</v>
      </c>
      <c r="D222" s="2">
        <v>6.29156738019093</v>
      </c>
      <c r="E222" s="2">
        <v>13.635534243788999</v>
      </c>
      <c r="F222" s="2">
        <v>2.2194470159781301E-4</v>
      </c>
      <c r="G222" s="2">
        <v>1.6570189653382202E-2</v>
      </c>
      <c r="H222" s="2" t="s">
        <v>2492</v>
      </c>
      <c r="I222" s="2" t="s">
        <v>94</v>
      </c>
      <c r="J222" s="2" t="str">
        <f>HYPERLINK("https://vectorbase.org/vectorbase/app/record/gene/AGAP004509","AGAP004509-RA")</f>
        <v>AGAP004509-RA</v>
      </c>
      <c r="K222" s="2" t="str">
        <f>HYPERLINK(".\links\pep\AGAP004509-PA-pep.txt","AGAP004509-PA")</f>
        <v>AGAP004509-PA</v>
      </c>
      <c r="L222" s="12" t="s">
        <v>95</v>
      </c>
      <c r="M222" s="2">
        <v>441</v>
      </c>
      <c r="N222" s="2">
        <v>0</v>
      </c>
      <c r="O222" s="2">
        <v>5</v>
      </c>
      <c r="P222" s="2" t="s">
        <v>2493</v>
      </c>
      <c r="Q222" s="9" t="s">
        <v>2494</v>
      </c>
      <c r="R222" s="2" t="s">
        <v>420</v>
      </c>
      <c r="S222" s="2" t="str">
        <f>HYPERLINK(".\links\REFSEQ-INVERTEBRATE\AGAP004509-PA-REFSEQ-INVERTEBRATE.txt","REFSEQ-INVERTEBRATE")</f>
        <v>REFSEQ-INVERTEBRATE</v>
      </c>
      <c r="T222" s="2">
        <v>0</v>
      </c>
      <c r="U222" s="2">
        <v>102.3</v>
      </c>
      <c r="V222" s="2" t="s">
        <v>2495</v>
      </c>
      <c r="W222" s="10" t="s">
        <v>2496</v>
      </c>
      <c r="X222" s="2" t="s">
        <v>420</v>
      </c>
      <c r="Y222" s="2" t="str">
        <f>HYPERLINK(".\links\REFSEQ-PROTOZOA\AGAP004509-PA-REFSEQ-PROTOZOA.txt","REFSEQ-PROTOZOA")</f>
        <v>REFSEQ-PROTOZOA</v>
      </c>
      <c r="Z222" s="15">
        <v>0</v>
      </c>
      <c r="AA222" s="2">
        <v>81.400000000000006</v>
      </c>
      <c r="AB222" s="13" t="s">
        <v>102</v>
      </c>
      <c r="AC222" s="13" t="str">
        <f>HYPERLINK(".\links\Sigp\AGAP004509-PA-SigP.txt","CYT")</f>
        <v>CYT</v>
      </c>
      <c r="AD222" s="2" t="s">
        <v>102</v>
      </c>
      <c r="AE222" s="2">
        <v>48.756999999999998</v>
      </c>
      <c r="AF222" s="2">
        <v>9</v>
      </c>
      <c r="AG222" s="2" t="s">
        <v>102</v>
      </c>
      <c r="AH222" s="2" t="s">
        <v>102</v>
      </c>
      <c r="AI222" s="2" t="s">
        <v>211</v>
      </c>
      <c r="AJ222" s="13">
        <v>0</v>
      </c>
      <c r="AK222" s="2" t="s">
        <v>102</v>
      </c>
      <c r="AL222" s="2" t="s">
        <v>102</v>
      </c>
      <c r="AM222" s="2" t="s">
        <v>102</v>
      </c>
      <c r="AN222" s="13" t="str">
        <f>HYPERLINK(".\links\gpi\AGAP004509-PA-gpi.txt","N")</f>
        <v>N</v>
      </c>
      <c r="AO222" s="14" t="str">
        <f>HYPERLINK(".\links\netoglyc\AGAP004509-PA-netoglyc.txt","7")</f>
        <v>7</v>
      </c>
      <c r="AP222" s="13">
        <v>11.6</v>
      </c>
      <c r="AQ222" s="2">
        <v>7.9</v>
      </c>
      <c r="AR222" s="2">
        <v>9.1</v>
      </c>
      <c r="AS222" s="2" t="s">
        <v>104</v>
      </c>
      <c r="AT222" s="9" t="str">
        <f>HYPERLINK(".\links\NR-LIGHT\AGAP004509-PA-NR-LIGHT.txt","AGAP004509-PA")</f>
        <v>AGAP004509-PA</v>
      </c>
      <c r="AU222" s="2" t="str">
        <f>HYPERLINK("http://www.ncbi.nlm.nih.gov/sutils/blink.cgi?pid=XP_313808.4","0.0")</f>
        <v>0.0</v>
      </c>
      <c r="AV222" s="2" t="str">
        <f>HYPERLINK("http://www.ncbi.nlm.nih.gov/protein/XP_313808.4","XP_313808.4")</f>
        <v>XP_313808.4</v>
      </c>
      <c r="AW222" s="2">
        <v>100</v>
      </c>
      <c r="AX222" s="2">
        <v>100</v>
      </c>
      <c r="AY222" s="2">
        <v>100</v>
      </c>
      <c r="AZ222" s="2" t="s">
        <v>105</v>
      </c>
      <c r="BA222" s="9" t="str">
        <f>HYPERLINK(".\links\REFSEQ-INVERTEBRATE\AGAP004509-PA-REFSEQ-INVERTEBRATE.txt","AGAP004509-PA")</f>
        <v>AGAP004509-PA</v>
      </c>
      <c r="BB222" s="2" t="str">
        <f>HYPERLINK("http://www.ncbi.nlm.nih.gov/sutils/blink.cgi?pid=XP_313808.4","0.0")</f>
        <v>0.0</v>
      </c>
      <c r="BC222" s="2" t="str">
        <f>HYPERLINK("http://www.ncbi.nlm.nih.gov/protein/XP_313808.4","XP_313808.4")</f>
        <v>XP_313808.4</v>
      </c>
      <c r="BD222" s="2">
        <v>100</v>
      </c>
      <c r="BE222" s="2">
        <v>100</v>
      </c>
      <c r="BF222" s="2">
        <v>100</v>
      </c>
      <c r="BG222" s="2" t="s">
        <v>105</v>
      </c>
      <c r="BH222" s="9" t="str">
        <f>HYPERLINK(".\links\REFSEQ-PROTOZOA\AGAP004509-PA-REFSEQ-PROTOZOA.txt","hypothetical protein SARC_06592")</f>
        <v>hypothetical protein SARC_06592</v>
      </c>
      <c r="BI222" s="2" t="str">
        <f>HYPERLINK("http://www.ncbi.nlm.nih.gov/sutils/blink.cgi?pid=XP_014154971.1","1E-115")</f>
        <v>1E-115</v>
      </c>
      <c r="BJ222" s="2" t="str">
        <f>HYPERLINK("http://www.ncbi.nlm.nih.gov/protein/XP_014154971.1","XP_014154971.1")</f>
        <v>XP_014154971.1</v>
      </c>
      <c r="BK222" s="2">
        <v>46</v>
      </c>
      <c r="BL222" s="2">
        <v>60</v>
      </c>
      <c r="BM222" s="2">
        <v>117</v>
      </c>
      <c r="BN222" s="2" t="s">
        <v>393</v>
      </c>
      <c r="BO222" s="9" t="str">
        <f>HYPERLINK(".\links\SWISSP\AGAP004509-PA-SWISSP.txt","Pre-mRNA-splicing factor RBM22")</f>
        <v>Pre-mRNA-splicing factor RBM22</v>
      </c>
      <c r="BP222" s="2" t="str">
        <f>HYPERLINK("http://www.uniprot.org/uniprot/Q4V7D7","1E-152")</f>
        <v>1E-152</v>
      </c>
      <c r="BQ222" s="2" t="str">
        <f>HYPERLINK("http://www.uniprot.org/uniprot/Q4V7D7#expression","Q4V7D7")</f>
        <v>Q4V7D7</v>
      </c>
      <c r="BR222" s="2">
        <v>59</v>
      </c>
      <c r="BS222" s="2">
        <v>71</v>
      </c>
      <c r="BT222" s="2">
        <v>107</v>
      </c>
      <c r="BU222" s="2" t="s">
        <v>305</v>
      </c>
      <c r="BV222" s="9" t="str">
        <f>HYPERLINK(".\links\FLYBASE\AGAP004509-PA-FLYBASE.txt","FBpp0078624")</f>
        <v>FBpp0078624</v>
      </c>
      <c r="BW222" s="2" t="str">
        <f>HYPERLINK("http://flybase.org/reports/FBgn0037220#alliance_summary_container","0.0")</f>
        <v>0.0</v>
      </c>
      <c r="BX222" s="2">
        <v>418</v>
      </c>
      <c r="BY222" s="2">
        <v>69</v>
      </c>
      <c r="BZ222" s="2">
        <v>80</v>
      </c>
      <c r="CA222" s="2">
        <v>106</v>
      </c>
      <c r="CB222" s="9" t="str">
        <f>HYPERLINK(".\links\CDD\AGAP004509-PA-CDD.txt","RRM_RBM22, RNA recognition motif (RRM) found in Pre-mRNA-splicing factor RBM22 and similar proteins")</f>
        <v>RRM_RBM22, RNA recognition motif (RRM) found in Pre-mRNA-splicing factor RBM22 and similar proteins</v>
      </c>
      <c r="CC222" s="15">
        <v>1E-35</v>
      </c>
      <c r="CD222" s="2">
        <v>100</v>
      </c>
      <c r="CE222" s="2" t="s">
        <v>2497</v>
      </c>
      <c r="CF222" s="2" t="s">
        <v>2498</v>
      </c>
      <c r="CG222" s="9" t="str">
        <f>HYPERLINK(".\links\KOG\AGAP004509-PA-KOG.txt","Predicted RNA-binding protein (RRM superfamily)")</f>
        <v>Predicted RNA-binding protein (RRM superfamily)</v>
      </c>
      <c r="CH222" s="15">
        <v>9.9999999999999995E-144</v>
      </c>
      <c r="CI222" s="2">
        <v>101.3</v>
      </c>
      <c r="CJ222" s="2" t="s">
        <v>2499</v>
      </c>
      <c r="CK222" s="2" t="s">
        <v>191</v>
      </c>
      <c r="CL222" s="9" t="str">
        <f>HYPERLINK(".\links\PFAM\AGAP004509-PA-PFAM.txt","RRM_1, RNA recognition motif")</f>
        <v>RRM_1, RNA recognition motif</v>
      </c>
      <c r="CM222" s="15">
        <v>5.0000000000000001E-9</v>
      </c>
      <c r="CN222" s="2">
        <v>101.4</v>
      </c>
      <c r="CO222" s="2" t="s">
        <v>1253</v>
      </c>
      <c r="CP222" s="9" t="str">
        <f>HYPERLINK(".\links\SMART\AGAP004509-PA-SMART.txt","RRM, RNA recognition motif")</f>
        <v>RRM, RNA recognition motif</v>
      </c>
      <c r="CQ222" s="15">
        <v>4.0000000000000001E-13</v>
      </c>
      <c r="CR222" s="2">
        <v>101.4</v>
      </c>
      <c r="CS222" s="2" t="s">
        <v>1254</v>
      </c>
      <c r="CT222" s="2" t="s">
        <v>2495</v>
      </c>
      <c r="CU222" s="2" t="s">
        <v>2495</v>
      </c>
      <c r="CV222" s="2" t="s">
        <v>2495</v>
      </c>
      <c r="CW222" s="2" t="str">
        <f>HYPERLINK(".\links\pep\AGAP004509-PA-pep.txt","AGAP004509-PA")</f>
        <v>AGAP004509-PA</v>
      </c>
      <c r="CX222" s="2" t="s">
        <v>95</v>
      </c>
      <c r="CY222" s="2">
        <v>441</v>
      </c>
      <c r="CZ222" s="2" t="s">
        <v>113</v>
      </c>
      <c r="DA222" s="2" t="s">
        <v>2500</v>
      </c>
      <c r="DB222" s="2">
        <v>0</v>
      </c>
      <c r="DC222" s="2">
        <v>5</v>
      </c>
      <c r="DD222" s="2" t="str">
        <f>HYPERLINK("https://www.kegg.jp/kegg-bin/search_pathway_text?map=aga&amp;keyword=AGAP004509&amp;mode=1&amp;viewImage=true","AGAP004509")</f>
        <v>AGAP004509</v>
      </c>
      <c r="DE222" s="2" t="s">
        <v>2491</v>
      </c>
      <c r="DF222" s="2" t="s">
        <v>2492</v>
      </c>
      <c r="DG222" s="2" t="s">
        <v>94</v>
      </c>
      <c r="DH222" s="2" t="str">
        <f>HYPERLINK("https://vectorbase.org/vectorbase/app/record/gene/AGAP004509","AGAP004509-RA")</f>
        <v>AGAP004509-RA</v>
      </c>
      <c r="DI222" s="2" t="s">
        <v>135</v>
      </c>
      <c r="DJ222" s="2">
        <v>1498</v>
      </c>
      <c r="DK222" s="2" t="str">
        <f>HYPERLINK(".\links\netoglyc\AGAP004509-PA-netoglyc.txt","7")</f>
        <v>7</v>
      </c>
      <c r="DL222" s="2">
        <v>11.6</v>
      </c>
      <c r="DM222" s="2">
        <v>7.9</v>
      </c>
      <c r="DN222" s="2">
        <v>9.1</v>
      </c>
      <c r="DO222" s="2" t="s">
        <v>104</v>
      </c>
      <c r="DP222" s="2" t="s">
        <v>2501</v>
      </c>
      <c r="DQ222" s="2" t="str">
        <f>HYPERLINK(".\links\Sigp\AGAP004509-PA-SigP.txt","CYT")</f>
        <v>CYT</v>
      </c>
      <c r="DR222" s="2" t="s">
        <v>102</v>
      </c>
      <c r="DS222" s="2">
        <v>48.756999999999998</v>
      </c>
      <c r="DT222" s="2">
        <v>9</v>
      </c>
      <c r="DU222" s="2" t="s">
        <v>102</v>
      </c>
      <c r="DV222" s="2" t="s">
        <v>102</v>
      </c>
      <c r="DW222" s="2" t="s">
        <v>211</v>
      </c>
      <c r="DX222" s="2">
        <v>441</v>
      </c>
      <c r="DY222" s="12">
        <v>0</v>
      </c>
      <c r="DZ222" s="2" t="s">
        <v>102</v>
      </c>
      <c r="EA222" s="2" t="s">
        <v>102</v>
      </c>
      <c r="EB222" s="2" t="s">
        <v>102</v>
      </c>
      <c r="EC222" s="2" t="str">
        <f>HYPERLINK(".\links\gpi\AGAP004509-PA-gpi.txt","Y-NoSP")</f>
        <v>Y-NoSP</v>
      </c>
      <c r="ED222" s="2">
        <v>0.22</v>
      </c>
      <c r="EF222" s="2">
        <v>13</v>
      </c>
      <c r="EG222" s="2" t="s">
        <v>102</v>
      </c>
      <c r="EH222" s="2" t="s">
        <v>102</v>
      </c>
      <c r="EI222" s="2">
        <v>11.5646258503401</v>
      </c>
      <c r="EJ222" s="2">
        <v>9.0702947845805006</v>
      </c>
      <c r="EK222" s="2">
        <v>7.9365079365079403</v>
      </c>
      <c r="EL222" s="2">
        <v>17.006802721088398</v>
      </c>
      <c r="EM222" s="2">
        <v>3</v>
      </c>
      <c r="EN222" s="2">
        <v>1</v>
      </c>
      <c r="EO222" s="2">
        <v>6</v>
      </c>
      <c r="EP222" s="2" t="s">
        <v>102</v>
      </c>
      <c r="EQ222" s="2" t="s">
        <v>102</v>
      </c>
      <c r="ER222" s="2" t="s">
        <v>102</v>
      </c>
      <c r="ES222" s="2" t="s">
        <v>102</v>
      </c>
      <c r="ET222" s="2" t="str">
        <f>HYPERLINK(".\links\REFSEQ-INVERTEBRATE\AGAP004509-PA-REFSEQ-INVERTEBRATE.txt","AGAP004509-PA")</f>
        <v>AGAP004509-PA</v>
      </c>
      <c r="EU222" s="2" t="str">
        <f>HYPERLINK("http://www.ncbi.nlm.nih.gov/sutils/blink.cgi?pid=XP_313808.4","0.0")</f>
        <v>0.0</v>
      </c>
      <c r="EV222" s="2" t="str">
        <f>HYPERLINK("http://www.ncbi.nlm.nih.gov/protein/XP_313808.4","XP_313808.4")</f>
        <v>XP_313808.4</v>
      </c>
      <c r="EW222" s="2">
        <v>100</v>
      </c>
      <c r="EX222" s="2">
        <v>100</v>
      </c>
      <c r="EY222" s="2">
        <v>100</v>
      </c>
      <c r="EZ222" s="2" t="s">
        <v>105</v>
      </c>
    </row>
    <row r="223" spans="1:156" x14ac:dyDescent="0.25">
      <c r="A223" s="2" t="s">
        <v>2502</v>
      </c>
      <c r="B223" s="2">
        <v>0.30706496749183898</v>
      </c>
      <c r="C223" s="2">
        <f t="shared" si="3"/>
        <v>1.2371881905331628</v>
      </c>
      <c r="D223" s="2">
        <v>5.3308181915593096</v>
      </c>
      <c r="E223" s="2">
        <v>10.6097285234419</v>
      </c>
      <c r="F223" s="2">
        <v>1.1249420484713999E-3</v>
      </c>
      <c r="G223" s="2">
        <v>3.3908380030222798E-2</v>
      </c>
      <c r="H223" s="2" t="s">
        <v>93</v>
      </c>
      <c r="I223" s="2" t="s">
        <v>94</v>
      </c>
      <c r="J223" s="2" t="str">
        <f>HYPERLINK("https://vectorbase.org/vectorbase/app/record/gene/AGAP011404","AGAP011404-RA")</f>
        <v>AGAP011404-RA</v>
      </c>
      <c r="K223" s="2" t="str">
        <f>HYPERLINK(".\links\pep\AGAP011404-PA-pep.txt","AGAP011404-PA")</f>
        <v>AGAP011404-PA</v>
      </c>
      <c r="L223" s="12" t="s">
        <v>95</v>
      </c>
      <c r="M223" s="2">
        <v>410</v>
      </c>
      <c r="N223" s="2">
        <v>0</v>
      </c>
      <c r="O223" s="2">
        <v>1</v>
      </c>
      <c r="P223" s="2" t="s">
        <v>102</v>
      </c>
      <c r="Q223" s="9" t="s">
        <v>2503</v>
      </c>
      <c r="R223" s="2" t="s">
        <v>420</v>
      </c>
      <c r="S223" s="2" t="str">
        <f>HYPERLINK(".\links\KOG\AGAP011404-PA-KOG.txt","KOG")</f>
        <v>KOG</v>
      </c>
      <c r="T223" s="2">
        <v>5.0000000000000003E-10</v>
      </c>
      <c r="U223" s="2">
        <v>40</v>
      </c>
      <c r="V223" s="2" t="s">
        <v>2504</v>
      </c>
      <c r="W223" s="10" t="s">
        <v>740</v>
      </c>
      <c r="X223" s="2" t="s">
        <v>420</v>
      </c>
      <c r="Y223" s="2" t="str">
        <f>HYPERLINK(".\links\UNIPROTKB\AGAP011404-PA-UNIPROTKB.txt","UNIPROTKB")</f>
        <v>UNIPROTKB</v>
      </c>
      <c r="Z223" s="2">
        <v>9.9999999999999998E-13</v>
      </c>
      <c r="AA223" s="2">
        <v>30.4</v>
      </c>
      <c r="AB223" s="13" t="str">
        <f>HYPERLINK(".\links\pep\AGAP011404-PA-sulf.txt","4")</f>
        <v>4</v>
      </c>
      <c r="AC223" s="13" t="str">
        <f>HYPERLINK(".\links\Sigp\AGAP011404-PA-SigP.txt","CYT")</f>
        <v>CYT</v>
      </c>
      <c r="AD223" s="2" t="s">
        <v>102</v>
      </c>
      <c r="AE223" s="2">
        <v>47.609000000000002</v>
      </c>
      <c r="AF223" s="2">
        <v>5.33</v>
      </c>
      <c r="AG223" s="2" t="s">
        <v>102</v>
      </c>
      <c r="AH223" s="2" t="s">
        <v>102</v>
      </c>
      <c r="AI223" s="2" t="s">
        <v>211</v>
      </c>
      <c r="AJ223" s="13">
        <v>0</v>
      </c>
      <c r="AK223" s="2" t="s">
        <v>102</v>
      </c>
      <c r="AL223" s="2" t="s">
        <v>102</v>
      </c>
      <c r="AM223" s="2" t="s">
        <v>102</v>
      </c>
      <c r="AN223" s="13" t="str">
        <f>HYPERLINK(".\links\gpi\AGAP011404-PA-gpi.txt","N")</f>
        <v>N</v>
      </c>
      <c r="AO223" s="14" t="str">
        <f>HYPERLINK(".\links\netoglyc\AGAP011404-PA-netoglyc.txt","2")</f>
        <v>2</v>
      </c>
      <c r="AP223" s="13">
        <v>10.199999999999999</v>
      </c>
      <c r="AQ223" s="2">
        <v>3.4</v>
      </c>
      <c r="AR223" s="2">
        <v>6.3</v>
      </c>
      <c r="AS223" s="2" t="s">
        <v>104</v>
      </c>
      <c r="AT223" s="9" t="str">
        <f>HYPERLINK(".\links\NR-LIGHT\AGAP011404-PA-NR-LIGHT.txt","AGAP011404-PA")</f>
        <v>AGAP011404-PA</v>
      </c>
      <c r="AU223" s="2" t="str">
        <f>HYPERLINK("http://www.ncbi.nlm.nih.gov/sutils/blink.cgi?pid=XP_317912.2","0.0")</f>
        <v>0.0</v>
      </c>
      <c r="AV223" s="2" t="str">
        <f>HYPERLINK("http://www.ncbi.nlm.nih.gov/protein/XP_317912.2","XP_317912.2")</f>
        <v>XP_317912.2</v>
      </c>
      <c r="AW223" s="2">
        <v>100</v>
      </c>
      <c r="AX223" s="2">
        <v>100</v>
      </c>
      <c r="AY223" s="2">
        <v>100</v>
      </c>
      <c r="AZ223" s="2" t="s">
        <v>105</v>
      </c>
      <c r="BA223" s="9" t="str">
        <f>HYPERLINK(".\links\REFSEQ-INVERTEBRATE\AGAP011404-PA-REFSEQ-INVERTEBRATE.txt","AGAP011404-PA")</f>
        <v>AGAP011404-PA</v>
      </c>
      <c r="BB223" s="2" t="str">
        <f>HYPERLINK("http://www.ncbi.nlm.nih.gov/sutils/blink.cgi?pid=XP_317912.2","0.0")</f>
        <v>0.0</v>
      </c>
      <c r="BC223" s="2" t="str">
        <f>HYPERLINK("http://www.ncbi.nlm.nih.gov/protein/XP_317912.2","XP_317912.2")</f>
        <v>XP_317912.2</v>
      </c>
      <c r="BD223" s="2">
        <v>100</v>
      </c>
      <c r="BE223" s="2">
        <v>100</v>
      </c>
      <c r="BF223" s="2">
        <v>100</v>
      </c>
      <c r="BG223" s="2" t="s">
        <v>105</v>
      </c>
      <c r="BH223" s="9" t="str">
        <f>HYPERLINK(".\links\REFSEQ-PROTOZOA\AGAP011404-PA-REFSEQ-PROTOZOA.txt","gastrula zinc finger protein XlCGF17.1")</f>
        <v>gastrula zinc finger protein XlCGF17.1</v>
      </c>
      <c r="BI223" s="2" t="str">
        <f>HYPERLINK("http://www.ncbi.nlm.nih.gov/sutils/blink.cgi?pid=XP_004988557.1","2E-011")</f>
        <v>2E-011</v>
      </c>
      <c r="BJ223" s="2" t="str">
        <f>HYPERLINK("http://www.ncbi.nlm.nih.gov/protein/XP_004988557.1","XP_004988557.1")</f>
        <v>XP_004988557.1</v>
      </c>
      <c r="BK223" s="2">
        <v>35</v>
      </c>
      <c r="BL223" s="2">
        <v>43</v>
      </c>
      <c r="BM223" s="2">
        <v>17</v>
      </c>
      <c r="BN223" s="2" t="s">
        <v>435</v>
      </c>
      <c r="BO223" s="9" t="str">
        <f>HYPERLINK(".\links\SWISSP\AGAP011404-PA-SWISSP.txt","Zinc finger protein 658")</f>
        <v>Zinc finger protein 658</v>
      </c>
      <c r="BP223" s="2" t="str">
        <f>HYPERLINK("http://www.uniprot.org/uniprot/Q5TYW1","6E-015")</f>
        <v>6E-015</v>
      </c>
      <c r="BQ223" s="2" t="str">
        <f>HYPERLINK("http://www.uniprot.org/uniprot/Q5TYW1#expression","Q5TYW1")</f>
        <v>Q5TYW1</v>
      </c>
      <c r="BR223" s="2">
        <v>36</v>
      </c>
      <c r="BS223" s="2">
        <v>48</v>
      </c>
      <c r="BT223" s="2">
        <v>13</v>
      </c>
      <c r="BU223" s="2" t="s">
        <v>127</v>
      </c>
      <c r="BV223" s="9" t="str">
        <f>HYPERLINK(".\links\FLYBASE\AGAP011404-PA-FLYBASE.txt","FBpp0083006")</f>
        <v>FBpp0083006</v>
      </c>
      <c r="BW223" s="2" t="str">
        <f>HYPERLINK("http://flybase.org/reports/FBgn0004618#alliance_summary_container","3E-11")</f>
        <v>3E-11</v>
      </c>
      <c r="BX223" s="2">
        <v>557</v>
      </c>
      <c r="BY223" s="2">
        <v>34</v>
      </c>
      <c r="BZ223" s="2">
        <v>49</v>
      </c>
      <c r="CA223" s="2">
        <v>21</v>
      </c>
      <c r="CB223" s="9" t="str">
        <f>HYPERLINK(".\links\CDD\AGAP011404-PA-CDD.txt","ZF_C2H2, Zinc finger, C2H2 type")</f>
        <v>ZF_C2H2, Zinc finger, C2H2 type</v>
      </c>
      <c r="CC223" s="15">
        <v>9.9999999999999994E-12</v>
      </c>
      <c r="CD223" s="2">
        <v>103.8</v>
      </c>
      <c r="CE223" s="2" t="s">
        <v>569</v>
      </c>
      <c r="CF223" s="2" t="s">
        <v>2505</v>
      </c>
      <c r="CG223" s="9" t="str">
        <f>HYPERLINK(".\links\KOG\AGAP011404-PA-KOG.txt","C2H2-type Zn-finger protein")</f>
        <v>C2H2-type Zn-finger protein</v>
      </c>
      <c r="CH223" s="15">
        <v>5.0000000000000003E-10</v>
      </c>
      <c r="CI223" s="2">
        <v>40.5</v>
      </c>
      <c r="CJ223" s="2" t="s">
        <v>743</v>
      </c>
      <c r="CK223" s="2" t="s">
        <v>309</v>
      </c>
      <c r="CL223" s="9" t="str">
        <f>HYPERLINK(".\links\PFAM\AGAP011404-PA-PFAM.txt","zf-AD, Zinc-finger associated domain (zf-AD)")</f>
        <v>zf-AD, Zinc-finger associated domain (zf-AD)</v>
      </c>
      <c r="CM223" s="15">
        <v>1E-4</v>
      </c>
      <c r="CN223" s="2">
        <v>101.4</v>
      </c>
      <c r="CO223" s="2" t="s">
        <v>687</v>
      </c>
      <c r="CP223" s="9" t="str">
        <f>HYPERLINK(".\links\SMART\AGAP011404-PA-SMART.txt","zf-AD, Zinc-finger associated domain (zf-AD)")</f>
        <v>zf-AD, Zinc-finger associated domain (zf-AD)</v>
      </c>
      <c r="CQ223" s="15">
        <v>5.0000000000000001E-9</v>
      </c>
      <c r="CR223" s="2">
        <v>101.4</v>
      </c>
      <c r="CS223" s="2" t="s">
        <v>684</v>
      </c>
      <c r="CT223" s="2" t="s">
        <v>2504</v>
      </c>
      <c r="CU223" s="2" t="s">
        <v>2504</v>
      </c>
      <c r="CV223" s="2" t="s">
        <v>2504</v>
      </c>
      <c r="CW223" s="2" t="str">
        <f>HYPERLINK(".\links\pep\AGAP011404-PA-pep.txt","AGAP011404-PA")</f>
        <v>AGAP011404-PA</v>
      </c>
      <c r="CX223" s="2" t="s">
        <v>95</v>
      </c>
      <c r="CY223" s="2">
        <v>410</v>
      </c>
      <c r="CZ223" s="2" t="s">
        <v>113</v>
      </c>
      <c r="DA223" s="2" t="s">
        <v>2506</v>
      </c>
      <c r="DB223" s="2">
        <v>0</v>
      </c>
      <c r="DC223" s="2">
        <v>1</v>
      </c>
      <c r="DD223" s="2" t="str">
        <f>HYPERLINK("https://www.kegg.jp/kegg-bin/search_pathway_text?map=aga&amp;keyword=AGAP011404&amp;mode=1&amp;viewImage=true","AGAP011404")</f>
        <v>AGAP011404</v>
      </c>
      <c r="DE223" s="2" t="s">
        <v>2502</v>
      </c>
      <c r="DF223" s="2" t="s">
        <v>93</v>
      </c>
      <c r="DG223" s="2" t="s">
        <v>94</v>
      </c>
      <c r="DH223" s="2" t="str">
        <f>HYPERLINK("https://vectorbase.org/vectorbase/app/record/gene/AGAP011404","AGAP011404-RA")</f>
        <v>AGAP011404-RA</v>
      </c>
      <c r="DI223" s="2" t="s">
        <v>135</v>
      </c>
      <c r="DJ223" s="2">
        <v>1336</v>
      </c>
      <c r="DK223" s="2" t="str">
        <f>HYPERLINK(".\links\netoglyc\AGAP011404-PA-netoglyc.txt","2")</f>
        <v>2</v>
      </c>
      <c r="DL223" s="2">
        <v>10.199999999999999</v>
      </c>
      <c r="DM223" s="2">
        <v>3.4</v>
      </c>
      <c r="DN223" s="2">
        <v>6.3</v>
      </c>
      <c r="DO223" s="2" t="s">
        <v>104</v>
      </c>
      <c r="DP223" s="2" t="s">
        <v>2507</v>
      </c>
      <c r="DQ223" s="2" t="str">
        <f>HYPERLINK(".\links\Sigp\AGAP011404-PA-SigP.txt","CYT")</f>
        <v>CYT</v>
      </c>
      <c r="DR223" s="2" t="s">
        <v>102</v>
      </c>
      <c r="DS223" s="2">
        <v>47.609000000000002</v>
      </c>
      <c r="DT223" s="2">
        <v>5.33</v>
      </c>
      <c r="DU223" s="2" t="s">
        <v>102</v>
      </c>
      <c r="DV223" s="2" t="s">
        <v>102</v>
      </c>
      <c r="DW223" s="2" t="s">
        <v>211</v>
      </c>
      <c r="DX223" s="2">
        <v>410</v>
      </c>
      <c r="DY223" s="12">
        <v>0</v>
      </c>
      <c r="DZ223" s="2" t="s">
        <v>102</v>
      </c>
      <c r="EA223" s="2" t="s">
        <v>102</v>
      </c>
      <c r="EB223" s="2" t="s">
        <v>102</v>
      </c>
      <c r="EC223" s="2" t="str">
        <f>HYPERLINK(".\links\gpi\AGAP011404-PA-gpi.txt","N")</f>
        <v>N</v>
      </c>
      <c r="ED223" s="2">
        <v>0.32</v>
      </c>
      <c r="EF223" s="2">
        <v>17</v>
      </c>
      <c r="EG223" s="2" t="str">
        <f>HYPERLINK(".\links\pep\AGAP011404-PA-sulf.txt","4")</f>
        <v>4</v>
      </c>
      <c r="EH223" s="2" t="s">
        <v>102</v>
      </c>
      <c r="EI223" s="2">
        <v>10.243902439024399</v>
      </c>
      <c r="EJ223" s="2">
        <v>6.3414634146341502</v>
      </c>
      <c r="EK223" s="2">
        <v>3.4146341463414598</v>
      </c>
      <c r="EL223" s="2">
        <v>9.7560975609756095</v>
      </c>
      <c r="EM223" s="2" t="s">
        <v>102</v>
      </c>
      <c r="EN223" s="2">
        <v>2</v>
      </c>
      <c r="EO223" s="2">
        <v>3</v>
      </c>
      <c r="EP223" s="2" t="s">
        <v>102</v>
      </c>
      <c r="EQ223" s="2" t="s">
        <v>102</v>
      </c>
      <c r="ER223" s="2" t="s">
        <v>102</v>
      </c>
      <c r="ES223" s="2" t="s">
        <v>102</v>
      </c>
      <c r="ET223" s="2" t="str">
        <f>HYPERLINK(".\links\REFSEQ-INVERTEBRATE\AGAP011404-PA-REFSEQ-INVERTEBRATE.txt","AGAP011404-PA")</f>
        <v>AGAP011404-PA</v>
      </c>
      <c r="EU223" s="2" t="str">
        <f>HYPERLINK("http://www.ncbi.nlm.nih.gov/sutils/blink.cgi?pid=XP_317912.2","0.0")</f>
        <v>0.0</v>
      </c>
      <c r="EV223" s="2" t="str">
        <f>HYPERLINK("http://www.ncbi.nlm.nih.gov/protein/XP_317912.2","XP_317912.2")</f>
        <v>XP_317912.2</v>
      </c>
      <c r="EW223" s="2">
        <v>100</v>
      </c>
      <c r="EX223" s="2">
        <v>100</v>
      </c>
      <c r="EY223" s="2">
        <v>100</v>
      </c>
      <c r="EZ223" s="2" t="s">
        <v>105</v>
      </c>
    </row>
    <row r="224" spans="1:156" x14ac:dyDescent="0.25">
      <c r="A224" s="2" t="s">
        <v>2508</v>
      </c>
      <c r="B224" s="2">
        <v>0.30672531723495</v>
      </c>
      <c r="C224" s="2">
        <f t="shared" si="3"/>
        <v>1.23689695654813</v>
      </c>
      <c r="D224" s="2">
        <v>6.9933531416248904</v>
      </c>
      <c r="E224" s="2">
        <v>11.518168644019299</v>
      </c>
      <c r="F224" s="2">
        <v>6.8919253202523402E-4</v>
      </c>
      <c r="G224" s="2">
        <v>2.8874368734643201E-2</v>
      </c>
      <c r="H224" s="2" t="s">
        <v>93</v>
      </c>
      <c r="I224" s="2" t="s">
        <v>94</v>
      </c>
      <c r="J224" s="2" t="str">
        <f>HYPERLINK("https://vectorbase.org/vectorbase/app/record/gene/AGAP004841","AGAP004841-RD")</f>
        <v>AGAP004841-RD</v>
      </c>
      <c r="K224" s="2" t="str">
        <f>HYPERLINK(".\links\pep\AGAP004841-PD-pep.txt","AGAP004841-PD")</f>
        <v>AGAP004841-PD</v>
      </c>
      <c r="L224" s="12" t="s">
        <v>95</v>
      </c>
      <c r="M224" s="2">
        <v>1271</v>
      </c>
      <c r="N224" s="2">
        <v>0</v>
      </c>
      <c r="O224" s="2">
        <v>2</v>
      </c>
      <c r="P224" s="2" t="s">
        <v>102</v>
      </c>
      <c r="Q224" s="9" t="s">
        <v>2509</v>
      </c>
      <c r="R224" s="2" t="s">
        <v>358</v>
      </c>
      <c r="S224" s="2" t="str">
        <f>HYPERLINK(".\links\KOG\AGAP004841-PD-KOG.txt","KOG")</f>
        <v>KOG</v>
      </c>
      <c r="T224" s="2">
        <v>0</v>
      </c>
      <c r="U224" s="2">
        <v>100.7</v>
      </c>
      <c r="V224" s="2" t="s">
        <v>2510</v>
      </c>
      <c r="W224" s="10" t="s">
        <v>2511</v>
      </c>
      <c r="X224" s="2" t="s">
        <v>358</v>
      </c>
      <c r="Y224" s="2" t="str">
        <f>HYPERLINK(".\links\REFSEQVERTEBRATE95\AGAP004841-PD-REFSEQVERTEBRATE95.txt","REFSEQVERTEBRATE95")</f>
        <v>REFSEQVERTEBRATE95</v>
      </c>
      <c r="Z224" s="15">
        <v>0</v>
      </c>
      <c r="AA224" s="2">
        <v>79.900000000000006</v>
      </c>
      <c r="AB224" s="13" t="str">
        <f>HYPERLINK(".\links\pep\AGAP004841-PD-sulf.txt","2")</f>
        <v>2</v>
      </c>
      <c r="AC224" s="13" t="str">
        <f>HYPERLINK(".\links\Sigp\AGAP004841-PD-SigP.txt","CYT")</f>
        <v>CYT</v>
      </c>
      <c r="AD224" s="2" t="s">
        <v>102</v>
      </c>
      <c r="AE224" s="2">
        <v>139.428</v>
      </c>
      <c r="AF224" s="2">
        <v>7.43</v>
      </c>
      <c r="AG224" s="2" t="s">
        <v>102</v>
      </c>
      <c r="AH224" s="2" t="s">
        <v>102</v>
      </c>
      <c r="AI224" s="2" t="s">
        <v>2512</v>
      </c>
      <c r="AJ224" s="13">
        <v>0</v>
      </c>
      <c r="AK224" s="2" t="s">
        <v>102</v>
      </c>
      <c r="AL224" s="2" t="s">
        <v>102</v>
      </c>
      <c r="AM224" s="2" t="s">
        <v>102</v>
      </c>
      <c r="AN224" s="13" t="str">
        <f>HYPERLINK(".\links\gpi\AGAP004841-PD-gpi.txt","N")</f>
        <v>N</v>
      </c>
      <c r="AO224" s="14" t="str">
        <f>HYPERLINK(".\links\netoglyc\AGAP004841-PD-netoglyc.txt","4")</f>
        <v>4</v>
      </c>
      <c r="AP224" s="13">
        <v>17.5</v>
      </c>
      <c r="AQ224" s="2">
        <v>6.6</v>
      </c>
      <c r="AR224" s="2">
        <v>4.5</v>
      </c>
      <c r="AS224" s="2" t="s">
        <v>104</v>
      </c>
      <c r="AT224" s="9" t="str">
        <f>HYPERLINK(".\links\NR-LIGHT\AGAP004841-PD-NR-LIGHT.txt","AGAP004841-PA")</f>
        <v>AGAP004841-PA</v>
      </c>
      <c r="AU224" s="2" t="str">
        <f>HYPERLINK("http://www.ncbi.nlm.nih.gov/sutils/blink.cgi?pid=XP_314353.3","0.0")</f>
        <v>0.0</v>
      </c>
      <c r="AV224" s="2" t="str">
        <f>HYPERLINK("http://www.ncbi.nlm.nih.gov/protein/XP_314353.3","XP_314353.3")</f>
        <v>XP_314353.3</v>
      </c>
      <c r="AW224" s="2">
        <v>98</v>
      </c>
      <c r="AX224" s="2">
        <v>98</v>
      </c>
      <c r="AY224" s="2">
        <v>101</v>
      </c>
      <c r="AZ224" s="2" t="s">
        <v>105</v>
      </c>
      <c r="BA224" s="9" t="str">
        <f>HYPERLINK(".\links\REFSEQ-INVERTEBRATE\AGAP004841-PD-REFSEQ-INVERTEBRATE.txt","AGAP004841-PA")</f>
        <v>AGAP004841-PA</v>
      </c>
      <c r="BB224" s="2" t="str">
        <f>HYPERLINK("http://www.ncbi.nlm.nih.gov/sutils/blink.cgi?pid=XP_314353.3","0.0")</f>
        <v>0.0</v>
      </c>
      <c r="BC224" s="2" t="str">
        <f>HYPERLINK("http://www.ncbi.nlm.nih.gov/protein/XP_314353.3","XP_314353.3")</f>
        <v>XP_314353.3</v>
      </c>
      <c r="BD224" s="2">
        <v>98</v>
      </c>
      <c r="BE224" s="2">
        <v>98</v>
      </c>
      <c r="BF224" s="2">
        <v>101</v>
      </c>
      <c r="BG224" s="2" t="s">
        <v>105</v>
      </c>
      <c r="BH224" s="9" t="str">
        <f>HYPERLINK(".\links\REFSEQ-PROTOZOA\AGAP004841-PD-REFSEQ-PROTOZOA.txt","leucine rich repeat containing protein 16A")</f>
        <v>leucine rich repeat containing protein 16A</v>
      </c>
      <c r="BI224" s="2" t="str">
        <f>HYPERLINK("http://www.ncbi.nlm.nih.gov/sutils/blink.cgi?pid=XP_004365138.2","5E-095")</f>
        <v>5E-095</v>
      </c>
      <c r="BJ224" s="2" t="str">
        <f>HYPERLINK("http://www.ncbi.nlm.nih.gov/protein/XP_004365138.2","XP_004365138.2")</f>
        <v>XP_004365138.2</v>
      </c>
      <c r="BK224" s="2">
        <v>28</v>
      </c>
      <c r="BL224" s="2">
        <v>50</v>
      </c>
      <c r="BM224" s="2">
        <v>45</v>
      </c>
      <c r="BN224" s="2" t="s">
        <v>106</v>
      </c>
      <c r="BO224" s="9" t="str">
        <f>HYPERLINK(".\links\SWISSP\AGAP004841-PD-SWISSP.txt","F-actin-uncapping protein LRRC16A")</f>
        <v>F-actin-uncapping protein LRRC16A</v>
      </c>
      <c r="BP224" s="2" t="str">
        <f>HYPERLINK("http://www.uniprot.org/uniprot/Q5VZK9","0.0")</f>
        <v>0.0</v>
      </c>
      <c r="BQ224" s="2" t="str">
        <f>HYPERLINK("http://www.uniprot.org/uniprot/Q5VZK9#expression","Q5VZK9")</f>
        <v>Q5VZK9</v>
      </c>
      <c r="BR224" s="2">
        <v>38</v>
      </c>
      <c r="BS224" s="2">
        <v>57</v>
      </c>
      <c r="BT224" s="2">
        <v>77</v>
      </c>
      <c r="BU224" s="2" t="s">
        <v>127</v>
      </c>
      <c r="BV224" s="9" t="str">
        <f>HYPERLINK(".\links\FLYBASE\AGAP004841-PD-FLYBASE.txt","FBpp0305132")</f>
        <v>FBpp0305132</v>
      </c>
      <c r="BW224" s="2" t="str">
        <f>HYPERLINK("http://flybase.org/reports/FBgn0033212#alliance_summary_container","0.0")</f>
        <v>0.0</v>
      </c>
      <c r="BX224" s="2">
        <v>1296</v>
      </c>
      <c r="BY224" s="2">
        <v>67</v>
      </c>
      <c r="BZ224" s="2">
        <v>80</v>
      </c>
      <c r="CA224" s="2">
        <v>101</v>
      </c>
      <c r="CB224" s="9" t="str">
        <f>HYPERLINK(".\links\CDD\AGAP004841-PD-CDD.txt","CARMIL_C, CARMIL C-terminus")</f>
        <v>CARMIL_C, CARMIL C-terminus</v>
      </c>
      <c r="CC224" s="15">
        <v>2.0000000000000001E-63</v>
      </c>
      <c r="CD224" s="2">
        <v>108.1</v>
      </c>
      <c r="CE224" s="2" t="s">
        <v>2513</v>
      </c>
      <c r="CF224" s="2" t="s">
        <v>2514</v>
      </c>
      <c r="CG224" s="9" t="str">
        <f>HYPERLINK(".\links\KOG\AGAP004841-PD-KOG.txt","Predicted myosin-I-binding protein")</f>
        <v>Predicted myosin-I-binding protein</v>
      </c>
      <c r="CH224" s="15">
        <v>1E-142</v>
      </c>
      <c r="CI224" s="2">
        <v>100.7</v>
      </c>
      <c r="CJ224" s="2" t="s">
        <v>2515</v>
      </c>
      <c r="CK224" s="2" t="s">
        <v>2516</v>
      </c>
      <c r="CL224" s="9" t="str">
        <f>HYPERLINK(".\links\PFAM\AGAP004841-PD-PFAM.txt","CARMIL_C, CARMIL C-terminus")</f>
        <v>CARMIL_C, CARMIL C-terminus</v>
      </c>
      <c r="CM224" s="15">
        <v>3.9999999999999999E-64</v>
      </c>
      <c r="CN224" s="2">
        <v>108.1</v>
      </c>
      <c r="CO224" s="2" t="s">
        <v>2513</v>
      </c>
      <c r="CP224" s="9" t="str">
        <f>HYPERLINK(".\links\SMART\AGAP004841-PD-SMART.txt","LRR_RI, Leucine rich repeat, ribonuclease inhibitor type")</f>
        <v>LRR_RI, Leucine rich repeat, ribonuclease inhibitor type</v>
      </c>
      <c r="CQ224" s="15">
        <v>5.5E-2</v>
      </c>
      <c r="CR224" s="2">
        <v>96.4</v>
      </c>
      <c r="CS224" s="2" t="s">
        <v>2517</v>
      </c>
      <c r="CT224" s="2" t="s">
        <v>2510</v>
      </c>
      <c r="CU224" s="2" t="s">
        <v>2510</v>
      </c>
      <c r="CV224" s="2" t="s">
        <v>2510</v>
      </c>
      <c r="CW224" s="2" t="str">
        <f>HYPERLINK(".\links\pep\AGAP004841-PD-pep.txt","AGAP004841-PD")</f>
        <v>AGAP004841-PD</v>
      </c>
      <c r="CX224" s="2" t="s">
        <v>95</v>
      </c>
      <c r="CY224" s="2">
        <v>1271</v>
      </c>
      <c r="CZ224" s="2" t="s">
        <v>113</v>
      </c>
      <c r="DA224" s="2" t="s">
        <v>2518</v>
      </c>
      <c r="DB224" s="2">
        <v>0</v>
      </c>
      <c r="DC224" s="2">
        <v>2</v>
      </c>
      <c r="DD224" s="2" t="str">
        <f>HYPERLINK("https://www.kegg.jp/kegg-bin/search_pathway_text?map=aga&amp;keyword=AGAP004841&amp;mode=1&amp;viewImage=true","AGAP004841")</f>
        <v>AGAP004841</v>
      </c>
      <c r="DE224" s="2" t="s">
        <v>2508</v>
      </c>
      <c r="DF224" s="2" t="s">
        <v>93</v>
      </c>
      <c r="DG224" s="2" t="s">
        <v>94</v>
      </c>
      <c r="DH224" s="2" t="str">
        <f>HYPERLINK("https://vectorbase.org/vectorbase/app/record/gene/AGAP004841","AGAP004841-RD")</f>
        <v>AGAP004841-RD</v>
      </c>
      <c r="DI224" s="2" t="s">
        <v>90</v>
      </c>
      <c r="DJ224" s="2">
        <v>5472</v>
      </c>
      <c r="DK224" s="2" t="str">
        <f>HYPERLINK(".\links\netoglyc\AGAP004841-PD-netoglyc.txt","4")</f>
        <v>4</v>
      </c>
      <c r="DL224" s="2">
        <v>17.5</v>
      </c>
      <c r="DM224" s="2">
        <v>6.6</v>
      </c>
      <c r="DN224" s="2">
        <v>4.5</v>
      </c>
      <c r="DO224" s="2" t="s">
        <v>104</v>
      </c>
      <c r="DP224" s="2" t="s">
        <v>2519</v>
      </c>
      <c r="DQ224" s="2" t="str">
        <f>HYPERLINK(".\links\Sigp\AGAP004841-PD-SigP.txt","CYT")</f>
        <v>CYT</v>
      </c>
      <c r="DR224" s="2" t="s">
        <v>102</v>
      </c>
      <c r="DS224" s="2">
        <v>139.428</v>
      </c>
      <c r="DT224" s="2">
        <v>7.43</v>
      </c>
      <c r="DU224" s="2" t="s">
        <v>102</v>
      </c>
      <c r="DV224" s="2" t="s">
        <v>102</v>
      </c>
      <c r="DW224" s="2" t="s">
        <v>2512</v>
      </c>
      <c r="DX224" s="2">
        <v>1271</v>
      </c>
      <c r="DY224" s="12">
        <v>0</v>
      </c>
      <c r="DZ224" s="2" t="s">
        <v>102</v>
      </c>
      <c r="EA224" s="2" t="s">
        <v>102</v>
      </c>
      <c r="EB224" s="2" t="s">
        <v>102</v>
      </c>
      <c r="EC224" s="2" t="str">
        <f>HYPERLINK(".\links\gpi\AGAP004841-PD-gpi.txt","Y-NoSP")</f>
        <v>Y-NoSP</v>
      </c>
      <c r="ED224" s="2">
        <v>0.19</v>
      </c>
      <c r="EF224" s="2">
        <v>20</v>
      </c>
      <c r="EG224" s="2" t="str">
        <f>HYPERLINK(".\links\pep\AGAP004841-PD-sulf.txt","2")</f>
        <v>2</v>
      </c>
      <c r="EH224" s="2" t="s">
        <v>102</v>
      </c>
      <c r="EI224" s="2">
        <v>17.466561762391802</v>
      </c>
      <c r="EJ224" s="2">
        <v>4.4846577498032998</v>
      </c>
      <c r="EK224" s="2">
        <v>6.6089693154996096</v>
      </c>
      <c r="EL224" s="2">
        <v>11.093627065302901</v>
      </c>
      <c r="EM224" s="2" t="s">
        <v>102</v>
      </c>
      <c r="EN224" s="2">
        <v>8</v>
      </c>
      <c r="EO224" s="2">
        <v>11</v>
      </c>
      <c r="EP224" s="2" t="s">
        <v>102</v>
      </c>
      <c r="EQ224" s="2" t="s">
        <v>102</v>
      </c>
      <c r="ER224" s="2" t="s">
        <v>102</v>
      </c>
      <c r="ES224" s="2" t="s">
        <v>102</v>
      </c>
      <c r="ET224" s="2" t="str">
        <f>HYPERLINK(".\links\REFSEQ-INVERTEBRATE\AGAP004841-PD-REFSEQ-INVERTEBRATE.txt","AGAP004841-PA")</f>
        <v>AGAP004841-PA</v>
      </c>
      <c r="EU224" s="2" t="str">
        <f>HYPERLINK("http://www.ncbi.nlm.nih.gov/sutils/blink.cgi?pid=XP_314353.3","0.0")</f>
        <v>0.0</v>
      </c>
      <c r="EV224" s="2" t="str">
        <f>HYPERLINK("http://www.ncbi.nlm.nih.gov/protein/XP_314353.3","XP_314353.3")</f>
        <v>XP_314353.3</v>
      </c>
      <c r="EW224" s="2">
        <v>98</v>
      </c>
      <c r="EX224" s="2">
        <v>98</v>
      </c>
      <c r="EY224" s="2">
        <v>101</v>
      </c>
      <c r="EZ224" s="2" t="s">
        <v>105</v>
      </c>
    </row>
    <row r="225" spans="1:156" x14ac:dyDescent="0.25">
      <c r="A225" s="2" t="s">
        <v>2520</v>
      </c>
      <c r="B225" s="2">
        <v>0.30403604087269798</v>
      </c>
      <c r="C225" s="2">
        <f t="shared" si="3"/>
        <v>1.2345934486641632</v>
      </c>
      <c r="D225" s="2">
        <v>6.0808653626996101</v>
      </c>
      <c r="E225" s="2">
        <v>9.9695497860891198</v>
      </c>
      <c r="F225" s="2">
        <v>1.59150403747637E-3</v>
      </c>
      <c r="G225" s="2">
        <v>3.9012040862794299E-2</v>
      </c>
      <c r="H225" s="2" t="s">
        <v>2521</v>
      </c>
      <c r="I225" s="2" t="s">
        <v>94</v>
      </c>
      <c r="J225" s="2" t="str">
        <f>HYPERLINK("https://vectorbase.org/vectorbase/app/record/gene/AGAP002931","AGAP002931-RB")</f>
        <v>AGAP002931-RB</v>
      </c>
      <c r="K225" s="2" t="str">
        <f>HYPERLINK(".\links\pep\AGAP002931-PB-pep.txt","AGAP002931-PB")</f>
        <v>AGAP002931-PB</v>
      </c>
      <c r="L225" s="12" t="s">
        <v>95</v>
      </c>
      <c r="M225" s="2">
        <v>180</v>
      </c>
      <c r="N225" s="2">
        <v>0</v>
      </c>
      <c r="O225" s="2">
        <v>0</v>
      </c>
      <c r="P225" s="2" t="s">
        <v>2522</v>
      </c>
      <c r="Q225" s="9" t="s">
        <v>2523</v>
      </c>
      <c r="R225" s="2" t="s">
        <v>771</v>
      </c>
      <c r="S225" s="2" t="str">
        <f>HYPERLINK(".\links\KOG\AGAP002931-PB-KOG.txt","KOG")</f>
        <v>KOG</v>
      </c>
      <c r="T225" s="2">
        <v>4.0000000000000001E-59</v>
      </c>
      <c r="U225" s="2">
        <v>99.4</v>
      </c>
      <c r="V225" s="2" t="s">
        <v>2524</v>
      </c>
      <c r="W225" s="10" t="s">
        <v>2525</v>
      </c>
      <c r="X225" s="2" t="s">
        <v>771</v>
      </c>
      <c r="Y225" s="2" t="str">
        <f>HYPERLINK(".\links\CDD\AGAP002931-PB-CDD.txt","CDD")</f>
        <v>CDD</v>
      </c>
      <c r="Z225" s="2">
        <v>0</v>
      </c>
      <c r="AA225" s="2">
        <v>99.3</v>
      </c>
      <c r="AB225" s="13" t="s">
        <v>102</v>
      </c>
      <c r="AC225" s="13" t="str">
        <f>HYPERLINK(".\links\Sigp\AGAP002931-PB-SigP.txt","CYT")</f>
        <v>CYT</v>
      </c>
      <c r="AD225" s="2" t="s">
        <v>102</v>
      </c>
      <c r="AE225" s="2">
        <v>20.6</v>
      </c>
      <c r="AF225" s="2">
        <v>6.52</v>
      </c>
      <c r="AG225" s="2" t="s">
        <v>102</v>
      </c>
      <c r="AH225" s="2" t="s">
        <v>102</v>
      </c>
      <c r="AI225" s="2" t="s">
        <v>2526</v>
      </c>
      <c r="AJ225" s="13">
        <v>0</v>
      </c>
      <c r="AK225" s="2" t="s">
        <v>102</v>
      </c>
      <c r="AL225" s="2" t="s">
        <v>102</v>
      </c>
      <c r="AM225" s="2" t="s">
        <v>102</v>
      </c>
      <c r="AN225" s="13" t="str">
        <f>HYPERLINK(".\links\gpi\AGAP002931-PB-gpi.txt","N")</f>
        <v>N</v>
      </c>
      <c r="AO225" s="14" t="str">
        <f>HYPERLINK(".\links\netoglyc\AGAP002931-PB-netoglyc.txt","0")</f>
        <v>0</v>
      </c>
      <c r="AP225" s="13">
        <v>11.1</v>
      </c>
      <c r="AQ225" s="2">
        <v>6.7</v>
      </c>
      <c r="AR225" s="2">
        <v>1.7</v>
      </c>
      <c r="AS225" s="2" t="s">
        <v>104</v>
      </c>
      <c r="AT225" s="9" t="str">
        <f>HYPERLINK(".\links\NR-LIGHT\AGAP002931-PB-NR-LIGHT.txt","AGAP002931-PA")</f>
        <v>AGAP002931-PA</v>
      </c>
      <c r="AU225" s="2" t="str">
        <f>HYPERLINK("http://www.ncbi.nlm.nih.gov/sutils/blink.cgi?pid=XP_311973.1","1E-099")</f>
        <v>1E-099</v>
      </c>
      <c r="AV225" s="2" t="str">
        <f>HYPERLINK("http://www.ncbi.nlm.nih.gov/protein/XP_311973.1","XP_311973.1")</f>
        <v>XP_311973.1</v>
      </c>
      <c r="AW225" s="2">
        <v>100</v>
      </c>
      <c r="AX225" s="2">
        <v>100</v>
      </c>
      <c r="AY225" s="2">
        <v>100</v>
      </c>
      <c r="AZ225" s="2" t="s">
        <v>105</v>
      </c>
      <c r="BA225" s="9" t="str">
        <f>HYPERLINK(".\links\REFSEQ-INVERTEBRATE\AGAP002931-PB-REFSEQ-INVERTEBRATE.txt","AGAP002931-PB")</f>
        <v>AGAP002931-PB</v>
      </c>
      <c r="BB225" s="2" t="str">
        <f>HYPERLINK("http://www.ncbi.nlm.nih.gov/sutils/blink.cgi?pid=XP_003436315.1","1E-099")</f>
        <v>1E-099</v>
      </c>
      <c r="BC225" s="2" t="str">
        <f>HYPERLINK("http://www.ncbi.nlm.nih.gov/protein/XP_003436315.1","XP_003436315.1")</f>
        <v>XP_003436315.1</v>
      </c>
      <c r="BD225" s="2">
        <v>100</v>
      </c>
      <c r="BE225" s="2">
        <v>100</v>
      </c>
      <c r="BF225" s="2">
        <v>100</v>
      </c>
      <c r="BG225" s="2" t="s">
        <v>105</v>
      </c>
      <c r="BH225" s="9" t="str">
        <f>HYPERLINK(".\links\REFSEQ-PROTOZOA\AGAP002931-PB-REFSEQ-PROTOZOA.txt","hypothetical protein")</f>
        <v>hypothetical protein</v>
      </c>
      <c r="BI225" s="2" t="str">
        <f>HYPERLINK("http://www.ncbi.nlm.nih.gov/sutils/blink.cgi?pid=XP_001749883.1","3E-083")</f>
        <v>3E-083</v>
      </c>
      <c r="BJ225" s="2" t="str">
        <f>HYPERLINK("http://www.ncbi.nlm.nih.gov/protein/XP_001749883.1","XP_001749883.1")</f>
        <v>XP_001749883.1</v>
      </c>
      <c r="BK225" s="2">
        <v>83</v>
      </c>
      <c r="BL225" s="2">
        <v>91</v>
      </c>
      <c r="BM225" s="2">
        <v>100</v>
      </c>
      <c r="BN225" s="2" t="s">
        <v>248</v>
      </c>
      <c r="BO225" s="9" t="str">
        <f>HYPERLINK(".\links\SWISSP\AGAP002931-PB-SWISSP.txt","ADP-ribosylation factor 2")</f>
        <v>ADP-ribosylation factor 2</v>
      </c>
      <c r="BP225" s="2" t="str">
        <f>HYPERLINK("http://www.uniprot.org/uniprot/P40945","1E-095")</f>
        <v>1E-095</v>
      </c>
      <c r="BQ225" s="2" t="str">
        <f>HYPERLINK("http://www.uniprot.org/uniprot/P40945#expression","P40945")</f>
        <v>P40945</v>
      </c>
      <c r="BR225" s="2">
        <v>94</v>
      </c>
      <c r="BS225" s="2">
        <v>97</v>
      </c>
      <c r="BT225" s="2">
        <v>100</v>
      </c>
      <c r="BU225" s="2" t="s">
        <v>107</v>
      </c>
      <c r="BV225" s="9" t="str">
        <f>HYPERLINK(".\links\FLYBASE\AGAP002931-PB-FLYBASE.txt","FBpp0305852")</f>
        <v>FBpp0305852</v>
      </c>
      <c r="BW225" s="2" t="str">
        <f>HYPERLINK("http://flybase.org/reports/FBgn0013749#alliance_summary_container","1E-128")</f>
        <v>1E-128</v>
      </c>
      <c r="BX225" s="2">
        <v>180</v>
      </c>
      <c r="BY225" s="2">
        <v>94</v>
      </c>
      <c r="BZ225" s="2">
        <v>97</v>
      </c>
      <c r="CA225" s="2">
        <v>100</v>
      </c>
      <c r="CB225" s="9" t="str">
        <f>HYPERLINK(".\links\CDD\AGAP002931-PB-CDD.txt","Arf1_5_like, ADP-ribosylation factor-1 (Arf1) and ADP-ribosylation factor-5 (Arf5)")</f>
        <v>Arf1_5_like, ADP-ribosylation factor-1 (Arf1) and ADP-ribosylation factor-5 (Arf5)</v>
      </c>
      <c r="CC225" s="15">
        <v>6.0000000000000003E-96</v>
      </c>
      <c r="CD225" s="2">
        <v>100</v>
      </c>
      <c r="CE225" s="2" t="s">
        <v>2527</v>
      </c>
      <c r="CF225" s="2" t="s">
        <v>2528</v>
      </c>
      <c r="CG225" s="9" t="str">
        <f>HYPERLINK(".\links\KOG\AGAP002931-PB-KOG.txt","GTP-binding ADP-ribosylation factor Arf1")</f>
        <v>GTP-binding ADP-ribosylation factor Arf1</v>
      </c>
      <c r="CH225" s="15">
        <v>2.0000000000000001E-89</v>
      </c>
      <c r="CI225" s="2">
        <v>99.4</v>
      </c>
      <c r="CJ225" s="2" t="s">
        <v>2529</v>
      </c>
      <c r="CK225" s="2" t="s">
        <v>154</v>
      </c>
      <c r="CL225" s="9" t="str">
        <f>HYPERLINK(".\links\PFAM\AGAP002931-PB-PFAM.txt","Arf, ADP-ribosylation factor family")</f>
        <v>Arf, ADP-ribosylation factor family</v>
      </c>
      <c r="CM225" s="15">
        <v>2.9999999999999999E-82</v>
      </c>
      <c r="CN225" s="2">
        <v>98.3</v>
      </c>
      <c r="CO225" s="2" t="s">
        <v>1781</v>
      </c>
      <c r="CP225" s="9" t="str">
        <f>HYPERLINK(".\links\SMART\AGAP002931-PB-SMART.txt","ARF, ARF-like small GTPases")</f>
        <v>ARF, ARF-like small GTPases</v>
      </c>
      <c r="CQ225" s="15">
        <v>1.9999999999999999E-88</v>
      </c>
      <c r="CR225" s="2">
        <v>98.3</v>
      </c>
      <c r="CS225" s="2" t="s">
        <v>1782</v>
      </c>
      <c r="CT225" s="2" t="s">
        <v>2524</v>
      </c>
      <c r="CU225" s="2" t="s">
        <v>2524</v>
      </c>
      <c r="CV225" s="2" t="s">
        <v>2524</v>
      </c>
      <c r="CW225" s="2" t="str">
        <f>HYPERLINK(".\links\pep\AGAP002931-PB-pep.txt","AGAP002931-PB")</f>
        <v>AGAP002931-PB</v>
      </c>
      <c r="CX225" s="2" t="s">
        <v>95</v>
      </c>
      <c r="CY225" s="2">
        <v>180</v>
      </c>
      <c r="CZ225" s="2" t="s">
        <v>113</v>
      </c>
      <c r="DA225" s="2" t="s">
        <v>2530</v>
      </c>
      <c r="DB225" s="2">
        <v>0</v>
      </c>
      <c r="DC225" s="2">
        <v>0</v>
      </c>
      <c r="DD225" s="2" t="str">
        <f>HYPERLINK("https://www.kegg.jp/kegg-bin/search_pathway_text?map=aga&amp;keyword=AGAP002931&amp;mode=1&amp;viewImage=true","AGAP002931")</f>
        <v>AGAP002931</v>
      </c>
      <c r="DE225" s="2" t="s">
        <v>2520</v>
      </c>
      <c r="DF225" s="2" t="s">
        <v>2521</v>
      </c>
      <c r="DG225" s="2" t="s">
        <v>94</v>
      </c>
      <c r="DH225" s="2" t="str">
        <f>HYPERLINK("https://vectorbase.org/vectorbase/app/record/gene/AGAP002931","AGAP002931-RB")</f>
        <v>AGAP002931-RB</v>
      </c>
      <c r="DI225" s="2" t="s">
        <v>135</v>
      </c>
      <c r="DJ225" s="2">
        <v>978</v>
      </c>
      <c r="DK225" s="2" t="str">
        <f>HYPERLINK(".\links\netoglyc\AGAP002931-PB-netoglyc.txt","0")</f>
        <v>0</v>
      </c>
      <c r="DL225" s="2">
        <v>11.1</v>
      </c>
      <c r="DM225" s="2">
        <v>6.7</v>
      </c>
      <c r="DN225" s="2">
        <v>1.7</v>
      </c>
      <c r="DO225" s="2" t="s">
        <v>104</v>
      </c>
      <c r="DP225" s="2" t="s">
        <v>102</v>
      </c>
      <c r="DQ225" s="2" t="str">
        <f>HYPERLINK(".\links\Sigp\AGAP002931-PB-SigP.txt","CYT")</f>
        <v>CYT</v>
      </c>
      <c r="DR225" s="2" t="s">
        <v>102</v>
      </c>
      <c r="DS225" s="2">
        <v>20.6</v>
      </c>
      <c r="DT225" s="2">
        <v>6.52</v>
      </c>
      <c r="DU225" s="2" t="s">
        <v>102</v>
      </c>
      <c r="DV225" s="2" t="s">
        <v>102</v>
      </c>
      <c r="DW225" s="2" t="s">
        <v>2526</v>
      </c>
      <c r="DX225" s="2">
        <v>180</v>
      </c>
      <c r="DY225" s="12">
        <v>0</v>
      </c>
      <c r="DZ225" s="2" t="s">
        <v>102</v>
      </c>
      <c r="EA225" s="2" t="s">
        <v>102</v>
      </c>
      <c r="EB225" s="2" t="s">
        <v>102</v>
      </c>
      <c r="EC225" s="2" t="str">
        <f>HYPERLINK(".\links\gpi\AGAP002931-PB-gpi.txt","N")</f>
        <v>N</v>
      </c>
      <c r="ED225" s="2">
        <v>0.25</v>
      </c>
      <c r="EF225" s="2">
        <v>2</v>
      </c>
      <c r="EG225" s="2" t="s">
        <v>102</v>
      </c>
      <c r="EH225" s="2" t="s">
        <v>102</v>
      </c>
      <c r="EI225" s="2">
        <v>11.1111111111111</v>
      </c>
      <c r="EJ225" s="2">
        <v>1.6666666666666701</v>
      </c>
      <c r="EK225" s="2">
        <v>6.6666666666666696</v>
      </c>
      <c r="EL225" s="2">
        <v>8.3333333333333304</v>
      </c>
      <c r="EM225" s="2" t="s">
        <v>102</v>
      </c>
      <c r="EN225" s="2" t="s">
        <v>102</v>
      </c>
      <c r="EO225" s="2" t="s">
        <v>102</v>
      </c>
      <c r="EP225" s="2" t="s">
        <v>102</v>
      </c>
      <c r="EQ225" s="2" t="s">
        <v>102</v>
      </c>
      <c r="ER225" s="2" t="s">
        <v>102</v>
      </c>
      <c r="ES225" s="2" t="s">
        <v>102</v>
      </c>
      <c r="ET225" s="2" t="str">
        <f>HYPERLINK(".\links\REFSEQ-INVERTEBRATE\AGAP002931-PB-REFSEQ-INVERTEBRATE.txt","AGAP002931-PB")</f>
        <v>AGAP002931-PB</v>
      </c>
      <c r="EU225" s="2" t="str">
        <f>HYPERLINK("http://www.ncbi.nlm.nih.gov/sutils/blink.cgi?pid=XP_003436315.1","1E-132")</f>
        <v>1E-132</v>
      </c>
      <c r="EV225" s="2" t="str">
        <f>HYPERLINK("http://www.ncbi.nlm.nih.gov/protein/XP_003436315.1","XP_003436315.1")</f>
        <v>XP_003436315.1</v>
      </c>
      <c r="EW225" s="2">
        <v>100</v>
      </c>
      <c r="EX225" s="2">
        <v>100</v>
      </c>
      <c r="EY225" s="2">
        <v>100</v>
      </c>
      <c r="EZ225" s="2" t="s">
        <v>105</v>
      </c>
    </row>
    <row r="226" spans="1:156" x14ac:dyDescent="0.25">
      <c r="A226" s="2" t="s">
        <v>2531</v>
      </c>
      <c r="B226" s="2">
        <v>0.30377451182495702</v>
      </c>
      <c r="C226" s="2">
        <f t="shared" si="3"/>
        <v>1.2343696641664912</v>
      </c>
      <c r="D226" s="2">
        <v>5.6806817616403498</v>
      </c>
      <c r="E226" s="2">
        <v>10.050438970597201</v>
      </c>
      <c r="F226" s="2">
        <v>1.5231164403048301E-3</v>
      </c>
      <c r="G226" s="2">
        <v>3.84381898634562E-2</v>
      </c>
      <c r="H226" s="2" t="s">
        <v>2532</v>
      </c>
      <c r="I226" s="2" t="s">
        <v>94</v>
      </c>
      <c r="J226" s="2" t="str">
        <f>HYPERLINK("https://vectorbase.org/vectorbase/app/record/gene/AGAP011107","AGAP011107-RA")</f>
        <v>AGAP011107-RA</v>
      </c>
      <c r="K226" s="2" t="str">
        <f>HYPERLINK(".\links\pep\AGAP011107-PA-pep.txt","AGAP011107-PA")</f>
        <v>AGAP011107-PA</v>
      </c>
      <c r="L226" s="12" t="s">
        <v>95</v>
      </c>
      <c r="M226" s="2">
        <v>112</v>
      </c>
      <c r="N226" s="2">
        <v>0</v>
      </c>
      <c r="O226" s="2">
        <v>0</v>
      </c>
      <c r="P226" s="2" t="s">
        <v>2533</v>
      </c>
      <c r="Q226" s="9" t="s">
        <v>2534</v>
      </c>
      <c r="R226" s="2" t="s">
        <v>101</v>
      </c>
      <c r="S226" s="2" t="str">
        <f>HYPERLINK(".\links\KOG\AGAP011107-PA-KOG.txt","KOG")</f>
        <v>KOG</v>
      </c>
      <c r="T226" s="2">
        <v>7.9999999999999994E-34</v>
      </c>
      <c r="U226" s="2">
        <v>91.3</v>
      </c>
      <c r="V226" s="2" t="s">
        <v>2535</v>
      </c>
      <c r="W226" s="10" t="s">
        <v>2536</v>
      </c>
      <c r="X226" s="2" t="s">
        <v>335</v>
      </c>
      <c r="Y226" s="2" t="str">
        <f>HYPERLINK(".\links\TIGR\AGAP011107-PA-TIGR.txt","TIGR")</f>
        <v>TIGR</v>
      </c>
      <c r="Z226" s="15">
        <v>2.0000000000000001E-27</v>
      </c>
      <c r="AA226" s="2">
        <v>100</v>
      </c>
      <c r="AB226" s="13" t="s">
        <v>102</v>
      </c>
      <c r="AC226" s="13" t="str">
        <f>HYPERLINK(".\links\Sigp\AGAP011107-PA-SigP.txt","CYT")</f>
        <v>CYT</v>
      </c>
      <c r="AD226" s="2" t="s">
        <v>102</v>
      </c>
      <c r="AE226" s="2">
        <v>12.372999999999999</v>
      </c>
      <c r="AF226" s="2">
        <v>8.77</v>
      </c>
      <c r="AG226" s="2" t="s">
        <v>102</v>
      </c>
      <c r="AH226" s="2" t="s">
        <v>102</v>
      </c>
      <c r="AI226" s="2" t="s">
        <v>482</v>
      </c>
      <c r="AJ226" s="13">
        <v>0</v>
      </c>
      <c r="AK226" s="2" t="s">
        <v>102</v>
      </c>
      <c r="AL226" s="2" t="s">
        <v>102</v>
      </c>
      <c r="AM226" s="2" t="s">
        <v>102</v>
      </c>
      <c r="AN226" s="13" t="str">
        <f>HYPERLINK(".\links\gpi\AGAP011107-PA-gpi.txt","N")</f>
        <v>N</v>
      </c>
      <c r="AO226" s="14" t="str">
        <f>HYPERLINK(".\links\netoglyc\AGAP011107-PA-netoglyc.txt","1")</f>
        <v>1</v>
      </c>
      <c r="AP226" s="13">
        <v>10.7</v>
      </c>
      <c r="AQ226" s="2">
        <v>9.8000000000000007</v>
      </c>
      <c r="AR226" s="2">
        <v>4.5</v>
      </c>
      <c r="AS226" s="2" t="s">
        <v>104</v>
      </c>
      <c r="AT226" s="9" t="str">
        <f>HYPERLINK(".\links\NR-LIGHT\AGAP011107-PA-NR-LIGHT.txt","AGAP011107-PA")</f>
        <v>AGAP011107-PA</v>
      </c>
      <c r="AU226" s="2" t="str">
        <f>HYPERLINK("http://www.ncbi.nlm.nih.gov/sutils/blink.cgi?pid=XP_309539.2","8E-059")</f>
        <v>8E-059</v>
      </c>
      <c r="AV226" s="2" t="str">
        <f>HYPERLINK("http://www.ncbi.nlm.nih.gov/protein/XP_309539.2","XP_309539.2")</f>
        <v>XP_309539.2</v>
      </c>
      <c r="AW226" s="2">
        <v>100</v>
      </c>
      <c r="AX226" s="2">
        <v>100</v>
      </c>
      <c r="AY226" s="2">
        <v>100</v>
      </c>
      <c r="AZ226" s="2" t="s">
        <v>105</v>
      </c>
      <c r="BA226" s="9" t="str">
        <f>HYPERLINK(".\links\REFSEQ-INVERTEBRATE\AGAP011107-PA-REFSEQ-INVERTEBRATE.txt","AGAP011107-PA")</f>
        <v>AGAP011107-PA</v>
      </c>
      <c r="BB226" s="2" t="str">
        <f>HYPERLINK("http://www.ncbi.nlm.nih.gov/sutils/blink.cgi?pid=XP_309539.2","7E-059")</f>
        <v>7E-059</v>
      </c>
      <c r="BC226" s="2" t="str">
        <f>HYPERLINK("http://www.ncbi.nlm.nih.gov/protein/XP_309539.2","XP_309539.2")</f>
        <v>XP_309539.2</v>
      </c>
      <c r="BD226" s="2">
        <v>100</v>
      </c>
      <c r="BE226" s="2">
        <v>100</v>
      </c>
      <c r="BF226" s="2">
        <v>100</v>
      </c>
      <c r="BG226" s="2" t="s">
        <v>105</v>
      </c>
      <c r="BH226" s="9" t="str">
        <f>HYPERLINK(".\links\REFSEQ-PROTOZOA\AGAP011107-PA-REFSEQ-PROTOZOA.txt","glutaredoxin")</f>
        <v>glutaredoxin</v>
      </c>
      <c r="BI226" s="2" t="str">
        <f>HYPERLINK("http://www.ncbi.nlm.nih.gov/sutils/blink.cgi?pid=XP_008872881.1","2E-022")</f>
        <v>2E-022</v>
      </c>
      <c r="BJ226" s="2" t="str">
        <f>HYPERLINK("http://www.ncbi.nlm.nih.gov/protein/XP_008872881.1","XP_008872881.1")</f>
        <v>XP_008872881.1</v>
      </c>
      <c r="BK226" s="2">
        <v>53</v>
      </c>
      <c r="BL226" s="2">
        <v>66</v>
      </c>
      <c r="BM226" s="2">
        <v>90</v>
      </c>
      <c r="BN226" s="2" t="s">
        <v>1856</v>
      </c>
      <c r="BO226" s="9" t="str">
        <f>HYPERLINK(".\links\SWISSP\AGAP011107-PA-SWISSP.txt","Glutaredoxin-C4")</f>
        <v>Glutaredoxin-C4</v>
      </c>
      <c r="BP226" s="2" t="str">
        <f>HYPERLINK("http://www.uniprot.org/uniprot/Q8LFQ6","4E-023")</f>
        <v>4E-023</v>
      </c>
      <c r="BQ226" s="2" t="str">
        <f>HYPERLINK("http://www.uniprot.org/uniprot/Q8LFQ6#expression","Q8LFQ6")</f>
        <v>Q8LFQ6</v>
      </c>
      <c r="BR226" s="2">
        <v>50</v>
      </c>
      <c r="BS226" s="2">
        <v>65</v>
      </c>
      <c r="BT226" s="2">
        <v>76</v>
      </c>
      <c r="BU226" s="2" t="s">
        <v>280</v>
      </c>
      <c r="BV226" s="9" t="str">
        <f>HYPERLINK(".\links\FLYBASE\AGAP011107-PA-FLYBASE.txt","FBpp0300970")</f>
        <v>FBpp0300970</v>
      </c>
      <c r="BW226" s="2" t="str">
        <f>HYPERLINK("http://flybase.org/reports/FBgn0036820#alliance_summary_container","1E-46")</f>
        <v>1E-46</v>
      </c>
      <c r="BX226" s="2">
        <v>114</v>
      </c>
      <c r="BY226" s="2">
        <v>65</v>
      </c>
      <c r="BZ226" s="2">
        <v>79</v>
      </c>
      <c r="CA226" s="2">
        <v>97</v>
      </c>
      <c r="CB226" s="9" t="str">
        <f>HYPERLINK(".\links\CDD\AGAP011107-PA-CDD.txt","GRX_GRXh_1_2_like, Glutaredoxin (GRX) family, GRX human class 1 and 2 (h_1_2)-like subfamily")</f>
        <v>GRX_GRXh_1_2_like, Glutaredoxin (GRX) family, GRX human class 1 and 2 (h_1_2)-like subfamily</v>
      </c>
      <c r="CC226" s="15">
        <v>3.9999999999999997E-34</v>
      </c>
      <c r="CD226" s="2">
        <v>100</v>
      </c>
      <c r="CE226" s="2" t="s">
        <v>2537</v>
      </c>
      <c r="CF226" s="2" t="s">
        <v>2538</v>
      </c>
      <c r="CG226" s="9" t="str">
        <f>HYPERLINK(".\links\KOG\AGAP011107-PA-KOG.txt","Glutaredoxin and related proteins")</f>
        <v>Glutaredoxin and related proteins</v>
      </c>
      <c r="CH226" s="15">
        <v>7.9999999999999994E-34</v>
      </c>
      <c r="CI226" s="2">
        <v>91.3</v>
      </c>
      <c r="CJ226" s="2" t="s">
        <v>2539</v>
      </c>
      <c r="CK226" s="2" t="s">
        <v>111</v>
      </c>
      <c r="CL226" s="9" t="str">
        <f>HYPERLINK(".\links\PFAM\AGAP011107-PA-PFAM.txt","Glutaredoxin, Glutaredoxin")</f>
        <v>Glutaredoxin, Glutaredoxin</v>
      </c>
      <c r="CM226" s="15">
        <v>5.0000000000000004E-16</v>
      </c>
      <c r="CN226" s="2">
        <v>105</v>
      </c>
      <c r="CO226" s="2" t="s">
        <v>2540</v>
      </c>
      <c r="CP226" s="9" t="str">
        <f>HYPERLINK(".\links\SMART\AGAP011107-PA-SMART.txt","RhoGEF, Guanine nucleotide exchange factor for Rho/Rac/Cdc42-like GTPases")</f>
        <v>RhoGEF, Guanine nucleotide exchange factor for Rho/Rac/Cdc42-like GTPases</v>
      </c>
      <c r="CQ226" s="15">
        <v>0.2</v>
      </c>
      <c r="CR226" s="2">
        <v>22.8</v>
      </c>
      <c r="CS226" s="2" t="s">
        <v>2541</v>
      </c>
      <c r="CT226" s="2" t="s">
        <v>2535</v>
      </c>
      <c r="CU226" s="2" t="s">
        <v>2535</v>
      </c>
      <c r="CV226" s="2" t="s">
        <v>2535</v>
      </c>
      <c r="CW226" s="2" t="str">
        <f>HYPERLINK(".\links\pep\AGAP011107-PA-pep.txt","AGAP011107-PA")</f>
        <v>AGAP011107-PA</v>
      </c>
      <c r="CX226" s="2" t="s">
        <v>95</v>
      </c>
      <c r="CY226" s="2">
        <v>112</v>
      </c>
      <c r="CZ226" s="2" t="s">
        <v>113</v>
      </c>
      <c r="DA226" s="2" t="s">
        <v>2542</v>
      </c>
      <c r="DB226" s="2">
        <v>0</v>
      </c>
      <c r="DC226" s="2">
        <v>0</v>
      </c>
      <c r="DD226" s="2" t="str">
        <f>HYPERLINK("https://www.kegg.jp/kegg-bin/search_pathway_text?map=aga&amp;keyword=AGAP011107&amp;mode=1&amp;viewImage=true","AGAP011107")</f>
        <v>AGAP011107</v>
      </c>
      <c r="DE226" s="2" t="s">
        <v>2531</v>
      </c>
      <c r="DF226" s="2" t="s">
        <v>2532</v>
      </c>
      <c r="DG226" s="2" t="s">
        <v>94</v>
      </c>
      <c r="DH226" s="2" t="str">
        <f>HYPERLINK("https://vectorbase.org/vectorbase/app/record/gene/AGAP011107","AGAP011107-RA")</f>
        <v>AGAP011107-RA</v>
      </c>
      <c r="DI226" s="2" t="s">
        <v>115</v>
      </c>
      <c r="DJ226" s="2">
        <v>622</v>
      </c>
      <c r="DK226" s="2" t="str">
        <f>HYPERLINK(".\links\netoglyc\AGAP011107-PA-netoglyc.txt","1")</f>
        <v>1</v>
      </c>
      <c r="DL226" s="2">
        <v>10.7</v>
      </c>
      <c r="DM226" s="2">
        <v>9.8000000000000007</v>
      </c>
      <c r="DN226" s="2">
        <v>4.5</v>
      </c>
      <c r="DO226" s="2" t="s">
        <v>104</v>
      </c>
      <c r="DP226" s="2" t="s">
        <v>102</v>
      </c>
      <c r="DQ226" s="2" t="str">
        <f>HYPERLINK(".\links\Sigp\AGAP011107-PA-SigP.txt","CYT")</f>
        <v>CYT</v>
      </c>
      <c r="DR226" s="2" t="s">
        <v>102</v>
      </c>
      <c r="DS226" s="2">
        <v>12.372999999999999</v>
      </c>
      <c r="DT226" s="2">
        <v>8.77</v>
      </c>
      <c r="DU226" s="2" t="s">
        <v>102</v>
      </c>
      <c r="DV226" s="2" t="s">
        <v>102</v>
      </c>
      <c r="DW226" s="2" t="s">
        <v>482</v>
      </c>
      <c r="DX226" s="2">
        <v>112</v>
      </c>
      <c r="DY226" s="12">
        <v>0</v>
      </c>
      <c r="DZ226" s="2" t="s">
        <v>102</v>
      </c>
      <c r="EA226" s="2" t="s">
        <v>102</v>
      </c>
      <c r="EB226" s="2" t="s">
        <v>102</v>
      </c>
      <c r="EC226" s="2" t="str">
        <f>HYPERLINK(".\links\gpi\AGAP011107-PA-gpi.txt","Y-NoSP")</f>
        <v>Y-NoSP</v>
      </c>
      <c r="ED226" s="2">
        <v>0.34</v>
      </c>
      <c r="EF226" s="2">
        <v>3</v>
      </c>
      <c r="EG226" s="2" t="s">
        <v>102</v>
      </c>
      <c r="EH226" s="2" t="s">
        <v>102</v>
      </c>
      <c r="EI226" s="2">
        <v>10.714285714285699</v>
      </c>
      <c r="EJ226" s="2">
        <v>4.46428571428571</v>
      </c>
      <c r="EK226" s="2">
        <v>9.8214285714285694</v>
      </c>
      <c r="EL226" s="2">
        <v>14.285714285714301</v>
      </c>
      <c r="EM226" s="2" t="s">
        <v>102</v>
      </c>
      <c r="EN226" s="2" t="s">
        <v>102</v>
      </c>
      <c r="EO226" s="2" t="s">
        <v>102</v>
      </c>
      <c r="EP226" s="2" t="s">
        <v>102</v>
      </c>
      <c r="EQ226" s="2" t="s">
        <v>102</v>
      </c>
      <c r="ER226" s="2" t="s">
        <v>102</v>
      </c>
      <c r="ES226" s="2" t="s">
        <v>102</v>
      </c>
      <c r="ET226" s="2" t="str">
        <f>HYPERLINK(".\links\REFSEQ-INVERTEBRATE\AGAP011107-PA-REFSEQ-INVERTEBRATE.txt","AGAP011107-PA")</f>
        <v>AGAP011107-PA</v>
      </c>
      <c r="EU226" s="2" t="str">
        <f>HYPERLINK("http://www.ncbi.nlm.nih.gov/sutils/blink.cgi?pid=XP_309539.2","2E-78")</f>
        <v>2E-78</v>
      </c>
      <c r="EV226" s="2" t="str">
        <f>HYPERLINK("http://www.ncbi.nlm.nih.gov/protein/XP_309539.2","XP_309539.2")</f>
        <v>XP_309539.2</v>
      </c>
      <c r="EW226" s="2">
        <v>100</v>
      </c>
      <c r="EX226" s="2">
        <v>100</v>
      </c>
      <c r="EY226" s="2">
        <v>100</v>
      </c>
      <c r="EZ226" s="2" t="s">
        <v>105</v>
      </c>
    </row>
    <row r="227" spans="1:156" x14ac:dyDescent="0.25">
      <c r="A227" s="2" t="s">
        <v>2543</v>
      </c>
      <c r="B227" s="2">
        <v>0.30363599026146798</v>
      </c>
      <c r="C227" s="2">
        <f t="shared" si="3"/>
        <v>1.2342511508268734</v>
      </c>
      <c r="D227" s="2">
        <v>5.6527463492481802</v>
      </c>
      <c r="E227" s="2">
        <v>8.8394408606901802</v>
      </c>
      <c r="F227" s="2">
        <v>2.9478944588559501E-3</v>
      </c>
      <c r="G227" s="2">
        <v>4.9803632520221103E-2</v>
      </c>
      <c r="H227" s="2" t="s">
        <v>93</v>
      </c>
      <c r="I227" s="2" t="s">
        <v>94</v>
      </c>
      <c r="J227" s="2" t="str">
        <f>HYPERLINK("https://vectorbase.org/vectorbase/app/record/gene/AGAP001158","AGAP001158-RA")</f>
        <v>AGAP001158-RA</v>
      </c>
      <c r="K227" s="2" t="str">
        <f>HYPERLINK(".\links\pep\AGAP001158-PA-pep.txt","AGAP001158-PA")</f>
        <v>AGAP001158-PA</v>
      </c>
      <c r="L227" s="12" t="s">
        <v>95</v>
      </c>
      <c r="M227" s="2">
        <v>498</v>
      </c>
      <c r="N227" s="2">
        <v>0</v>
      </c>
      <c r="O227" s="2">
        <v>0</v>
      </c>
      <c r="P227" s="2" t="s">
        <v>102</v>
      </c>
      <c r="Q227" s="9" t="s">
        <v>2544</v>
      </c>
      <c r="R227" s="2" t="s">
        <v>196</v>
      </c>
      <c r="S227" s="2" t="str">
        <f>HYPERLINK(".\links\REFSEQ-INVERTEBRATE\AGAP001158-PA-REFSEQ-INVERTEBRATE.txt","REFSEQ-INVERTEBRATE")</f>
        <v>REFSEQ-INVERTEBRATE</v>
      </c>
      <c r="T227" s="2">
        <v>0</v>
      </c>
      <c r="U227" s="2">
        <v>102.8</v>
      </c>
      <c r="V227" s="2" t="s">
        <v>2544</v>
      </c>
      <c r="W227" s="10" t="s">
        <v>2545</v>
      </c>
      <c r="X227" s="2" t="s">
        <v>931</v>
      </c>
      <c r="Y227" s="2" t="str">
        <f>HYPERLINK(".\links\MEROPS\AGAP001158-PA-MEROPS.txt","MEROPS")</f>
        <v>MEROPS</v>
      </c>
      <c r="Z227" s="15">
        <v>3E-34</v>
      </c>
      <c r="AA227" s="2">
        <v>40</v>
      </c>
      <c r="AB227" s="13" t="s">
        <v>102</v>
      </c>
      <c r="AC227" s="13" t="str">
        <f>HYPERLINK(".\links\Sigp\AGAP001158-PA-SigP.txt","CYT")</f>
        <v>CYT</v>
      </c>
      <c r="AD227" s="2" t="s">
        <v>102</v>
      </c>
      <c r="AE227" s="2">
        <v>57.298999999999999</v>
      </c>
      <c r="AF227" s="2">
        <v>6.84</v>
      </c>
      <c r="AG227" s="2" t="s">
        <v>102</v>
      </c>
      <c r="AH227" s="2" t="s">
        <v>102</v>
      </c>
      <c r="AI227" s="2" t="s">
        <v>124</v>
      </c>
      <c r="AJ227" s="13">
        <v>0</v>
      </c>
      <c r="AK227" s="2" t="s">
        <v>102</v>
      </c>
      <c r="AL227" s="2" t="s">
        <v>102</v>
      </c>
      <c r="AM227" s="2" t="s">
        <v>102</v>
      </c>
      <c r="AN227" s="13" t="str">
        <f>HYPERLINK(".\links\gpi\AGAP001158-PA-gpi.txt","N")</f>
        <v>N</v>
      </c>
      <c r="AO227" s="14" t="str">
        <f>HYPERLINK(".\links\netoglyc\AGAP001158-PA-netoglyc.txt","2")</f>
        <v>2</v>
      </c>
      <c r="AP227" s="13">
        <v>14.3</v>
      </c>
      <c r="AQ227" s="2">
        <v>4.5999999999999996</v>
      </c>
      <c r="AR227" s="2">
        <v>3.8</v>
      </c>
      <c r="AS227" s="2" t="s">
        <v>104</v>
      </c>
      <c r="AT227" s="9" t="str">
        <f>HYPERLINK(".\links\NR-LIGHT\AGAP001158-PA-NR-LIGHT.txt","AGAP001158-PA")</f>
        <v>AGAP001158-PA</v>
      </c>
      <c r="AU227" s="2" t="str">
        <f>HYPERLINK("http://www.ncbi.nlm.nih.gov/sutils/blink.cgi?pid=XP_001689385.2","0.0")</f>
        <v>0.0</v>
      </c>
      <c r="AV227" s="2" t="str">
        <f>HYPERLINK("http://www.ncbi.nlm.nih.gov/protein/XP_001689385.2","XP_001689385.2")</f>
        <v>XP_001689385.2</v>
      </c>
      <c r="AW227" s="2">
        <v>96</v>
      </c>
      <c r="AX227" s="2">
        <v>97</v>
      </c>
      <c r="AY227" s="2">
        <v>103</v>
      </c>
      <c r="AZ227" s="2" t="s">
        <v>105</v>
      </c>
      <c r="BA227" s="9" t="str">
        <f>HYPERLINK(".\links\REFSEQ-INVERTEBRATE\AGAP001158-PA-REFSEQ-INVERTEBRATE.txt","AGAP001158-PA")</f>
        <v>AGAP001158-PA</v>
      </c>
      <c r="BB227" s="2" t="str">
        <f>HYPERLINK("http://www.ncbi.nlm.nih.gov/sutils/blink.cgi?pid=XP_001689385.2","0.0")</f>
        <v>0.0</v>
      </c>
      <c r="BC227" s="2" t="str">
        <f>HYPERLINK("http://www.ncbi.nlm.nih.gov/protein/XP_001689385.2","XP_001689385.2")</f>
        <v>XP_001689385.2</v>
      </c>
      <c r="BD227" s="2">
        <v>96</v>
      </c>
      <c r="BE227" s="2">
        <v>97</v>
      </c>
      <c r="BF227" s="2">
        <v>103</v>
      </c>
      <c r="BG227" s="2" t="s">
        <v>105</v>
      </c>
      <c r="BH227" s="9" t="str">
        <f>HYPERLINK(".\links\REFSEQ-PROTOZOA\AGAP001158-PA-REFSEQ-PROTOZOA.txt","hypothetical protein H310_07429")</f>
        <v>hypothetical protein H310_07429</v>
      </c>
      <c r="BI227" s="2" t="str">
        <f>HYPERLINK("http://www.ncbi.nlm.nih.gov/sutils/blink.cgi?pid=XP_008871396.1","1E-028")</f>
        <v>1E-028</v>
      </c>
      <c r="BJ227" s="2" t="str">
        <f>HYPERLINK("http://www.ncbi.nlm.nih.gov/protein/XP_008871396.1","XP_008871396.1")</f>
        <v>XP_008871396.1</v>
      </c>
      <c r="BK227" s="2">
        <v>37</v>
      </c>
      <c r="BL227" s="2">
        <v>56</v>
      </c>
      <c r="BM227" s="2">
        <v>61</v>
      </c>
      <c r="BN227" s="2" t="s">
        <v>1856</v>
      </c>
      <c r="BO227" s="9" t="str">
        <f>HYPERLINK(".\links\SWISSP\AGAP001158-PA-SWISSP.txt","SprT-like domain-containing protein Spartan")</f>
        <v>SprT-like domain-containing protein Spartan</v>
      </c>
      <c r="BP227" s="2" t="str">
        <f>HYPERLINK("http://www.uniprot.org/uniprot/A5D979","4E-028")</f>
        <v>4E-028</v>
      </c>
      <c r="BQ227" s="2" t="str">
        <f>HYPERLINK("http://www.uniprot.org/uniprot/A5D979#expression","A5D979")</f>
        <v>A5D979</v>
      </c>
      <c r="BR227" s="2">
        <v>36</v>
      </c>
      <c r="BS227" s="2">
        <v>53</v>
      </c>
      <c r="BT227" s="2">
        <v>37</v>
      </c>
      <c r="BU227" s="2" t="s">
        <v>1284</v>
      </c>
      <c r="BV227" s="9" t="str">
        <f>HYPERLINK(".\links\FLYBASE\AGAP001158-PA-FLYBASE.txt","FBpp0073890")</f>
        <v>FBpp0073890</v>
      </c>
      <c r="BW227" s="2" t="str">
        <f>HYPERLINK("http://flybase.org/reports/FBgn0267977#alliance_summary_container","5E-42")</f>
        <v>5E-42</v>
      </c>
      <c r="BX227" s="2">
        <v>724</v>
      </c>
      <c r="BY227" s="2">
        <v>31</v>
      </c>
      <c r="BZ227" s="2">
        <v>47</v>
      </c>
      <c r="CA227" s="2">
        <v>47</v>
      </c>
      <c r="CB227" s="9" t="str">
        <f>HYPERLINK(".\links\CDD\AGAP001158-PA-CDD.txt","SprT-like, SprT-like family")</f>
        <v>SprT-like, SprT-like family</v>
      </c>
      <c r="CC227" s="15">
        <v>1.0000000000000001E-17</v>
      </c>
      <c r="CD227" s="2">
        <v>98.7</v>
      </c>
      <c r="CE227" s="2" t="s">
        <v>2546</v>
      </c>
      <c r="CF227" s="2" t="s">
        <v>2547</v>
      </c>
      <c r="CG227" s="9" t="str">
        <f>HYPERLINK(".\links\KOG\AGAP001158-PA-KOG.txt","Uncharacterized conserved protein")</f>
        <v>Uncharacterized conserved protein</v>
      </c>
      <c r="CH227" s="15">
        <v>5.9999999999999998E-38</v>
      </c>
      <c r="CI227" s="2">
        <v>37.799999999999997</v>
      </c>
      <c r="CJ227" s="2" t="s">
        <v>2548</v>
      </c>
      <c r="CK227" s="2" t="s">
        <v>284</v>
      </c>
      <c r="CL227" s="9" t="str">
        <f>HYPERLINK(".\links\PFAM\AGAP001158-PA-PFAM.txt","SprT-like, SprT-like family")</f>
        <v>SprT-like, SprT-like family</v>
      </c>
      <c r="CM227" s="15">
        <v>2.9999999999999998E-18</v>
      </c>
      <c r="CN227" s="2">
        <v>98.7</v>
      </c>
      <c r="CO227" s="2" t="s">
        <v>2546</v>
      </c>
      <c r="CP227" s="9" t="str">
        <f>HYPERLINK(".\links\SMART\AGAP001158-PA-SMART.txt","SprT, SprT homologues")</f>
        <v>SprT, SprT homologues</v>
      </c>
      <c r="CQ227" s="15">
        <v>4.0000000000000003E-15</v>
      </c>
      <c r="CR227" s="2">
        <v>121.9</v>
      </c>
      <c r="CS227" s="2" t="s">
        <v>2549</v>
      </c>
      <c r="CT227" s="2" t="s">
        <v>2544</v>
      </c>
      <c r="CU227" s="2" t="s">
        <v>2544</v>
      </c>
      <c r="CV227" s="2" t="s">
        <v>2544</v>
      </c>
      <c r="CW227" s="2" t="str">
        <f>HYPERLINK(".\links\pep\AGAP001158-PA-pep.txt","AGAP001158-PA")</f>
        <v>AGAP001158-PA</v>
      </c>
      <c r="CX227" s="2" t="s">
        <v>95</v>
      </c>
      <c r="CY227" s="2">
        <v>498</v>
      </c>
      <c r="CZ227" s="2" t="s">
        <v>113</v>
      </c>
      <c r="DA227" s="2" t="s">
        <v>2550</v>
      </c>
      <c r="DB227" s="2">
        <v>0</v>
      </c>
      <c r="DC227" s="2">
        <v>0</v>
      </c>
      <c r="DD227" s="2" t="str">
        <f>HYPERLINK("https://www.kegg.jp/kegg-bin/search_pathway_text?map=aga&amp;keyword=AGAP001158&amp;mode=1&amp;viewImage=true","AGAP001158")</f>
        <v>AGAP001158</v>
      </c>
      <c r="DE227" s="2" t="s">
        <v>2543</v>
      </c>
      <c r="DF227" s="2" t="s">
        <v>93</v>
      </c>
      <c r="DG227" s="2" t="s">
        <v>94</v>
      </c>
      <c r="DH227" s="2" t="str">
        <f>HYPERLINK("https://vectorbase.org/vectorbase/app/record/gene/AGAP001158","AGAP001158-RA")</f>
        <v>AGAP001158-RA</v>
      </c>
      <c r="DI227" s="2" t="s">
        <v>135</v>
      </c>
      <c r="DJ227" s="2">
        <v>1667</v>
      </c>
      <c r="DK227" s="2" t="str">
        <f>HYPERLINK(".\links\netoglyc\AGAP001158-PA-netoglyc.txt","2")</f>
        <v>2</v>
      </c>
      <c r="DL227" s="2">
        <v>14.3</v>
      </c>
      <c r="DM227" s="2">
        <v>4.5999999999999996</v>
      </c>
      <c r="DN227" s="2">
        <v>3.8</v>
      </c>
      <c r="DO227" s="2" t="s">
        <v>104</v>
      </c>
      <c r="DP227" s="2" t="s">
        <v>2551</v>
      </c>
      <c r="DQ227" s="2" t="str">
        <f>HYPERLINK(".\links\Sigp\AGAP001158-PA-SigP.txt","CYT")</f>
        <v>CYT</v>
      </c>
      <c r="DR227" s="2" t="s">
        <v>102</v>
      </c>
      <c r="DS227" s="2">
        <v>57.298999999999999</v>
      </c>
      <c r="DT227" s="2">
        <v>6.84</v>
      </c>
      <c r="DU227" s="2" t="s">
        <v>102</v>
      </c>
      <c r="DV227" s="2" t="s">
        <v>102</v>
      </c>
      <c r="DW227" s="2" t="s">
        <v>124</v>
      </c>
      <c r="DX227" s="2">
        <v>498</v>
      </c>
      <c r="DY227" s="12">
        <v>0</v>
      </c>
      <c r="DZ227" s="2" t="s">
        <v>102</v>
      </c>
      <c r="EA227" s="2" t="s">
        <v>102</v>
      </c>
      <c r="EB227" s="2" t="s">
        <v>102</v>
      </c>
      <c r="EC227" s="2" t="str">
        <f>HYPERLINK(".\links\gpi\AGAP001158-PA-gpi.txt","Y-NoSP")</f>
        <v>Y-NoSP</v>
      </c>
      <c r="ED227" s="2">
        <v>0.19</v>
      </c>
      <c r="EF227" s="2">
        <v>10</v>
      </c>
      <c r="EG227" s="2" t="s">
        <v>102</v>
      </c>
      <c r="EH227" s="2" t="s">
        <v>102</v>
      </c>
      <c r="EI227" s="2">
        <v>14.257028112449801</v>
      </c>
      <c r="EJ227" s="2">
        <v>3.8152610441767099</v>
      </c>
      <c r="EK227" s="2">
        <v>4.6184738955823299</v>
      </c>
      <c r="EL227" s="2">
        <v>8.4337349397590398</v>
      </c>
      <c r="EM227" s="2">
        <v>1</v>
      </c>
      <c r="EN227" s="2">
        <v>1</v>
      </c>
      <c r="EO227" s="2">
        <v>2</v>
      </c>
      <c r="EP227" s="2" t="s">
        <v>102</v>
      </c>
      <c r="EQ227" s="2" t="s">
        <v>102</v>
      </c>
      <c r="ER227" s="2" t="s">
        <v>102</v>
      </c>
      <c r="ES227" s="2" t="s">
        <v>102</v>
      </c>
      <c r="ET227" s="2" t="str">
        <f>HYPERLINK(".\links\REFSEQ-INVERTEBRATE\AGAP001158-PA-REFSEQ-INVERTEBRATE.txt","AGAP001158-PA")</f>
        <v>AGAP001158-PA</v>
      </c>
      <c r="EU227" s="2" t="str">
        <f>HYPERLINK("http://www.ncbi.nlm.nih.gov/sutils/blink.cgi?pid=XP_001689385.2","0.0")</f>
        <v>0.0</v>
      </c>
      <c r="EV227" s="2" t="str">
        <f>HYPERLINK("http://www.ncbi.nlm.nih.gov/protein/XP_001689385.2","XP_001689385.2")</f>
        <v>XP_001689385.2</v>
      </c>
      <c r="EW227" s="2">
        <v>96</v>
      </c>
      <c r="EX227" s="2">
        <v>97</v>
      </c>
      <c r="EY227" s="2">
        <v>103</v>
      </c>
      <c r="EZ227" s="2" t="s">
        <v>105</v>
      </c>
    </row>
    <row r="228" spans="1:156" x14ac:dyDescent="0.25">
      <c r="A228" s="2" t="s">
        <v>2552</v>
      </c>
      <c r="B228" s="2">
        <v>0.30342179427490701</v>
      </c>
      <c r="C228" s="2">
        <f t="shared" si="3"/>
        <v>1.2340679159706827</v>
      </c>
      <c r="D228" s="2">
        <v>7.2889311041446998</v>
      </c>
      <c r="E228" s="2">
        <v>10.2491750521681</v>
      </c>
      <c r="F228" s="2">
        <v>1.3674573903588499E-3</v>
      </c>
      <c r="G228" s="2">
        <v>3.6820471535482201E-2</v>
      </c>
      <c r="H228" s="2" t="s">
        <v>93</v>
      </c>
      <c r="I228" s="2" t="s">
        <v>94</v>
      </c>
      <c r="J228" s="2" t="str">
        <f>HYPERLINK("https://vectorbase.org/vectorbase/app/record/gene/AGAP002475","AGAP002475-RA")</f>
        <v>AGAP002475-RA</v>
      </c>
      <c r="K228" s="2" t="str">
        <f>HYPERLINK(".\links\pep\AGAP002475-PA-pep.txt","AGAP002475-PA")</f>
        <v>AGAP002475-PA</v>
      </c>
      <c r="L228" s="12" t="s">
        <v>95</v>
      </c>
      <c r="M228" s="2">
        <v>554</v>
      </c>
      <c r="N228" s="2">
        <v>0</v>
      </c>
      <c r="O228" s="2">
        <v>3</v>
      </c>
      <c r="P228" s="2" t="s">
        <v>102</v>
      </c>
      <c r="Q228" s="9" t="s">
        <v>2553</v>
      </c>
      <c r="R228" s="2" t="s">
        <v>196</v>
      </c>
      <c r="S228" s="2" t="str">
        <f>HYPERLINK(".\links\REFSEQ-INVERTEBRATE\AGAP002475-PA-REFSEQ-INVERTEBRATE.txt","REFSEQ-INVERTEBRATE")</f>
        <v>REFSEQ-INVERTEBRATE</v>
      </c>
      <c r="T228" s="2">
        <v>0</v>
      </c>
      <c r="U228" s="2">
        <v>100</v>
      </c>
      <c r="V228" s="2" t="s">
        <v>2553</v>
      </c>
      <c r="W228" s="10" t="s">
        <v>2554</v>
      </c>
      <c r="X228" s="2" t="s">
        <v>672</v>
      </c>
      <c r="Y228" s="2" t="str">
        <f>HYPERLINK(".\links\CDD\AGAP002475-PA-CDD.txt","CDD")</f>
        <v>CDD</v>
      </c>
      <c r="Z228" s="15">
        <v>3E-9</v>
      </c>
      <c r="AA228" s="2">
        <v>71.400000000000006</v>
      </c>
      <c r="AB228" s="13" t="str">
        <f>HYPERLINK(".\links\pep\AGAP002475-PA-sulf.txt","1")</f>
        <v>1</v>
      </c>
      <c r="AC228" s="13" t="str">
        <f>HYPERLINK(".\links\Sigp\AGAP002475-PA-SigP.txt","CYT")</f>
        <v>CYT</v>
      </c>
      <c r="AD228" s="2" t="s">
        <v>102</v>
      </c>
      <c r="AE228" s="2">
        <v>62.804000000000002</v>
      </c>
      <c r="AF228" s="2">
        <v>4.96</v>
      </c>
      <c r="AG228" s="2" t="s">
        <v>102</v>
      </c>
      <c r="AH228" s="2" t="s">
        <v>102</v>
      </c>
      <c r="AI228" s="2" t="s">
        <v>124</v>
      </c>
      <c r="AJ228" s="13">
        <v>0</v>
      </c>
      <c r="AK228" s="2" t="s">
        <v>102</v>
      </c>
      <c r="AL228" s="2" t="s">
        <v>102</v>
      </c>
      <c r="AM228" s="2" t="s">
        <v>102</v>
      </c>
      <c r="AN228" s="13" t="str">
        <f>HYPERLINK(".\links\gpi\AGAP002475-PA-gpi.txt","N")</f>
        <v>N</v>
      </c>
      <c r="AO228" s="14" t="str">
        <f>HYPERLINK(".\links\netoglyc\AGAP002475-PA-netoglyc.txt","0")</f>
        <v>0</v>
      </c>
      <c r="AP228" s="13">
        <v>10.8</v>
      </c>
      <c r="AQ228" s="2">
        <v>3.6</v>
      </c>
      <c r="AR228" s="2">
        <v>6.5</v>
      </c>
      <c r="AS228" s="2" t="s">
        <v>104</v>
      </c>
      <c r="AT228" s="9" t="str">
        <f>HYPERLINK(".\links\NR-LIGHT\AGAP002475-PA-NR-LIGHT.txt","AGAP002475-PA")</f>
        <v>AGAP002475-PA</v>
      </c>
      <c r="AU228" s="2" t="str">
        <f>HYPERLINK("http://www.ncbi.nlm.nih.gov/sutils/blink.cgi?pid=XP_312463.4","0.0")</f>
        <v>0.0</v>
      </c>
      <c r="AV228" s="2" t="str">
        <f>HYPERLINK("http://www.ncbi.nlm.nih.gov/protein/XP_312463.4","XP_312463.4")</f>
        <v>XP_312463.4</v>
      </c>
      <c r="AW228" s="2">
        <v>100</v>
      </c>
      <c r="AX228" s="2">
        <v>100</v>
      </c>
      <c r="AY228" s="2">
        <v>100</v>
      </c>
      <c r="AZ228" s="2" t="s">
        <v>105</v>
      </c>
      <c r="BA228" s="9" t="str">
        <f>HYPERLINK(".\links\REFSEQ-INVERTEBRATE\AGAP002475-PA-REFSEQ-INVERTEBRATE.txt","AGAP002475-PA")</f>
        <v>AGAP002475-PA</v>
      </c>
      <c r="BB228" s="2" t="str">
        <f>HYPERLINK("http://www.ncbi.nlm.nih.gov/sutils/blink.cgi?pid=XP_312463.4","0.0")</f>
        <v>0.0</v>
      </c>
      <c r="BC228" s="2" t="str">
        <f>HYPERLINK("http://www.ncbi.nlm.nih.gov/protein/XP_312463.4","XP_312463.4")</f>
        <v>XP_312463.4</v>
      </c>
      <c r="BD228" s="2">
        <v>100</v>
      </c>
      <c r="BE228" s="2">
        <v>100</v>
      </c>
      <c r="BF228" s="2">
        <v>100</v>
      </c>
      <c r="BG228" s="2" t="s">
        <v>105</v>
      </c>
      <c r="BH228" s="9" t="str">
        <f>HYPERLINK(".\links\REFSEQ-PROTOZOA\AGAP002475-PA-REFSEQ-PROTOZOA.txt","hypothetical protein (macronuclear)")</f>
        <v>hypothetical protein (macronuclear)</v>
      </c>
      <c r="BI228" s="2" t="str">
        <f>HYPERLINK("http://www.ncbi.nlm.nih.gov/sutils/blink.cgi?pid=XP_001438549.1","1E-005")</f>
        <v>1E-005</v>
      </c>
      <c r="BJ228" s="2" t="str">
        <f>HYPERLINK("http://www.ncbi.nlm.nih.gov/protein/XP_001438549.1","XP_001438549.1")</f>
        <v>XP_001438549.1</v>
      </c>
      <c r="BK228" s="2">
        <v>29</v>
      </c>
      <c r="BL228" s="2">
        <v>44</v>
      </c>
      <c r="BM228" s="2">
        <v>23</v>
      </c>
      <c r="BN228" s="2" t="s">
        <v>347</v>
      </c>
      <c r="BO228" s="9" t="str">
        <f>HYPERLINK(".\links\SWISSP\AGAP002475-PA-SWISSP.txt","Tudor domain-containing protein 1")</f>
        <v>Tudor domain-containing protein 1</v>
      </c>
      <c r="BP228" s="2" t="str">
        <f>HYPERLINK("http://www.uniprot.org/uniprot/Q9BXT4","2E-007")</f>
        <v>2E-007</v>
      </c>
      <c r="BQ228" s="2" t="str">
        <f>HYPERLINK("http://www.uniprot.org/uniprot/Q9BXT4#expression","Q9BXT4")</f>
        <v>Q9BXT4</v>
      </c>
      <c r="BR228" s="2">
        <v>21</v>
      </c>
      <c r="BS228" s="2">
        <v>38</v>
      </c>
      <c r="BT228" s="2">
        <v>36</v>
      </c>
      <c r="BU228" s="2" t="s">
        <v>127</v>
      </c>
      <c r="BV228" s="9" t="str">
        <f>HYPERLINK(".\links\FLYBASE\AGAP002475-PA-FLYBASE.txt","FBpp0086333")</f>
        <v>FBpp0086333</v>
      </c>
      <c r="BW228" s="2" t="str">
        <f>HYPERLINK("http://flybase.org/reports/FBgn0034098#alliance_summary_container","8E-34")</f>
        <v>8E-34</v>
      </c>
      <c r="BX228" s="2">
        <v>746</v>
      </c>
      <c r="BY228" s="2">
        <v>29</v>
      </c>
      <c r="BZ228" s="2">
        <v>46</v>
      </c>
      <c r="CA228" s="2">
        <v>52</v>
      </c>
      <c r="CB228" s="9" t="str">
        <f>HYPERLINK(".\links\CDD\AGAP002475-PA-CDD.txt","TUDOR, Tudor domain")</f>
        <v>TUDOR, Tudor domain</v>
      </c>
      <c r="CC228" s="15">
        <v>2.9999999999999998E-15</v>
      </c>
      <c r="CD228" s="2">
        <v>100</v>
      </c>
      <c r="CE228" s="2" t="s">
        <v>2555</v>
      </c>
      <c r="CF228" s="2" t="s">
        <v>2556</v>
      </c>
      <c r="CG228" s="9" t="str">
        <f>HYPERLINK(".\links\KOG\AGAP002475-PA-KOG.txt","Transcriptional coactivator p100")</f>
        <v>Transcriptional coactivator p100</v>
      </c>
      <c r="CH228" s="15">
        <v>6.9999999999999996E-10</v>
      </c>
      <c r="CI228" s="2">
        <v>18.100000000000001</v>
      </c>
      <c r="CJ228" s="2" t="s">
        <v>2557</v>
      </c>
      <c r="CK228" s="2" t="s">
        <v>309</v>
      </c>
      <c r="CL228" s="9" t="str">
        <f>HYPERLINK(".\links\PFAM\AGAP002475-PA-PFAM.txt","TUDOR, Tudor domain")</f>
        <v>TUDOR, Tudor domain</v>
      </c>
      <c r="CM228" s="15">
        <v>5.9999999999999999E-16</v>
      </c>
      <c r="CN228" s="2">
        <v>100</v>
      </c>
      <c r="CO228" s="2" t="s">
        <v>2555</v>
      </c>
      <c r="CP228" s="9" t="str">
        <f>HYPERLINK(".\links\SMART\AGAP002475-PA-SMART.txt","TUDOR, Tudor domain")</f>
        <v>TUDOR, Tudor domain</v>
      </c>
      <c r="CQ228" s="15">
        <v>8.9999999999999995E-9</v>
      </c>
      <c r="CR228" s="2">
        <v>89.5</v>
      </c>
      <c r="CS228" s="2" t="s">
        <v>1923</v>
      </c>
      <c r="CT228" s="2" t="s">
        <v>2553</v>
      </c>
      <c r="CU228" s="2" t="s">
        <v>2553</v>
      </c>
      <c r="CV228" s="2" t="s">
        <v>2553</v>
      </c>
      <c r="CW228" s="2" t="str">
        <f>HYPERLINK(".\links\pep\AGAP002475-PA-pep.txt","AGAP002475-PA")</f>
        <v>AGAP002475-PA</v>
      </c>
      <c r="CX228" s="2" t="s">
        <v>95</v>
      </c>
      <c r="CY228" s="2">
        <v>554</v>
      </c>
      <c r="CZ228" s="2" t="s">
        <v>113</v>
      </c>
      <c r="DA228" s="2" t="s">
        <v>2558</v>
      </c>
      <c r="DB228" s="2">
        <v>0</v>
      </c>
      <c r="DC228" s="2">
        <v>3</v>
      </c>
      <c r="DD228" s="2" t="str">
        <f>HYPERLINK("https://www.kegg.jp/kegg-bin/search_pathway_text?map=aga&amp;keyword=AGAP002475&amp;mode=1&amp;viewImage=true","AGAP002475")</f>
        <v>AGAP002475</v>
      </c>
      <c r="DE228" s="2" t="s">
        <v>2552</v>
      </c>
      <c r="DF228" s="2" t="s">
        <v>93</v>
      </c>
      <c r="DG228" s="2" t="s">
        <v>94</v>
      </c>
      <c r="DH228" s="2" t="str">
        <f>HYPERLINK("https://vectorbase.org/vectorbase/app/record/gene/AGAP002475","AGAP002475-RA")</f>
        <v>AGAP002475-RA</v>
      </c>
      <c r="DI228" s="2" t="s">
        <v>90</v>
      </c>
      <c r="DJ228" s="2">
        <v>2045</v>
      </c>
      <c r="DK228" s="2" t="str">
        <f>HYPERLINK(".\links\netoglyc\AGAP002475-PA-netoglyc.txt","0")</f>
        <v>0</v>
      </c>
      <c r="DL228" s="2">
        <v>10.8</v>
      </c>
      <c r="DM228" s="2">
        <v>3.6</v>
      </c>
      <c r="DN228" s="2">
        <v>6.5</v>
      </c>
      <c r="DO228" s="2" t="s">
        <v>104</v>
      </c>
      <c r="DP228" s="2" t="s">
        <v>102</v>
      </c>
      <c r="DQ228" s="2" t="str">
        <f>HYPERLINK(".\links\Sigp\AGAP002475-PA-SigP.txt","CYT")</f>
        <v>CYT</v>
      </c>
      <c r="DR228" s="2" t="s">
        <v>102</v>
      </c>
      <c r="DS228" s="2">
        <v>62.804000000000002</v>
      </c>
      <c r="DT228" s="2">
        <v>4.96</v>
      </c>
      <c r="DU228" s="2" t="s">
        <v>102</v>
      </c>
      <c r="DV228" s="2" t="s">
        <v>102</v>
      </c>
      <c r="DW228" s="2" t="s">
        <v>124</v>
      </c>
      <c r="DX228" s="2">
        <v>554</v>
      </c>
      <c r="DY228" s="12">
        <v>0</v>
      </c>
      <c r="DZ228" s="2" t="s">
        <v>102</v>
      </c>
      <c r="EA228" s="2" t="s">
        <v>102</v>
      </c>
      <c r="EB228" s="2" t="s">
        <v>102</v>
      </c>
      <c r="EC228" s="2" t="str">
        <f>HYPERLINK(".\links\gpi\AGAP002475-PA-gpi.txt","N")</f>
        <v>N</v>
      </c>
      <c r="ED228" s="2">
        <v>0.23</v>
      </c>
      <c r="EF228" s="2">
        <v>13</v>
      </c>
      <c r="EG228" s="2" t="str">
        <f>HYPERLINK(".\links\pep\AGAP002475-PA-sulf.txt","1")</f>
        <v>1</v>
      </c>
      <c r="EH228" s="2" t="s">
        <v>102</v>
      </c>
      <c r="EI228" s="2">
        <v>10.830324909747301</v>
      </c>
      <c r="EJ228" s="2">
        <v>6.4981949458483799</v>
      </c>
      <c r="EK228" s="2">
        <v>3.6101083032490999</v>
      </c>
      <c r="EL228" s="2">
        <v>10.108303249097499</v>
      </c>
      <c r="EM228" s="2">
        <v>1</v>
      </c>
      <c r="EN228" s="2">
        <v>1</v>
      </c>
      <c r="EO228" s="2">
        <v>3</v>
      </c>
      <c r="EP228" s="2" t="s">
        <v>102</v>
      </c>
      <c r="EQ228" s="2" t="s">
        <v>102</v>
      </c>
      <c r="ER228" s="2" t="s">
        <v>102</v>
      </c>
      <c r="ES228" s="2" t="s">
        <v>102</v>
      </c>
      <c r="ET228" s="2" t="str">
        <f>HYPERLINK(".\links\REFSEQ-INVERTEBRATE\AGAP002475-PA-REFSEQ-INVERTEBRATE.txt","AGAP002475-PA")</f>
        <v>AGAP002475-PA</v>
      </c>
      <c r="EU228" s="2" t="str">
        <f>HYPERLINK("http://www.ncbi.nlm.nih.gov/sutils/blink.cgi?pid=XP_312463.4","0.0")</f>
        <v>0.0</v>
      </c>
      <c r="EV228" s="2" t="str">
        <f>HYPERLINK("http://www.ncbi.nlm.nih.gov/protein/XP_312463.4","XP_312463.4")</f>
        <v>XP_312463.4</v>
      </c>
      <c r="EW228" s="2">
        <v>100</v>
      </c>
      <c r="EX228" s="2">
        <v>100</v>
      </c>
      <c r="EY228" s="2">
        <v>100</v>
      </c>
      <c r="EZ228" s="2" t="s">
        <v>105</v>
      </c>
    </row>
    <row r="229" spans="1:156" x14ac:dyDescent="0.25">
      <c r="A229" s="2" t="s">
        <v>2559</v>
      </c>
      <c r="B229" s="2">
        <v>0.30196475463150801</v>
      </c>
      <c r="C229" s="2">
        <f t="shared" si="3"/>
        <v>1.2328222069685566</v>
      </c>
      <c r="D229" s="2">
        <v>5.7276211966907304</v>
      </c>
      <c r="E229" s="2">
        <v>9.0556329102760795</v>
      </c>
      <c r="F229" s="2">
        <v>2.6188673438221101E-3</v>
      </c>
      <c r="G229" s="2">
        <v>4.7269525491001697E-2</v>
      </c>
      <c r="H229" s="2" t="s">
        <v>93</v>
      </c>
      <c r="I229" s="2" t="s">
        <v>94</v>
      </c>
      <c r="J229" s="2" t="str">
        <f>HYPERLINK("https://vectorbase.org/vectorbase/app/record/gene/AGAP004515","AGAP004515-RA")</f>
        <v>AGAP004515-RA</v>
      </c>
      <c r="K229" s="2" t="str">
        <f>HYPERLINK(".\links\pep\AGAP004515-PA-pep.txt","AGAP004515-PA")</f>
        <v>AGAP004515-PA</v>
      </c>
      <c r="L229" s="12" t="s">
        <v>95</v>
      </c>
      <c r="M229" s="2">
        <v>419</v>
      </c>
      <c r="N229" s="2">
        <v>0</v>
      </c>
      <c r="O229" s="2">
        <v>2</v>
      </c>
      <c r="P229" s="2" t="s">
        <v>102</v>
      </c>
      <c r="Q229" s="9" t="s">
        <v>2560</v>
      </c>
      <c r="R229" s="2" t="s">
        <v>420</v>
      </c>
      <c r="S229" s="2" t="str">
        <f>HYPERLINK(".\links\REFSEQ-INVERTEBRATE\AGAP004515-PA-REFSEQ-INVERTEBRATE.txt","REFSEQ-INVERTEBRATE")</f>
        <v>REFSEQ-INVERTEBRATE</v>
      </c>
      <c r="T229" s="2">
        <v>6.0000000000000001E-32</v>
      </c>
      <c r="U229" s="2">
        <v>63.4</v>
      </c>
      <c r="V229" s="2" t="s">
        <v>2561</v>
      </c>
      <c r="W229" s="10" t="s">
        <v>2562</v>
      </c>
      <c r="X229" s="2" t="s">
        <v>196</v>
      </c>
      <c r="Y229" s="2" t="str">
        <f>HYPERLINK(".\links\ARTHORPODA\AGAP004515-PA-ARTHORPODA.txt","ARTHORPODA")</f>
        <v>ARTHORPODA</v>
      </c>
      <c r="Z229" s="15">
        <v>0</v>
      </c>
      <c r="AA229" s="2">
        <v>100</v>
      </c>
      <c r="AB229" s="13" t="str">
        <f>HYPERLINK(".\links\pep\AGAP004515-PA-sulf.txt","4")</f>
        <v>4</v>
      </c>
      <c r="AC229" s="13" t="str">
        <f>HYPERLINK(".\links\Sigp\AGAP004515-PA-SigP.txt","CYT")</f>
        <v>CYT</v>
      </c>
      <c r="AD229" s="2" t="s">
        <v>102</v>
      </c>
      <c r="AE229" s="2">
        <v>47.378</v>
      </c>
      <c r="AF229" s="2">
        <v>8.89</v>
      </c>
      <c r="AG229" s="2" t="s">
        <v>102</v>
      </c>
      <c r="AH229" s="2" t="s">
        <v>102</v>
      </c>
      <c r="AI229" s="2" t="s">
        <v>198</v>
      </c>
      <c r="AJ229" s="13">
        <v>0</v>
      </c>
      <c r="AK229" s="2" t="s">
        <v>102</v>
      </c>
      <c r="AL229" s="2" t="s">
        <v>102</v>
      </c>
      <c r="AM229" s="2" t="s">
        <v>102</v>
      </c>
      <c r="AN229" s="13" t="str">
        <f>HYPERLINK(".\links\gpi\AGAP004515-PA-gpi.txt","N")</f>
        <v>N</v>
      </c>
      <c r="AO229" s="14" t="str">
        <f>HYPERLINK(".\links\netoglyc\AGAP004515-PA-netoglyc.txt","11")</f>
        <v>11</v>
      </c>
      <c r="AP229" s="13">
        <v>14.1</v>
      </c>
      <c r="AQ229" s="2">
        <v>4.0999999999999996</v>
      </c>
      <c r="AR229" s="2">
        <v>7.9</v>
      </c>
      <c r="AS229" s="2" t="s">
        <v>104</v>
      </c>
      <c r="AT229" s="9" t="str">
        <f>HYPERLINK(".\links\NR-LIGHT\AGAP004515-PA-NR-LIGHT.txt","AGAP004515-PA")</f>
        <v>AGAP004515-PA</v>
      </c>
      <c r="AU229" s="2" t="str">
        <f>HYPERLINK("http://www.ncbi.nlm.nih.gov/sutils/blink.cgi?pid=XP_313814.2","0.0")</f>
        <v>0.0</v>
      </c>
      <c r="AV229" s="2" t="str">
        <f>HYPERLINK("http://www.ncbi.nlm.nih.gov/protein/XP_313814.2","XP_313814.2")</f>
        <v>XP_313814.2</v>
      </c>
      <c r="AW229" s="2">
        <v>100</v>
      </c>
      <c r="AX229" s="2">
        <v>100</v>
      </c>
      <c r="AY229" s="2">
        <v>100</v>
      </c>
      <c r="AZ229" s="2" t="s">
        <v>105</v>
      </c>
      <c r="BA229" s="9" t="str">
        <f>HYPERLINK(".\links\REFSEQ-INVERTEBRATE\AGAP004515-PA-REFSEQ-INVERTEBRATE.txt","AGAP004515-PA")</f>
        <v>AGAP004515-PA</v>
      </c>
      <c r="BB229" s="2" t="str">
        <f>HYPERLINK("http://www.ncbi.nlm.nih.gov/sutils/blink.cgi?pid=XP_313814.2","0.0")</f>
        <v>0.0</v>
      </c>
      <c r="BC229" s="2" t="str">
        <f>HYPERLINK("http://www.ncbi.nlm.nih.gov/protein/XP_313814.2","XP_313814.2")</f>
        <v>XP_313814.2</v>
      </c>
      <c r="BD229" s="2">
        <v>100</v>
      </c>
      <c r="BE229" s="2">
        <v>100</v>
      </c>
      <c r="BF229" s="2">
        <v>100</v>
      </c>
      <c r="BG229" s="2" t="s">
        <v>105</v>
      </c>
      <c r="BH229" s="9" t="str">
        <f>HYPERLINK(".\links\REFSEQ-PROTOZOA\AGAP004515-PA-REFSEQ-PROTOZOA.txt","poly(ADP-ribosyl)transferase")</f>
        <v>poly(ADP-ribosyl)transferase</v>
      </c>
      <c r="BI229" s="2" t="str">
        <f>HYPERLINK("http://www.ncbi.nlm.nih.gov/sutils/blink.cgi?pid=XP_004366543.1","4E-006")</f>
        <v>4E-006</v>
      </c>
      <c r="BJ229" s="2" t="str">
        <f>HYPERLINK("http://www.ncbi.nlm.nih.gov/protein/XP_004366543.1","XP_004366543.1")</f>
        <v>XP_004366543.1</v>
      </c>
      <c r="BK229" s="2">
        <v>26</v>
      </c>
      <c r="BL229" s="2">
        <v>39</v>
      </c>
      <c r="BM229" s="2">
        <v>9</v>
      </c>
      <c r="BN229" s="2" t="s">
        <v>212</v>
      </c>
      <c r="BO229" s="9" t="str">
        <f>HYPERLINK(".\links\SWISSP\AGAP004515-PA-SWISSP.txt","Muscle M-line assembly protein unc-89")</f>
        <v>Muscle M-line assembly protein unc-89</v>
      </c>
      <c r="BP229" s="2" t="str">
        <f>HYPERLINK("http://www.uniprot.org/uniprot/O01761","8E-007")</f>
        <v>8E-007</v>
      </c>
      <c r="BQ229" s="2" t="str">
        <f>HYPERLINK("http://www.uniprot.org/uniprot/O01761#expression","O01761")</f>
        <v>O01761</v>
      </c>
      <c r="BR229" s="2">
        <v>23</v>
      </c>
      <c r="BS229" s="2">
        <v>40</v>
      </c>
      <c r="BT229" s="2">
        <v>3</v>
      </c>
      <c r="BU229" s="2" t="s">
        <v>1445</v>
      </c>
      <c r="BV229" s="9" t="str">
        <f>HYPERLINK(".\links\FLYBASE\AGAP004515-PA-FLYBASE.txt","FBpp0078110")</f>
        <v>FBpp0078110</v>
      </c>
      <c r="BW229" s="2" t="str">
        <f>HYPERLINK("http://flybase.org/reports/FBgn0037123#alliance_summary_container","38")</f>
        <v>38</v>
      </c>
      <c r="BX229" s="2">
        <v>195</v>
      </c>
      <c r="BY229" s="2">
        <v>31</v>
      </c>
      <c r="BZ229" s="2">
        <v>45</v>
      </c>
      <c r="CA229" s="2">
        <v>46</v>
      </c>
      <c r="CB229" s="9" t="str">
        <f>HYPERLINK(".\links\CDD\AGAP004515-PA-CDD.txt","retinal_rod, K+-dependent Na+/Ca+ exchanger")</f>
        <v>retinal_rod, K+-dependent Na+/Ca+ exchanger</v>
      </c>
      <c r="CC229" s="15">
        <v>0.21</v>
      </c>
      <c r="CD229" s="2">
        <v>18.5</v>
      </c>
      <c r="CE229" s="2" t="s">
        <v>232</v>
      </c>
      <c r="CF229" s="2" t="s">
        <v>2563</v>
      </c>
      <c r="CG229" s="9" t="str">
        <f>HYPERLINK(".\links\KOG\AGAP004515-PA-KOG.txt","LAR transmembrane tyrosine phosphatase-interacting protein liprin")</f>
        <v>LAR transmembrane tyrosine phosphatase-interacting protein liprin</v>
      </c>
      <c r="CH229" s="15">
        <v>1E-3</v>
      </c>
      <c r="CI229" s="2">
        <v>20.7</v>
      </c>
      <c r="CJ229" s="2" t="s">
        <v>2564</v>
      </c>
      <c r="CK229" s="2" t="s">
        <v>191</v>
      </c>
      <c r="CL229" s="9" t="str">
        <f>HYPERLINK(".\links\PFAM\AGAP004515-PA-PFAM.txt","DUF1509, Protein of unknown function (DUF1509)")</f>
        <v>DUF1509, Protein of unknown function (DUF1509)</v>
      </c>
      <c r="CM229" s="15">
        <v>0.52</v>
      </c>
      <c r="CN229" s="2">
        <v>37.5</v>
      </c>
      <c r="CO229" s="2" t="s">
        <v>2565</v>
      </c>
      <c r="CP229" s="9" t="str">
        <f>HYPERLINK(".\links\SMART\AGAP004515-PA-SMART.txt","NH, Neurohypophysial hormones")</f>
        <v>NH, Neurohypophysial hormones</v>
      </c>
      <c r="CQ229" s="15">
        <v>0.78</v>
      </c>
      <c r="CR229" s="2">
        <v>21.8</v>
      </c>
      <c r="CS229" s="2" t="s">
        <v>2566</v>
      </c>
      <c r="CT229" s="2" t="s">
        <v>2561</v>
      </c>
      <c r="CU229" s="2" t="s">
        <v>2561</v>
      </c>
      <c r="CV229" s="2" t="s">
        <v>2561</v>
      </c>
      <c r="CW229" s="2" t="str">
        <f>HYPERLINK(".\links\pep\AGAP004515-PA-pep.txt","AGAP004515-PA")</f>
        <v>AGAP004515-PA</v>
      </c>
      <c r="CX229" s="2" t="s">
        <v>95</v>
      </c>
      <c r="CY229" s="2">
        <v>419</v>
      </c>
      <c r="CZ229" s="2" t="s">
        <v>113</v>
      </c>
      <c r="DA229" s="2" t="s">
        <v>2567</v>
      </c>
      <c r="DB229" s="2">
        <v>0</v>
      </c>
      <c r="DC229" s="2">
        <v>2</v>
      </c>
      <c r="DD229" s="2" t="str">
        <f>HYPERLINK("https://www.kegg.jp/kegg-bin/search_pathway_text?map=aga&amp;keyword=AGAP004515&amp;mode=1&amp;viewImage=true","AGAP004515")</f>
        <v>AGAP004515</v>
      </c>
      <c r="DE229" s="2" t="s">
        <v>2559</v>
      </c>
      <c r="DF229" s="2" t="s">
        <v>93</v>
      </c>
      <c r="DG229" s="2" t="s">
        <v>94</v>
      </c>
      <c r="DH229" s="2" t="str">
        <f>HYPERLINK("https://vectorbase.org/vectorbase/app/record/gene/AGAP004515","AGAP004515-RA")</f>
        <v>AGAP004515-RA</v>
      </c>
      <c r="DI229" s="2" t="s">
        <v>118</v>
      </c>
      <c r="DJ229" s="2">
        <v>1817</v>
      </c>
      <c r="DK229" s="2" t="str">
        <f>HYPERLINK(".\links\netoglyc\AGAP004515-PA-netoglyc.txt","11")</f>
        <v>11</v>
      </c>
      <c r="DL229" s="2">
        <v>14.1</v>
      </c>
      <c r="DM229" s="2">
        <v>4.0999999999999996</v>
      </c>
      <c r="DN229" s="2">
        <v>7.9</v>
      </c>
      <c r="DO229" s="2" t="s">
        <v>104</v>
      </c>
      <c r="DP229" s="2" t="s">
        <v>102</v>
      </c>
      <c r="DQ229" s="2" t="str">
        <f>HYPERLINK(".\links\Sigp\AGAP004515-PA-SigP.txt","CYT")</f>
        <v>CYT</v>
      </c>
      <c r="DR229" s="2" t="s">
        <v>102</v>
      </c>
      <c r="DS229" s="2">
        <v>47.378</v>
      </c>
      <c r="DT229" s="2">
        <v>8.89</v>
      </c>
      <c r="DU229" s="2" t="s">
        <v>102</v>
      </c>
      <c r="DV229" s="2" t="s">
        <v>102</v>
      </c>
      <c r="DW229" s="2" t="s">
        <v>198</v>
      </c>
      <c r="DX229" s="2">
        <v>419</v>
      </c>
      <c r="DY229" s="12">
        <v>0</v>
      </c>
      <c r="DZ229" s="2" t="s">
        <v>102</v>
      </c>
      <c r="EA229" s="2" t="s">
        <v>102</v>
      </c>
      <c r="EB229" s="2" t="s">
        <v>102</v>
      </c>
      <c r="EC229" s="2" t="str">
        <f>HYPERLINK(".\links\gpi\AGAP004515-PA-gpi.txt","N")</f>
        <v>N</v>
      </c>
      <c r="ED229" s="2">
        <v>0.28000000000000003</v>
      </c>
      <c r="EF229" s="2">
        <v>6</v>
      </c>
      <c r="EG229" s="2" t="str">
        <f>HYPERLINK(".\links\pep\AGAP004515-PA-sulf.txt","4")</f>
        <v>4</v>
      </c>
      <c r="EH229" s="2" t="s">
        <v>102</v>
      </c>
      <c r="EI229" s="2">
        <v>14.081145584725499</v>
      </c>
      <c r="EJ229" s="2">
        <v>7.8758949880668299</v>
      </c>
      <c r="EK229" s="2">
        <v>4.0572792362768499</v>
      </c>
      <c r="EL229" s="2">
        <v>11.9331742243437</v>
      </c>
      <c r="EM229" s="2" t="s">
        <v>102</v>
      </c>
      <c r="EN229" s="2">
        <v>1</v>
      </c>
      <c r="EO229" s="2">
        <v>1</v>
      </c>
      <c r="EP229" s="2" t="s">
        <v>102</v>
      </c>
      <c r="EQ229" s="2" t="s">
        <v>102</v>
      </c>
      <c r="ER229" s="2" t="s">
        <v>102</v>
      </c>
      <c r="ES229" s="2" t="s">
        <v>102</v>
      </c>
      <c r="ET229" s="2" t="str">
        <f>HYPERLINK(".\links\REFSEQ-INVERTEBRATE\AGAP004515-PA-REFSEQ-INVERTEBRATE.txt","AGAP004515-PA")</f>
        <v>AGAP004515-PA</v>
      </c>
      <c r="EU229" s="2" t="str">
        <f>HYPERLINK("http://www.ncbi.nlm.nih.gov/sutils/blink.cgi?pid=XP_313814.2","0.0")</f>
        <v>0.0</v>
      </c>
      <c r="EV229" s="2" t="str">
        <f>HYPERLINK("http://www.ncbi.nlm.nih.gov/protein/XP_313814.2","XP_313814.2")</f>
        <v>XP_313814.2</v>
      </c>
      <c r="EW229" s="2">
        <v>100</v>
      </c>
      <c r="EX229" s="2">
        <v>100</v>
      </c>
      <c r="EY229" s="2">
        <v>100</v>
      </c>
      <c r="EZ229" s="2" t="s">
        <v>105</v>
      </c>
    </row>
    <row r="230" spans="1:156" x14ac:dyDescent="0.25">
      <c r="A230" s="2" t="s">
        <v>2568</v>
      </c>
      <c r="B230" s="2">
        <v>0.301521404656451</v>
      </c>
      <c r="C230" s="2">
        <f t="shared" si="3"/>
        <v>1.2324434105457316</v>
      </c>
      <c r="D230" s="2">
        <v>5.2346367801813596</v>
      </c>
      <c r="E230" s="2">
        <v>8.9918751390473908</v>
      </c>
      <c r="F230" s="2">
        <v>2.7118259112554402E-3</v>
      </c>
      <c r="G230" s="2">
        <v>4.7980330979214399E-2</v>
      </c>
      <c r="H230" s="2" t="s">
        <v>93</v>
      </c>
      <c r="I230" s="2" t="s">
        <v>94</v>
      </c>
      <c r="J230" s="2" t="str">
        <f>HYPERLINK("https://vectorbase.org/vectorbase/app/record/gene/AGAP013053","AGAP013053-RA")</f>
        <v>AGAP013053-RA</v>
      </c>
      <c r="K230" s="2" t="str">
        <f>HYPERLINK(".\links\pep\AGAP013053-PA-pep.txt","AGAP013053-PA")</f>
        <v>AGAP013053-PA</v>
      </c>
      <c r="L230" s="12" t="s">
        <v>95</v>
      </c>
      <c r="M230" s="2">
        <v>443</v>
      </c>
      <c r="N230" s="2">
        <v>0</v>
      </c>
      <c r="O230" s="2">
        <v>1</v>
      </c>
      <c r="P230" s="2" t="s">
        <v>102</v>
      </c>
      <c r="Q230" s="9" t="s">
        <v>97</v>
      </c>
      <c r="R230" s="2" t="s">
        <v>98</v>
      </c>
      <c r="S230" s="2" t="str">
        <f>HYPERLINK(".\links\REFSEQ-INVERTEBRATE\AGAP013053-PA-REFSEQ-INVERTEBRATE.txt","REFSEQ-INVERTEBRATE")</f>
        <v>REFSEQ-INVERTEBRATE</v>
      </c>
      <c r="T230" s="2">
        <v>0</v>
      </c>
      <c r="U230" s="2">
        <v>100</v>
      </c>
      <c r="V230" s="2" t="s">
        <v>2569</v>
      </c>
      <c r="W230" s="10" t="s">
        <v>2570</v>
      </c>
      <c r="X230" s="2" t="s">
        <v>771</v>
      </c>
      <c r="Y230" s="2" t="str">
        <f>HYPERLINK(".\links\REFSEQ-INVERTEBRATE\AGAP013053-PA-REFSEQ-INVERTEBRATE.txt","REFSEQ-INVERTEBRATE")</f>
        <v>REFSEQ-INVERTEBRATE</v>
      </c>
      <c r="Z230" s="15">
        <v>0</v>
      </c>
      <c r="AA230" s="2">
        <v>91</v>
      </c>
      <c r="AB230" s="13" t="str">
        <f>HYPERLINK(".\links\pep\AGAP013053-PA-sulf.txt","2")</f>
        <v>2</v>
      </c>
      <c r="AC230" s="13" t="str">
        <f>HYPERLINK(".\links\Sigp\AGAP013053-PA-SigP.txt","CYT")</f>
        <v>CYT</v>
      </c>
      <c r="AD230" s="2" t="s">
        <v>102</v>
      </c>
      <c r="AE230" s="2">
        <v>47.939</v>
      </c>
      <c r="AF230" s="2">
        <v>4.9800000000000004</v>
      </c>
      <c r="AG230" s="2" t="s">
        <v>102</v>
      </c>
      <c r="AH230" s="2" t="s">
        <v>102</v>
      </c>
      <c r="AI230" s="2" t="s">
        <v>2571</v>
      </c>
      <c r="AJ230" s="13" t="str">
        <f>HYPERLINK(".\links\tmhmm\AGAP013053-PA-tmhmm.txt","1")</f>
        <v>1</v>
      </c>
      <c r="AK230" s="2">
        <v>4.3</v>
      </c>
      <c r="AL230" s="2">
        <v>82.4</v>
      </c>
      <c r="AM230" s="2">
        <v>13.3</v>
      </c>
      <c r="AN230" s="13" t="str">
        <f>HYPERLINK(".\links\gpi\AGAP013053-PA-gpi.txt","N")</f>
        <v>N</v>
      </c>
      <c r="AO230" s="14" t="str">
        <f>HYPERLINK(".\links\netoglyc\AGAP013053-PA-netoglyc.txt","2")</f>
        <v>2</v>
      </c>
      <c r="AP230" s="13">
        <v>13.1</v>
      </c>
      <c r="AQ230" s="2">
        <v>6.5</v>
      </c>
      <c r="AR230" s="2">
        <v>7</v>
      </c>
      <c r="AS230" s="2" t="s">
        <v>104</v>
      </c>
      <c r="AT230" s="9" t="str">
        <f>HYPERLINK(".\links\NR-LIGHT\AGAP013053-PA-NR-LIGHT.txt","AGAP013053-PA")</f>
        <v>AGAP013053-PA</v>
      </c>
      <c r="AU230" s="2" t="str">
        <f>HYPERLINK("http://www.ncbi.nlm.nih.gov/sutils/blink.cgi?pid=XP_003436851.1","0.0")</f>
        <v>0.0</v>
      </c>
      <c r="AV230" s="2" t="str">
        <f>HYPERLINK("http://www.ncbi.nlm.nih.gov/protein/XP_003436851.1","XP_003436851.1")</f>
        <v>XP_003436851.1</v>
      </c>
      <c r="AW230" s="2">
        <v>100</v>
      </c>
      <c r="AX230" s="2">
        <v>100</v>
      </c>
      <c r="AY230" s="2">
        <v>100</v>
      </c>
      <c r="AZ230" s="2" t="s">
        <v>105</v>
      </c>
      <c r="BA230" s="9" t="str">
        <f>HYPERLINK(".\links\REFSEQ-INVERTEBRATE\AGAP013053-PA-REFSEQ-INVERTEBRATE.txt","AGAP013053-PA")</f>
        <v>AGAP013053-PA</v>
      </c>
      <c r="BB230" s="2" t="str">
        <f>HYPERLINK("http://www.ncbi.nlm.nih.gov/sutils/blink.cgi?pid=XP_003436851.1","0.0")</f>
        <v>0.0</v>
      </c>
      <c r="BC230" s="2" t="str">
        <f>HYPERLINK("http://www.ncbi.nlm.nih.gov/protein/XP_003436851.1","XP_003436851.1")</f>
        <v>XP_003436851.1</v>
      </c>
      <c r="BD230" s="2">
        <v>100</v>
      </c>
      <c r="BE230" s="2">
        <v>100</v>
      </c>
      <c r="BF230" s="2">
        <v>100</v>
      </c>
      <c r="BG230" s="2" t="s">
        <v>105</v>
      </c>
      <c r="BH230" s="9" t="str">
        <f>HYPERLINK(".\links\REFSEQ-PROTOZOA\AGAP013053-PA-REFSEQ-PROTOZOA.txt","hypothetical protein (macronuclear)")</f>
        <v>hypothetical protein (macronuclear)</v>
      </c>
      <c r="BI230" s="2" t="str">
        <f>HYPERLINK("http://www.ncbi.nlm.nih.gov/sutils/blink.cgi?pid=XP_001424686.1","8E-006")</f>
        <v>8E-006</v>
      </c>
      <c r="BJ230" s="2" t="str">
        <f>HYPERLINK("http://www.ncbi.nlm.nih.gov/protein/XP_001424686.1","XP_001424686.1")</f>
        <v>XP_001424686.1</v>
      </c>
      <c r="BK230" s="2">
        <v>24</v>
      </c>
      <c r="BL230" s="2">
        <v>40</v>
      </c>
      <c r="BM230" s="2">
        <v>26</v>
      </c>
      <c r="BN230" s="2" t="s">
        <v>347</v>
      </c>
      <c r="BO230" s="9" t="str">
        <f>HYPERLINK(".\links\SWISSP\AGAP013053-PA-SWISSP.txt","Trans-Golgi network integral membrane protein 2")</f>
        <v>Trans-Golgi network integral membrane protein 2</v>
      </c>
      <c r="BP230" s="2" t="str">
        <f>HYPERLINK("http://www.uniprot.org/uniprot/O43493","4E-012")</f>
        <v>4E-012</v>
      </c>
      <c r="BQ230" s="2" t="str">
        <f>HYPERLINK("http://www.uniprot.org/uniprot/O43493#expression","O43493")</f>
        <v>O43493</v>
      </c>
      <c r="BR230" s="2">
        <v>22</v>
      </c>
      <c r="BS230" s="2">
        <v>41</v>
      </c>
      <c r="BT230" s="2">
        <v>69</v>
      </c>
      <c r="BU230" s="2" t="s">
        <v>127</v>
      </c>
      <c r="BV230" s="9" t="str">
        <f>HYPERLINK(".\links\FLYBASE\AGAP013053-PA-FLYBASE.txt","FBpp0310843")</f>
        <v>FBpp0310843</v>
      </c>
      <c r="BW230" s="2" t="str">
        <f>HYPERLINK("http://flybase.org/reports/FBgn0038405#alliance_summary_container","13")</f>
        <v>13</v>
      </c>
      <c r="BX230" s="2">
        <v>371</v>
      </c>
      <c r="BY230" s="2">
        <v>36</v>
      </c>
      <c r="BZ230" s="2">
        <v>56</v>
      </c>
      <c r="CA230" s="2">
        <v>13</v>
      </c>
      <c r="CB230" s="9" t="str">
        <f>HYPERLINK(".\links\CDD\AGAP013053-PA-CDD.txt","CobT, Cobalamin biosynthesis protein CobT (nicotinate-mononucleotide:5, 6-dimethylbenzimidazole phosphoribosyltransferase)")</f>
        <v>CobT, Cobalamin biosynthesis protein CobT (nicotinate-mononucleotide:5, 6-dimethylbenzimidazole phosphoribosyltransferase)</v>
      </c>
      <c r="CC230" s="15">
        <v>1.4E-2</v>
      </c>
      <c r="CD230" s="2">
        <v>51.8</v>
      </c>
      <c r="CE230" s="2" t="s">
        <v>2572</v>
      </c>
      <c r="CF230" s="2" t="s">
        <v>2573</v>
      </c>
      <c r="CG230" s="9" t="str">
        <f>HYPERLINK(".\links\KOG\AGAP013053-PA-KOG.txt","E2 subunit)")</f>
        <v>E2 subunit)</v>
      </c>
      <c r="CH230" s="15">
        <v>1.4</v>
      </c>
      <c r="CI230" s="2">
        <v>19.7</v>
      </c>
      <c r="CJ230" s="2" t="s">
        <v>2574</v>
      </c>
      <c r="CK230" s="2" t="s">
        <v>1449</v>
      </c>
      <c r="CL230" s="9" t="str">
        <f>HYPERLINK(".\links\PFAM\AGAP013053-PA-PFAM.txt","Sre, C")</f>
        <v>Sre, C</v>
      </c>
      <c r="CM230" s="15">
        <v>8.4000000000000005E-2</v>
      </c>
      <c r="CN230" s="2">
        <v>10.7</v>
      </c>
      <c r="CO230" s="2" t="s">
        <v>2575</v>
      </c>
      <c r="CP230" s="9" t="str">
        <f>HYPERLINK(".\links\SMART\AGAP013053-PA-SMART.txt","Cupin_1, Cupin")</f>
        <v>Cupin_1, Cupin</v>
      </c>
      <c r="CQ230" s="15">
        <v>0.13</v>
      </c>
      <c r="CR230" s="2">
        <v>41.1</v>
      </c>
      <c r="CS230" s="2" t="s">
        <v>2576</v>
      </c>
      <c r="CT230" s="2" t="s">
        <v>2569</v>
      </c>
      <c r="CU230" s="2" t="s">
        <v>2569</v>
      </c>
      <c r="CV230" s="2" t="s">
        <v>2569</v>
      </c>
      <c r="CW230" s="2" t="str">
        <f>HYPERLINK(".\links\pep\AGAP013053-PA-pep.txt","AGAP013053-PA")</f>
        <v>AGAP013053-PA</v>
      </c>
      <c r="CX230" s="2" t="s">
        <v>95</v>
      </c>
      <c r="CY230" s="2">
        <v>443</v>
      </c>
      <c r="CZ230" s="2" t="s">
        <v>113</v>
      </c>
      <c r="DA230" s="2" t="s">
        <v>2577</v>
      </c>
      <c r="DB230" s="2">
        <v>0</v>
      </c>
      <c r="DC230" s="2">
        <v>1</v>
      </c>
      <c r="DD230" s="2" t="str">
        <f>HYPERLINK("https://www.kegg.jp/kegg-bin/search_pathway_text?map=aga&amp;keyword=AGAP013053&amp;mode=1&amp;viewImage=true","AGAP013053")</f>
        <v>AGAP013053</v>
      </c>
      <c r="DE230" s="2" t="s">
        <v>2568</v>
      </c>
      <c r="DF230" s="2" t="s">
        <v>93</v>
      </c>
      <c r="DG230" s="2" t="s">
        <v>94</v>
      </c>
      <c r="DH230" s="2" t="str">
        <f>HYPERLINK("https://vectorbase.org/vectorbase/app/record/gene/AGAP013053","AGAP013053-RA")</f>
        <v>AGAP013053-RA</v>
      </c>
      <c r="DI230" s="2" t="s">
        <v>115</v>
      </c>
      <c r="DJ230" s="2">
        <v>1935</v>
      </c>
      <c r="DK230" s="2" t="str">
        <f>HYPERLINK(".\links\netoglyc\AGAP013053-PA-netoglyc.txt","2")</f>
        <v>2</v>
      </c>
      <c r="DL230" s="2">
        <v>13.1</v>
      </c>
      <c r="DM230" s="2">
        <v>6.5</v>
      </c>
      <c r="DN230" s="2">
        <v>7</v>
      </c>
      <c r="DO230" s="2" t="s">
        <v>104</v>
      </c>
      <c r="DP230" s="2" t="s">
        <v>102</v>
      </c>
      <c r="DQ230" s="2" t="str">
        <f>HYPERLINK(".\links\Sigp\AGAP013053-PA-SigP.txt","CYT")</f>
        <v>CYT</v>
      </c>
      <c r="DR230" s="2" t="s">
        <v>102</v>
      </c>
      <c r="DS230" s="2">
        <v>47.939</v>
      </c>
      <c r="DT230" s="2">
        <v>4.9800000000000004</v>
      </c>
      <c r="DU230" s="2" t="s">
        <v>102</v>
      </c>
      <c r="DV230" s="2" t="s">
        <v>102</v>
      </c>
      <c r="DW230" s="2" t="s">
        <v>2571</v>
      </c>
      <c r="DX230" s="2">
        <v>443</v>
      </c>
      <c r="DY230" s="12" t="str">
        <f>HYPERLINK(".\links\tmhmm\AGAP013053-PA-tmhmm.txt","1")</f>
        <v>1</v>
      </c>
      <c r="DZ230" s="2">
        <v>4.3</v>
      </c>
      <c r="EA230" s="2">
        <v>82.4</v>
      </c>
      <c r="EB230" s="2">
        <v>13.3</v>
      </c>
      <c r="EC230" s="2" t="str">
        <f>HYPERLINK(".\links\gpi\AGAP013053-PA-gpi.txt","Y-NoSP")</f>
        <v>Y-NoSP</v>
      </c>
      <c r="ED230" s="2">
        <v>0.27</v>
      </c>
      <c r="EF230" s="2">
        <v>7</v>
      </c>
      <c r="EG230" s="2" t="str">
        <f>HYPERLINK(".\links\pep\AGAP013053-PA-sulf.txt","2")</f>
        <v>2</v>
      </c>
      <c r="EH230" s="2" t="s">
        <v>102</v>
      </c>
      <c r="EI230" s="2">
        <v>13.092550790067699</v>
      </c>
      <c r="EJ230" s="2">
        <v>6.9977426636568802</v>
      </c>
      <c r="EK230" s="2">
        <v>6.5462753950338604</v>
      </c>
      <c r="EL230" s="2">
        <v>13.5440180586907</v>
      </c>
      <c r="EM230" s="2" t="s">
        <v>102</v>
      </c>
      <c r="EN230" s="2">
        <v>2</v>
      </c>
      <c r="EO230" s="2">
        <v>2</v>
      </c>
      <c r="EP230" s="2" t="s">
        <v>102</v>
      </c>
      <c r="EQ230" s="2" t="s">
        <v>102</v>
      </c>
      <c r="ER230" s="2" t="s">
        <v>102</v>
      </c>
      <c r="ES230" s="2" t="s">
        <v>102</v>
      </c>
      <c r="ET230" s="2" t="str">
        <f>HYPERLINK(".\links\REFSEQ-INVERTEBRATE\AGAP013053-PA-REFSEQ-INVERTEBRATE.txt","AGAP013053-PA")</f>
        <v>AGAP013053-PA</v>
      </c>
      <c r="EU230" s="2" t="str">
        <f>HYPERLINK("http://www.ncbi.nlm.nih.gov/sutils/blink.cgi?pid=XP_003436851.1","0.0")</f>
        <v>0.0</v>
      </c>
      <c r="EV230" s="2" t="str">
        <f>HYPERLINK("http://www.ncbi.nlm.nih.gov/protein/XP_003436851.1","XP_003436851.1")</f>
        <v>XP_003436851.1</v>
      </c>
      <c r="EW230" s="2">
        <v>100</v>
      </c>
      <c r="EX230" s="2">
        <v>100</v>
      </c>
      <c r="EY230" s="2">
        <v>100</v>
      </c>
      <c r="EZ230" s="2" t="s">
        <v>105</v>
      </c>
    </row>
    <row r="231" spans="1:156" x14ac:dyDescent="0.25">
      <c r="A231" s="2" t="s">
        <v>2578</v>
      </c>
      <c r="B231" s="2">
        <v>0.30139765205437202</v>
      </c>
      <c r="C231" s="2">
        <f t="shared" si="3"/>
        <v>1.2323376976033367</v>
      </c>
      <c r="D231" s="2">
        <v>7.7766505029318704</v>
      </c>
      <c r="E231" s="2">
        <v>15.170316614426101</v>
      </c>
      <c r="F231" s="2">
        <v>9.8235577276419399E-5</v>
      </c>
      <c r="G231" s="2">
        <v>1.07823521657219E-2</v>
      </c>
      <c r="H231" s="2" t="s">
        <v>2579</v>
      </c>
      <c r="I231" s="2" t="s">
        <v>88</v>
      </c>
      <c r="J231" s="8" t="s">
        <v>2580</v>
      </c>
      <c r="Q231" s="9"/>
      <c r="W231" s="10"/>
      <c r="AB231" s="9"/>
      <c r="AC231" s="9"/>
      <c r="AJ231" s="9"/>
      <c r="AN231" s="9"/>
      <c r="AO231" s="11"/>
      <c r="AP231" s="9"/>
      <c r="AT231" s="9"/>
      <c r="BA231" s="9"/>
      <c r="BH231" s="9"/>
      <c r="BO231" s="9"/>
      <c r="BV231" s="9"/>
      <c r="CB231" s="9"/>
      <c r="CG231" s="9"/>
      <c r="CL231" s="9"/>
      <c r="CP231" s="9"/>
      <c r="DE231" s="2" t="s">
        <v>2578</v>
      </c>
      <c r="DF231" s="2" t="s">
        <v>2579</v>
      </c>
      <c r="DG231" s="2" t="s">
        <v>88</v>
      </c>
      <c r="DH231" s="8" t="s">
        <v>2580</v>
      </c>
      <c r="DI231" s="2" t="s">
        <v>118</v>
      </c>
      <c r="DJ231" s="2">
        <v>4910</v>
      </c>
      <c r="DQ231" s="2" t="s">
        <v>141</v>
      </c>
      <c r="DS231" s="2">
        <v>61390</v>
      </c>
      <c r="DT231" s="2">
        <v>6.52</v>
      </c>
      <c r="DX231" s="2">
        <v>534</v>
      </c>
      <c r="DY231" s="12"/>
    </row>
    <row r="232" spans="1:156" x14ac:dyDescent="0.25">
      <c r="A232" s="2" t="s">
        <v>2581</v>
      </c>
      <c r="B232" s="2">
        <v>0.300999215219801</v>
      </c>
      <c r="C232" s="2">
        <f t="shared" si="3"/>
        <v>1.2319974032781855</v>
      </c>
      <c r="D232" s="2">
        <v>6.2098618282686697</v>
      </c>
      <c r="E232" s="2">
        <v>12.201396346233601</v>
      </c>
      <c r="F232" s="2">
        <v>4.7753758706040999E-4</v>
      </c>
      <c r="G232" s="2">
        <v>2.5141943196912198E-2</v>
      </c>
      <c r="H232" s="2" t="s">
        <v>93</v>
      </c>
      <c r="I232" s="2" t="s">
        <v>94</v>
      </c>
      <c r="J232" s="2" t="str">
        <f>HYPERLINK("https://vectorbase.org/vectorbase/app/record/gene/AGAP000660","AGAP000660-RA")</f>
        <v>AGAP000660-RA</v>
      </c>
      <c r="K232" s="2" t="str">
        <f>HYPERLINK(".\links\pep\AGAP000660-PA-pep.txt","AGAP000660-PA")</f>
        <v>AGAP000660-PA</v>
      </c>
      <c r="L232" s="12" t="s">
        <v>95</v>
      </c>
      <c r="M232" s="2">
        <v>1125</v>
      </c>
      <c r="N232" s="2">
        <v>0</v>
      </c>
      <c r="O232" s="2">
        <v>4</v>
      </c>
      <c r="P232" s="2" t="s">
        <v>102</v>
      </c>
      <c r="Q232" s="9" t="s">
        <v>2582</v>
      </c>
      <c r="R232" s="2" t="s">
        <v>564</v>
      </c>
      <c r="S232" s="2" t="str">
        <f>HYPERLINK(".\links\KOG\AGAP000660-PA-KOG.txt","KOG")</f>
        <v>KOG</v>
      </c>
      <c r="T232" s="2">
        <v>3.0000000000000001E-72</v>
      </c>
      <c r="U232" s="2">
        <v>74.5</v>
      </c>
      <c r="V232" s="2" t="s">
        <v>2583</v>
      </c>
      <c r="W232" s="10" t="s">
        <v>2584</v>
      </c>
      <c r="X232" s="2" t="s">
        <v>355</v>
      </c>
      <c r="Y232" s="2" t="str">
        <f>HYPERLINK(".\links\UNIPROTKB\AGAP000660-PA-UNIPROTKB.txt","UNIPROTKB")</f>
        <v>UNIPROTKB</v>
      </c>
      <c r="Z232" s="15">
        <v>9.9999999999999994E-50</v>
      </c>
      <c r="AA232" s="2">
        <v>61.6</v>
      </c>
      <c r="AB232" s="13" t="str">
        <f>HYPERLINK(".\links\pep\AGAP000660-PA-sulf.txt","2")</f>
        <v>2</v>
      </c>
      <c r="AC232" s="13" t="str">
        <f>HYPERLINK(".\links\Sigp\AGAP000660-PA-SigP.txt","CYT")</f>
        <v>CYT</v>
      </c>
      <c r="AD232" s="2" t="s">
        <v>102</v>
      </c>
      <c r="AE232" s="2">
        <v>126.191</v>
      </c>
      <c r="AF232" s="2">
        <v>4.8499999999999996</v>
      </c>
      <c r="AG232" s="2" t="s">
        <v>102</v>
      </c>
      <c r="AH232" s="2" t="s">
        <v>102</v>
      </c>
      <c r="AI232" s="2" t="s">
        <v>211</v>
      </c>
      <c r="AJ232" s="13">
        <v>0</v>
      </c>
      <c r="AK232" s="2" t="s">
        <v>102</v>
      </c>
      <c r="AL232" s="2" t="s">
        <v>102</v>
      </c>
      <c r="AM232" s="2" t="s">
        <v>102</v>
      </c>
      <c r="AN232" s="13" t="str">
        <f>HYPERLINK(".\links\gpi\AGAP000660-PA-gpi.txt","N")</f>
        <v>N</v>
      </c>
      <c r="AO232" s="14" t="str">
        <f>HYPERLINK(".\links\netoglyc\AGAP000660-PA-netoglyc.txt","5")</f>
        <v>5</v>
      </c>
      <c r="AP232" s="13">
        <v>18</v>
      </c>
      <c r="AQ232" s="2">
        <v>3.8</v>
      </c>
      <c r="AR232" s="2">
        <v>3.4</v>
      </c>
      <c r="AS232" s="2" t="s">
        <v>104</v>
      </c>
      <c r="AT232" s="9" t="str">
        <f>HYPERLINK(".\links\NR-LIGHT\AGAP000660-PA-NR-LIGHT.txt","AGAP000660-PA")</f>
        <v>AGAP000660-PA</v>
      </c>
      <c r="AU232" s="2" t="str">
        <f>HYPERLINK("http://www.ncbi.nlm.nih.gov/sutils/blink.cgi?pid=XP_311186.5","0.0")</f>
        <v>0.0</v>
      </c>
      <c r="AV232" s="2" t="str">
        <f>HYPERLINK("http://www.ncbi.nlm.nih.gov/protein/XP_311186.5","XP_311186.5")</f>
        <v>XP_311186.5</v>
      </c>
      <c r="AW232" s="2">
        <v>97</v>
      </c>
      <c r="AX232" s="2">
        <v>98</v>
      </c>
      <c r="AY232" s="2">
        <v>98</v>
      </c>
      <c r="AZ232" s="2" t="s">
        <v>105</v>
      </c>
      <c r="BA232" s="9" t="str">
        <f>HYPERLINK(".\links\REFSEQ-INVERTEBRATE\AGAP000660-PA-REFSEQ-INVERTEBRATE.txt","AGAP000660-PA")</f>
        <v>AGAP000660-PA</v>
      </c>
      <c r="BB232" s="2" t="str">
        <f>HYPERLINK("http://www.ncbi.nlm.nih.gov/sutils/blink.cgi?pid=XP_311186.5","0.0")</f>
        <v>0.0</v>
      </c>
      <c r="BC232" s="2" t="str">
        <f>HYPERLINK("http://www.ncbi.nlm.nih.gov/protein/XP_311186.5","XP_311186.5")</f>
        <v>XP_311186.5</v>
      </c>
      <c r="BD232" s="2">
        <v>97</v>
      </c>
      <c r="BE232" s="2">
        <v>98</v>
      </c>
      <c r="BF232" s="2">
        <v>98</v>
      </c>
      <c r="BG232" s="2" t="s">
        <v>105</v>
      </c>
      <c r="BH232" s="9" t="str">
        <f>HYPERLINK(".\links\REFSEQ-PROTOZOA\AGAP000660-PA-REFSEQ-PROTOZOA.txt","hypothetical protein")</f>
        <v>hypothetical protein</v>
      </c>
      <c r="BI232" s="2" t="str">
        <f>HYPERLINK("http://www.ncbi.nlm.nih.gov/sutils/blink.cgi?pid=XP_001750425.1","1E-044")</f>
        <v>1E-044</v>
      </c>
      <c r="BJ232" s="2" t="str">
        <f>HYPERLINK("http://www.ncbi.nlm.nih.gov/protein/XP_001750425.1","XP_001750425.1")</f>
        <v>XP_001750425.1</v>
      </c>
      <c r="BK232" s="2">
        <v>21</v>
      </c>
      <c r="BL232" s="2">
        <v>40</v>
      </c>
      <c r="BM232" s="2">
        <v>93</v>
      </c>
      <c r="BN232" s="2" t="s">
        <v>248</v>
      </c>
      <c r="BO232" s="9" t="str">
        <f>HYPERLINK(".\links\SWISSP\AGAP000660-PA-SWISSP.txt","TATA element modulatory factor")</f>
        <v>TATA element modulatory factor</v>
      </c>
      <c r="BP232" s="2" t="str">
        <f>HYPERLINK("http://www.uniprot.org/uniprot/P82094","2E-075")</f>
        <v>2E-075</v>
      </c>
      <c r="BQ232" s="2" t="str">
        <f>HYPERLINK("http://www.uniprot.org/uniprot/P82094#expression","P82094")</f>
        <v>P82094</v>
      </c>
      <c r="BR232" s="2">
        <v>24</v>
      </c>
      <c r="BS232" s="2">
        <v>46</v>
      </c>
      <c r="BT232" s="2">
        <v>107</v>
      </c>
      <c r="BU232" s="2" t="s">
        <v>127</v>
      </c>
      <c r="BV232" s="9" t="str">
        <f>HYPERLINK(".\links\FLYBASE\AGAP000660-PA-FLYBASE.txt","FBpp0070954")</f>
        <v>FBpp0070954</v>
      </c>
      <c r="BW232" s="2" t="str">
        <f>HYPERLINK("http://flybase.org/reports/FBgn0029912#alliance_summary_container","1E-105")</f>
        <v>1E-105</v>
      </c>
      <c r="BX232" s="2">
        <v>933</v>
      </c>
      <c r="BY232" s="2">
        <v>37</v>
      </c>
      <c r="BZ232" s="2">
        <v>57</v>
      </c>
      <c r="CA232" s="2">
        <v>78</v>
      </c>
      <c r="CB232" s="9" t="str">
        <f>HYPERLINK(".\links\CDD\AGAP000660-PA-CDD.txt","TMF_TATA_bd, TATA element modulatory factor 1 TATA binding")</f>
        <v>TMF_TATA_bd, TATA element modulatory factor 1 TATA binding</v>
      </c>
      <c r="CC232" s="15">
        <v>1.9999999999999999E-20</v>
      </c>
      <c r="CD232" s="2">
        <v>94.7</v>
      </c>
      <c r="CE232" s="2" t="s">
        <v>2585</v>
      </c>
      <c r="CF232" s="2" t="s">
        <v>2586</v>
      </c>
      <c r="CG232" s="9" t="str">
        <f>HYPERLINK(".\links\KOG\AGAP000660-PA-KOG.txt","TATA element modulatory factor")</f>
        <v>TATA element modulatory factor</v>
      </c>
      <c r="CH232" s="15">
        <v>3.0000000000000001E-72</v>
      </c>
      <c r="CI232" s="2">
        <v>74.5</v>
      </c>
      <c r="CJ232" s="2" t="s">
        <v>2587</v>
      </c>
      <c r="CK232" s="2" t="s">
        <v>309</v>
      </c>
      <c r="CL232" s="9" t="str">
        <f>HYPERLINK(".\links\PFAM\AGAP000660-PA-PFAM.txt","TMF_TATA_bd, TATA element modulatory factor 1 TATA binding")</f>
        <v>TMF_TATA_bd, TATA element modulatory factor 1 TATA binding</v>
      </c>
      <c r="CM232" s="15">
        <v>3.9999999999999996E-21</v>
      </c>
      <c r="CN232" s="2">
        <v>94.7</v>
      </c>
      <c r="CO232" s="2" t="s">
        <v>2585</v>
      </c>
      <c r="CP232" s="9" t="str">
        <f>HYPERLINK(".\links\SMART\AGAP000660-PA-SMART.txt","FCD, This entry represents the C-terminal ligand binding domain of many members of the GntR family")</f>
        <v>FCD, This entry represents the C-terminal ligand binding domain of many members of the GntR family</v>
      </c>
      <c r="CQ232" s="15">
        <v>8.9999999999999993E-3</v>
      </c>
      <c r="CR232" s="2">
        <v>34.1</v>
      </c>
      <c r="CS232" s="2" t="s">
        <v>1102</v>
      </c>
      <c r="CT232" s="2" t="s">
        <v>2583</v>
      </c>
      <c r="CU232" s="2" t="s">
        <v>2583</v>
      </c>
      <c r="CV232" s="2" t="s">
        <v>2583</v>
      </c>
      <c r="CW232" s="2" t="str">
        <f>HYPERLINK(".\links\pep\AGAP000660-PA-pep.txt","AGAP000660-PA")</f>
        <v>AGAP000660-PA</v>
      </c>
      <c r="CX232" s="2" t="s">
        <v>95</v>
      </c>
      <c r="CY232" s="2">
        <v>1125</v>
      </c>
      <c r="CZ232" s="2" t="s">
        <v>113</v>
      </c>
      <c r="DA232" s="2" t="s">
        <v>2588</v>
      </c>
      <c r="DB232" s="2">
        <v>0</v>
      </c>
      <c r="DC232" s="2">
        <v>4</v>
      </c>
      <c r="DD232" s="2" t="str">
        <f>HYPERLINK("https://www.kegg.jp/kegg-bin/search_pathway_text?map=aga&amp;keyword=AGAP000660&amp;mode=1&amp;viewImage=true","AGAP000660")</f>
        <v>AGAP000660</v>
      </c>
      <c r="DE232" s="2" t="s">
        <v>2581</v>
      </c>
      <c r="DF232" s="2" t="s">
        <v>93</v>
      </c>
      <c r="DG232" s="2" t="s">
        <v>94</v>
      </c>
      <c r="DH232" s="2" t="str">
        <f>HYPERLINK("https://vectorbase.org/vectorbase/app/record/gene/AGAP000660","AGAP000660-RA")</f>
        <v>AGAP000660-RA</v>
      </c>
      <c r="DI232" s="2" t="s">
        <v>90</v>
      </c>
      <c r="DJ232" s="2">
        <v>3826</v>
      </c>
      <c r="DK232" s="2" t="str">
        <f>HYPERLINK(".\links\netoglyc\AGAP000660-PA-netoglyc.txt","5")</f>
        <v>5</v>
      </c>
      <c r="DL232" s="2">
        <v>18</v>
      </c>
      <c r="DM232" s="2">
        <v>3.8</v>
      </c>
      <c r="DN232" s="2">
        <v>3.4</v>
      </c>
      <c r="DO232" s="2" t="s">
        <v>104</v>
      </c>
      <c r="DP232" s="2" t="s">
        <v>2589</v>
      </c>
      <c r="DQ232" s="2" t="str">
        <f>HYPERLINK(".\links\Sigp\AGAP000660-PA-SigP.txt","CYT")</f>
        <v>CYT</v>
      </c>
      <c r="DR232" s="2" t="s">
        <v>102</v>
      </c>
      <c r="DS232" s="2">
        <v>126.18899999999999</v>
      </c>
      <c r="DT232" s="2">
        <v>4.8499999999999996</v>
      </c>
      <c r="DU232" s="2" t="s">
        <v>102</v>
      </c>
      <c r="DV232" s="2" t="s">
        <v>102</v>
      </c>
      <c r="DW232" s="2" t="s">
        <v>211</v>
      </c>
      <c r="DX232" s="2">
        <v>1125</v>
      </c>
      <c r="DY232" s="12">
        <v>0</v>
      </c>
      <c r="DZ232" s="2" t="s">
        <v>102</v>
      </c>
      <c r="EA232" s="2" t="s">
        <v>102</v>
      </c>
      <c r="EB232" s="2" t="s">
        <v>102</v>
      </c>
      <c r="EC232" s="2" t="str">
        <f>HYPERLINK(".\links\gpi\AGAP000660-PA-gpi.txt","N")</f>
        <v>N</v>
      </c>
      <c r="ED232" s="2">
        <v>0.28999999999999998</v>
      </c>
      <c r="EF232" s="2">
        <v>11</v>
      </c>
      <c r="EG232" s="2" t="str">
        <f>HYPERLINK(".\links\pep\AGAP000660-PA-sulf.txt","2")</f>
        <v>2</v>
      </c>
      <c r="EH232" s="2" t="s">
        <v>102</v>
      </c>
      <c r="EI232" s="2">
        <v>18.044444444444402</v>
      </c>
      <c r="EJ232" s="2">
        <v>3.37777777777778</v>
      </c>
      <c r="EK232" s="2">
        <v>3.8222222222222202</v>
      </c>
      <c r="EL232" s="2">
        <v>7.2</v>
      </c>
      <c r="EM232" s="2">
        <v>1</v>
      </c>
      <c r="EN232" s="2">
        <v>3</v>
      </c>
      <c r="EO232" s="2">
        <v>3</v>
      </c>
      <c r="EP232" s="2" t="s">
        <v>102</v>
      </c>
      <c r="EQ232" s="2" t="s">
        <v>102</v>
      </c>
      <c r="ER232" s="2" t="s">
        <v>102</v>
      </c>
      <c r="ES232" s="2" t="s">
        <v>102</v>
      </c>
      <c r="ET232" s="2" t="str">
        <f>HYPERLINK(".\links\REFSEQ-INVERTEBRATE\AGAP000660-PA-REFSEQ-INVERTEBRATE.txt","AGAP000660-PA")</f>
        <v>AGAP000660-PA</v>
      </c>
      <c r="EU232" s="2" t="str">
        <f>HYPERLINK("http://www.ncbi.nlm.nih.gov/sutils/blink.cgi?pid=XP_311186.5","0.0")</f>
        <v>0.0</v>
      </c>
      <c r="EV232" s="2" t="str">
        <f>HYPERLINK("http://www.ncbi.nlm.nih.gov/protein/XP_311186.5","XP_311186.5")</f>
        <v>XP_311186.5</v>
      </c>
      <c r="EW232" s="2">
        <v>99</v>
      </c>
      <c r="EX232" s="2">
        <v>99</v>
      </c>
      <c r="EY232" s="2">
        <v>96</v>
      </c>
      <c r="EZ232" s="2" t="s">
        <v>105</v>
      </c>
    </row>
    <row r="233" spans="1:156" x14ac:dyDescent="0.25">
      <c r="A233" s="2" t="s">
        <v>2590</v>
      </c>
      <c r="B233" s="2">
        <v>0.29969646637557801</v>
      </c>
      <c r="C233" s="2">
        <f t="shared" si="3"/>
        <v>1.2308854158390157</v>
      </c>
      <c r="D233" s="2">
        <v>6.8164637241476296</v>
      </c>
      <c r="E233" s="2">
        <v>9.2251620768394194</v>
      </c>
      <c r="F233" s="2">
        <v>2.3871156166316602E-3</v>
      </c>
      <c r="G233" s="2">
        <v>4.63542925914135E-2</v>
      </c>
      <c r="H233" s="2" t="s">
        <v>2591</v>
      </c>
      <c r="I233" s="2" t="s">
        <v>94</v>
      </c>
      <c r="J233" s="2" t="str">
        <f>HYPERLINK("https://vectorbase.org/vectorbase/app/record/gene/AGAP010453","AGAP010453-RA")</f>
        <v>AGAP010453-RA</v>
      </c>
      <c r="K233" s="2" t="str">
        <f>HYPERLINK(".\links\pep\AGAP010453-PA-pep.txt","AGAP010453-PA")</f>
        <v>AGAP010453-PA</v>
      </c>
      <c r="L233" s="12" t="s">
        <v>95</v>
      </c>
      <c r="M233" s="2">
        <v>403</v>
      </c>
      <c r="N233" s="2">
        <v>0</v>
      </c>
      <c r="O233" s="2">
        <v>3</v>
      </c>
      <c r="P233" s="2" t="s">
        <v>2592</v>
      </c>
      <c r="Q233" s="9" t="s">
        <v>2593</v>
      </c>
      <c r="R233" s="2" t="s">
        <v>672</v>
      </c>
      <c r="S233" s="2" t="str">
        <f>HYPERLINK(".\links\REFSEQ-INVERTEBRATE\AGAP010453-PA-REFSEQ-INVERTEBRATE.txt","REFSEQ-INVERTEBRATE")</f>
        <v>REFSEQ-INVERTEBRATE</v>
      </c>
      <c r="T233" s="2">
        <v>0</v>
      </c>
      <c r="U233" s="2">
        <v>99.7</v>
      </c>
      <c r="V233" s="2" t="s">
        <v>2593</v>
      </c>
      <c r="W233" s="10" t="s">
        <v>2594</v>
      </c>
      <c r="X233" s="2" t="s">
        <v>672</v>
      </c>
      <c r="Y233" s="2" t="str">
        <f>HYPERLINK(".\links\ARTHORPODA\AGAP010453-PA-ARTHORPODA.txt","ARTHORPODA")</f>
        <v>ARTHORPODA</v>
      </c>
      <c r="Z233" s="15">
        <v>0</v>
      </c>
      <c r="AA233" s="2">
        <v>100</v>
      </c>
      <c r="AB233" s="13" t="str">
        <f>HYPERLINK(".\links\pep\AGAP010453-PA-sulf.txt","1")</f>
        <v>1</v>
      </c>
      <c r="AC233" s="13" t="str">
        <f>HYPERLINK(".\links\Sigp\AGAP010453-PA-SigP.txt","CYT")</f>
        <v>CYT</v>
      </c>
      <c r="AD233" s="2" t="s">
        <v>102</v>
      </c>
      <c r="AE233" s="2">
        <v>45.750999999999998</v>
      </c>
      <c r="AF233" s="2">
        <v>8.4</v>
      </c>
      <c r="AG233" s="2" t="s">
        <v>102</v>
      </c>
      <c r="AH233" s="2" t="s">
        <v>102</v>
      </c>
      <c r="AI233" s="2" t="s">
        <v>482</v>
      </c>
      <c r="AJ233" s="13">
        <v>0</v>
      </c>
      <c r="AK233" s="2" t="s">
        <v>102</v>
      </c>
      <c r="AL233" s="2" t="s">
        <v>102</v>
      </c>
      <c r="AM233" s="2" t="s">
        <v>102</v>
      </c>
      <c r="AN233" s="13" t="str">
        <f>HYPERLINK(".\links\gpi\AGAP010453-PA-gpi.txt","N")</f>
        <v>N</v>
      </c>
      <c r="AO233" s="14" t="str">
        <f>HYPERLINK(".\links\netoglyc\AGAP010453-PA-netoglyc.txt","1")</f>
        <v>1</v>
      </c>
      <c r="AP233" s="13">
        <v>14.1</v>
      </c>
      <c r="AQ233" s="2">
        <v>6</v>
      </c>
      <c r="AR233" s="2">
        <v>3.5</v>
      </c>
      <c r="AS233" s="2" t="s">
        <v>104</v>
      </c>
      <c r="AT233" s="9" t="str">
        <f>HYPERLINK(".\links\NR-LIGHT\AGAP010453-PA-NR-LIGHT.txt","AGAP010453-PA")</f>
        <v>AGAP010453-PA</v>
      </c>
      <c r="AU233" s="2" t="str">
        <f>HYPERLINK("http://www.ncbi.nlm.nih.gov/sutils/blink.cgi?pid=XP_311496.3","0.0")</f>
        <v>0.0</v>
      </c>
      <c r="AV233" s="2" t="str">
        <f>HYPERLINK("http://www.ncbi.nlm.nih.gov/protein/XP_311496.3","XP_311496.3")</f>
        <v>XP_311496.3</v>
      </c>
      <c r="AW233" s="2">
        <v>100</v>
      </c>
      <c r="AX233" s="2">
        <v>100</v>
      </c>
      <c r="AY233" s="2">
        <v>100</v>
      </c>
      <c r="AZ233" s="2" t="s">
        <v>105</v>
      </c>
      <c r="BA233" s="9" t="str">
        <f>HYPERLINK(".\links\REFSEQ-INVERTEBRATE\AGAP010453-PA-REFSEQ-INVERTEBRATE.txt","AGAP010453-PA")</f>
        <v>AGAP010453-PA</v>
      </c>
      <c r="BB233" s="2" t="str">
        <f>HYPERLINK("http://www.ncbi.nlm.nih.gov/sutils/blink.cgi?pid=XP_311496.3","0.0")</f>
        <v>0.0</v>
      </c>
      <c r="BC233" s="2" t="str">
        <f>HYPERLINK("http://www.ncbi.nlm.nih.gov/protein/XP_311496.3","XP_311496.3")</f>
        <v>XP_311496.3</v>
      </c>
      <c r="BD233" s="2">
        <v>100</v>
      </c>
      <c r="BE233" s="2">
        <v>100</v>
      </c>
      <c r="BF233" s="2">
        <v>100</v>
      </c>
      <c r="BG233" s="2" t="s">
        <v>105</v>
      </c>
      <c r="BH233" s="9" t="str">
        <f>HYPERLINK(".\links\REFSEQ-PROTOZOA\AGAP010453-PA-REFSEQ-PROTOZOA.txt","hypothetical protein SPRG_13146")</f>
        <v>hypothetical protein SPRG_13146</v>
      </c>
      <c r="BI233" s="2" t="str">
        <f>HYPERLINK("http://www.ncbi.nlm.nih.gov/sutils/blink.cgi?pid=XP_012207533.1","1E-019")</f>
        <v>1E-019</v>
      </c>
      <c r="BJ233" s="2" t="str">
        <f>HYPERLINK("http://www.ncbi.nlm.nih.gov/protein/XP_012207533.1","XP_012207533.1")</f>
        <v>XP_012207533.1</v>
      </c>
      <c r="BK233" s="2">
        <v>28</v>
      </c>
      <c r="BL233" s="2">
        <v>45</v>
      </c>
      <c r="BM233" s="2">
        <v>87</v>
      </c>
      <c r="BN233" s="2" t="s">
        <v>1622</v>
      </c>
      <c r="BO233" s="9" t="str">
        <f>HYPERLINK(".\links\SWISSP\AGAP010453-PA-SWISSP.txt","WD repeat-containing protein 74")</f>
        <v>WD repeat-containing protein 74</v>
      </c>
      <c r="BP233" s="2" t="str">
        <f>HYPERLINK("http://www.uniprot.org/uniprot/Q8VCG3","1E-018")</f>
        <v>1E-018</v>
      </c>
      <c r="BQ233" s="2" t="str">
        <f>HYPERLINK("http://www.uniprot.org/uniprot/Q8VCG3#expression","Q8VCG3")</f>
        <v>Q8VCG3</v>
      </c>
      <c r="BR233" s="2">
        <v>24</v>
      </c>
      <c r="BS233" s="2">
        <v>46</v>
      </c>
      <c r="BT233" s="2">
        <v>101</v>
      </c>
      <c r="BU233" s="2" t="s">
        <v>662</v>
      </c>
      <c r="BV233" s="9" t="str">
        <f>HYPERLINK(".\links\FLYBASE\AGAP010453-PA-FLYBASE.txt","FBpp0291670")</f>
        <v>FBpp0291670</v>
      </c>
      <c r="BW233" s="2" t="str">
        <f>HYPERLINK("http://flybase.org/reports/FBgn0284246#alliance_summary_container","2E-85")</f>
        <v>2E-85</v>
      </c>
      <c r="BX233" s="2">
        <v>419</v>
      </c>
      <c r="BY233" s="2">
        <v>38</v>
      </c>
      <c r="BZ233" s="2">
        <v>58</v>
      </c>
      <c r="CA233" s="2">
        <v>95</v>
      </c>
      <c r="CB233" s="9" t="str">
        <f>HYPERLINK(".\links\CDD\AGAP010453-PA-CDD.txt","WD40,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233" s="15">
        <v>5.0000000000000003E-10</v>
      </c>
      <c r="CD233" s="2">
        <v>71.3</v>
      </c>
      <c r="CE233" s="2" t="s">
        <v>1716</v>
      </c>
      <c r="CF233" s="2" t="s">
        <v>2595</v>
      </c>
      <c r="CG233" s="9" t="str">
        <f>HYPERLINK(".\links\KOG\AGAP010453-PA-KOG.txt","Uncharacterized conserved protein")</f>
        <v>Uncharacterized conserved protein</v>
      </c>
      <c r="CH233" s="15">
        <v>9.9999999999999999E-56</v>
      </c>
      <c r="CI233" s="2">
        <v>101.9</v>
      </c>
      <c r="CJ233" s="2" t="s">
        <v>2596</v>
      </c>
      <c r="CK233" s="2" t="s">
        <v>284</v>
      </c>
      <c r="CL233" s="9" t="str">
        <f>HYPERLINK(".\links\PFAM\AGAP010453-PA-PFAM.txt","WD40, WD domain, G-beta repeat")</f>
        <v>WD40, WD domain, G-beta repeat</v>
      </c>
      <c r="CM233" s="15">
        <v>5.0000000000000001E-3</v>
      </c>
      <c r="CN233" s="2">
        <v>87.2</v>
      </c>
      <c r="CO233" s="2" t="s">
        <v>1871</v>
      </c>
      <c r="CP233" s="9" t="str">
        <f>HYPERLINK(".\links\SMART\AGAP010453-PA-SMART.txt","WD40, WD40 repeats")</f>
        <v>WD40, WD40 repeats</v>
      </c>
      <c r="CQ233" s="15">
        <v>3.0000000000000001E-5</v>
      </c>
      <c r="CR233" s="2">
        <v>97.5</v>
      </c>
      <c r="CS233" s="2" t="s">
        <v>1720</v>
      </c>
      <c r="CT233" s="2" t="s">
        <v>2593</v>
      </c>
      <c r="CU233" s="2" t="s">
        <v>2593</v>
      </c>
      <c r="CV233" s="2" t="s">
        <v>2593</v>
      </c>
      <c r="CW233" s="2" t="str">
        <f>HYPERLINK(".\links\pep\AGAP010453-PA-pep.txt","AGAP010453-PA")</f>
        <v>AGAP010453-PA</v>
      </c>
      <c r="CX233" s="2" t="s">
        <v>95</v>
      </c>
      <c r="CY233" s="2">
        <v>403</v>
      </c>
      <c r="CZ233" s="2" t="s">
        <v>113</v>
      </c>
      <c r="DA233" s="2" t="s">
        <v>2597</v>
      </c>
      <c r="DB233" s="2">
        <v>0</v>
      </c>
      <c r="DC233" s="2">
        <v>3</v>
      </c>
      <c r="DD233" s="2" t="str">
        <f>HYPERLINK("https://www.kegg.jp/kegg-bin/search_pathway_text?map=aga&amp;keyword=AGAP010453&amp;mode=1&amp;viewImage=true","AGAP010453")</f>
        <v>AGAP010453</v>
      </c>
      <c r="DE233" s="2" t="s">
        <v>2590</v>
      </c>
      <c r="DF233" s="2" t="s">
        <v>2591</v>
      </c>
      <c r="DG233" s="2" t="s">
        <v>94</v>
      </c>
      <c r="DH233" s="2" t="str">
        <f>HYPERLINK("https://vectorbase.org/vectorbase/app/record/gene/AGAP010453","AGAP010453-RA")</f>
        <v>AGAP010453-RA</v>
      </c>
      <c r="DI233" s="2" t="s">
        <v>118</v>
      </c>
      <c r="DJ233" s="2">
        <v>1354</v>
      </c>
      <c r="DK233" s="2" t="str">
        <f>HYPERLINK(".\links\netoglyc\AGAP010453-PA-netoglyc.txt","1")</f>
        <v>1</v>
      </c>
      <c r="DL233" s="2">
        <v>14.1</v>
      </c>
      <c r="DM233" s="2">
        <v>6</v>
      </c>
      <c r="DN233" s="2">
        <v>3.5</v>
      </c>
      <c r="DO233" s="2" t="s">
        <v>104</v>
      </c>
      <c r="DP233" s="2" t="s">
        <v>102</v>
      </c>
      <c r="DQ233" s="2" t="str">
        <f>HYPERLINK(".\links\Sigp\AGAP010453-PA-SigP.txt","CYT")</f>
        <v>CYT</v>
      </c>
      <c r="DR233" s="2" t="s">
        <v>102</v>
      </c>
      <c r="DS233" s="2">
        <v>45.750999999999998</v>
      </c>
      <c r="DT233" s="2">
        <v>8.4</v>
      </c>
      <c r="DU233" s="2" t="s">
        <v>102</v>
      </c>
      <c r="DV233" s="2" t="s">
        <v>102</v>
      </c>
      <c r="DW233" s="2" t="s">
        <v>482</v>
      </c>
      <c r="DX233" s="2">
        <v>403</v>
      </c>
      <c r="DY233" s="12">
        <v>0</v>
      </c>
      <c r="DZ233" s="2" t="s">
        <v>102</v>
      </c>
      <c r="EA233" s="2" t="s">
        <v>102</v>
      </c>
      <c r="EB233" s="2" t="s">
        <v>102</v>
      </c>
      <c r="EC233" s="2" t="str">
        <f>HYPERLINK(".\links\gpi\AGAP010453-PA-gpi.txt","Y-NoSP")</f>
        <v>Y-NoSP</v>
      </c>
      <c r="ED233" s="2">
        <v>0.24</v>
      </c>
      <c r="EF233" s="2">
        <v>10</v>
      </c>
      <c r="EG233" s="2" t="str">
        <f>HYPERLINK(".\links\pep\AGAP010453-PA-sulf.txt","1")</f>
        <v>1</v>
      </c>
      <c r="EH233" s="2" t="s">
        <v>102</v>
      </c>
      <c r="EI233" s="2">
        <v>14.143920595533499</v>
      </c>
      <c r="EJ233" s="2">
        <v>3.4739454094292799</v>
      </c>
      <c r="EK233" s="2">
        <v>5.9553349875930497</v>
      </c>
      <c r="EL233" s="2">
        <v>9.42928039702233</v>
      </c>
      <c r="EM233" s="2" t="s">
        <v>102</v>
      </c>
      <c r="EN233" s="2">
        <v>1</v>
      </c>
      <c r="EO233" s="2">
        <v>1</v>
      </c>
      <c r="EP233" s="2" t="s">
        <v>102</v>
      </c>
      <c r="EQ233" s="2" t="s">
        <v>102</v>
      </c>
      <c r="ER233" s="2" t="s">
        <v>102</v>
      </c>
      <c r="ES233" s="2" t="s">
        <v>102</v>
      </c>
      <c r="ET233" s="2" t="str">
        <f>HYPERLINK(".\links\REFSEQ-INVERTEBRATE\AGAP010453-PA-REFSEQ-INVERTEBRATE.txt","AGAP010453-PA")</f>
        <v>AGAP010453-PA</v>
      </c>
      <c r="EU233" s="2" t="str">
        <f>HYPERLINK("http://www.ncbi.nlm.nih.gov/sutils/blink.cgi?pid=XP_311496.3","0.0")</f>
        <v>0.0</v>
      </c>
      <c r="EV233" s="2" t="str">
        <f>HYPERLINK("http://www.ncbi.nlm.nih.gov/protein/XP_311496.3","XP_311496.3")</f>
        <v>XP_311496.3</v>
      </c>
      <c r="EW233" s="2">
        <v>100</v>
      </c>
      <c r="EX233" s="2">
        <v>100</v>
      </c>
      <c r="EY233" s="2">
        <v>100</v>
      </c>
      <c r="EZ233" s="2" t="s">
        <v>105</v>
      </c>
    </row>
    <row r="234" spans="1:156" x14ac:dyDescent="0.25">
      <c r="A234" s="2" t="s">
        <v>2598</v>
      </c>
      <c r="B234" s="2">
        <v>0.29962693076915198</v>
      </c>
      <c r="C234" s="2">
        <f t="shared" si="3"/>
        <v>1.2308260905493467</v>
      </c>
      <c r="D234" s="2">
        <v>5.59278737008857</v>
      </c>
      <c r="E234" s="2">
        <v>10.114568051960299</v>
      </c>
      <c r="F234" s="2">
        <v>1.47101905606584E-3</v>
      </c>
      <c r="G234" s="2">
        <v>3.7565872613622403E-2</v>
      </c>
      <c r="H234" s="2" t="s">
        <v>93</v>
      </c>
      <c r="I234" s="2" t="s">
        <v>94</v>
      </c>
      <c r="J234" s="2" t="str">
        <f>HYPERLINK("https://vectorbase.org/vectorbase/app/record/gene/AGAP005044","AGAP005044-RA")</f>
        <v>AGAP005044-RA</v>
      </c>
      <c r="K234" s="2" t="str">
        <f>HYPERLINK(".\links\pep\AGAP005044-PA-pep.txt","AGAP005044-PA")</f>
        <v>AGAP005044-PA</v>
      </c>
      <c r="L234" s="12" t="s">
        <v>95</v>
      </c>
      <c r="M234" s="2">
        <v>371</v>
      </c>
      <c r="N234" s="2">
        <v>0</v>
      </c>
      <c r="O234" s="2">
        <v>0</v>
      </c>
      <c r="P234" s="2" t="s">
        <v>102</v>
      </c>
      <c r="Q234" s="9" t="s">
        <v>2599</v>
      </c>
      <c r="R234" s="2" t="s">
        <v>771</v>
      </c>
      <c r="S234" s="2" t="str">
        <f>HYPERLINK(".\links\KOG\AGAP005044-PA-KOG.txt","KOG")</f>
        <v>KOG</v>
      </c>
      <c r="T234" s="2">
        <v>5.0000000000000001E-60</v>
      </c>
      <c r="U234" s="2">
        <v>96.3</v>
      </c>
      <c r="V234" s="2" t="s">
        <v>2600</v>
      </c>
      <c r="W234" s="10" t="s">
        <v>2601</v>
      </c>
      <c r="X234" s="2" t="s">
        <v>101</v>
      </c>
      <c r="Y234" s="2" t="str">
        <f>HYPERLINK(".\links\REFSEQVERTEBRATE95\AGAP005044-PA-REFSEQVERTEBRATE95.txt","REFSEQVERTEBRATE95")</f>
        <v>REFSEQVERTEBRATE95</v>
      </c>
      <c r="Z234" s="15">
        <v>4.9999999999999999E-86</v>
      </c>
      <c r="AA234" s="2">
        <v>92.2</v>
      </c>
      <c r="AB234" s="13" t="s">
        <v>102</v>
      </c>
      <c r="AC234" s="13" t="str">
        <f>HYPERLINK(".\links\Sigp\AGAP005044-PA-SigP.txt","CYT")</f>
        <v>CYT</v>
      </c>
      <c r="AD234" s="2" t="s">
        <v>102</v>
      </c>
      <c r="AE234" s="2">
        <v>42.427999999999997</v>
      </c>
      <c r="AF234" s="2">
        <v>7.32</v>
      </c>
      <c r="AG234" s="2" t="s">
        <v>102</v>
      </c>
      <c r="AH234" s="2" t="s">
        <v>102</v>
      </c>
      <c r="AI234" s="2" t="s">
        <v>2602</v>
      </c>
      <c r="AJ234" s="13">
        <v>0</v>
      </c>
      <c r="AK234" s="2" t="s">
        <v>102</v>
      </c>
      <c r="AL234" s="2" t="s">
        <v>102</v>
      </c>
      <c r="AM234" s="2" t="s">
        <v>102</v>
      </c>
      <c r="AN234" s="13" t="str">
        <f>HYPERLINK(".\links\gpi\AGAP005044-PA-gpi.txt","N")</f>
        <v>N</v>
      </c>
      <c r="AO234" s="14" t="str">
        <f>HYPERLINK(".\links\netoglyc\AGAP005044-PA-netoglyc.txt","2")</f>
        <v>2</v>
      </c>
      <c r="AP234" s="13">
        <v>11.9</v>
      </c>
      <c r="AQ234" s="2">
        <v>5.4</v>
      </c>
      <c r="AR234" s="2">
        <v>3</v>
      </c>
      <c r="AS234" s="2" t="s">
        <v>104</v>
      </c>
      <c r="AT234" s="9" t="str">
        <f>HYPERLINK(".\links\NR-LIGHT\AGAP005044-PA-NR-LIGHT.txt","AGAP005044-PA")</f>
        <v>AGAP005044-PA</v>
      </c>
      <c r="AU234" s="2" t="str">
        <f>HYPERLINK("http://www.ncbi.nlm.nih.gov/sutils/blink.cgi?pid=XP_313915.3","0.0")</f>
        <v>0.0</v>
      </c>
      <c r="AV234" s="2" t="str">
        <f>HYPERLINK("http://www.ncbi.nlm.nih.gov/protein/XP_313915.3","XP_313915.3")</f>
        <v>XP_313915.3</v>
      </c>
      <c r="AW234" s="2">
        <v>100</v>
      </c>
      <c r="AX234" s="2">
        <v>100</v>
      </c>
      <c r="AY234" s="2">
        <v>100</v>
      </c>
      <c r="AZ234" s="2" t="s">
        <v>105</v>
      </c>
      <c r="BA234" s="9" t="str">
        <f>HYPERLINK(".\links\REFSEQ-INVERTEBRATE\AGAP005044-PA-REFSEQ-INVERTEBRATE.txt","AGAP005044-PA")</f>
        <v>AGAP005044-PA</v>
      </c>
      <c r="BB234" s="2" t="str">
        <f>HYPERLINK("http://www.ncbi.nlm.nih.gov/sutils/blink.cgi?pid=XP_313915.3","0.0")</f>
        <v>0.0</v>
      </c>
      <c r="BC234" s="2" t="str">
        <f>HYPERLINK("http://www.ncbi.nlm.nih.gov/protein/XP_313915.3","XP_313915.3")</f>
        <v>XP_313915.3</v>
      </c>
      <c r="BD234" s="2">
        <v>100</v>
      </c>
      <c r="BE234" s="2">
        <v>100</v>
      </c>
      <c r="BF234" s="2">
        <v>100</v>
      </c>
      <c r="BG234" s="2" t="s">
        <v>105</v>
      </c>
      <c r="BH234" s="9" t="str">
        <f>HYPERLINK(".\links\REFSEQ-PROTOZOA\AGAP005044-PA-REFSEQ-PROTOZOA.txt","hypothetical protein PTSG_04435")</f>
        <v>hypothetical protein PTSG_04435</v>
      </c>
      <c r="BI234" s="2" t="str">
        <f>HYPERLINK("http://www.ncbi.nlm.nih.gov/sutils/blink.cgi?pid=XP_004994530.1","1E-048")</f>
        <v>1E-048</v>
      </c>
      <c r="BJ234" s="2" t="str">
        <f>HYPERLINK("http://www.ncbi.nlm.nih.gov/protein/XP_004994530.1","XP_004994530.1")</f>
        <v>XP_004994530.1</v>
      </c>
      <c r="BK234" s="2">
        <v>33</v>
      </c>
      <c r="BL234" s="2">
        <v>56</v>
      </c>
      <c r="BM234" s="2">
        <v>92</v>
      </c>
      <c r="BN234" s="2" t="s">
        <v>435</v>
      </c>
      <c r="BO234" s="9" t="str">
        <f>HYPERLINK(".\links\SWISSP\AGAP005044-PA-SWISSP.txt","Endoplasmic reticulum-Golgi intermediate compartment protein 2")</f>
        <v>Endoplasmic reticulum-Golgi intermediate compartment protein 2</v>
      </c>
      <c r="BP234" s="2" t="str">
        <f>HYPERLINK("http://www.uniprot.org/uniprot/Q7T2D4","2E-067")</f>
        <v>2E-067</v>
      </c>
      <c r="BQ234" s="2" t="str">
        <f>HYPERLINK("http://www.uniprot.org/uniprot/Q7T2D4#expression","Q7T2D4")</f>
        <v>Q7T2D4</v>
      </c>
      <c r="BR234" s="2">
        <v>41</v>
      </c>
      <c r="BS234" s="2">
        <v>60</v>
      </c>
      <c r="BT234" s="2">
        <v>92</v>
      </c>
      <c r="BU234" s="2" t="s">
        <v>213</v>
      </c>
      <c r="BV234" s="9" t="str">
        <f>HYPERLINK(".\links\FLYBASE\AGAP005044-PA-FLYBASE.txt","FBpp0099909")</f>
        <v>FBpp0099909</v>
      </c>
      <c r="BW234" s="2" t="str">
        <f>HYPERLINK("http://flybase.org/reports/FBgn0024983#alliance_summary_container","9E-86")</f>
        <v>9E-86</v>
      </c>
      <c r="BX234" s="2">
        <v>441</v>
      </c>
      <c r="BY234" s="2">
        <v>39</v>
      </c>
      <c r="BZ234" s="2">
        <v>58</v>
      </c>
      <c r="CA234" s="2">
        <v>78</v>
      </c>
      <c r="CB234" s="9" t="str">
        <f>HYPERLINK(".\links\CDD\AGAP005044-PA-CDD.txt","COPIIcoated_ERV, Endoplasmic reticulum vesicle transporter")</f>
        <v>COPIIcoated_ERV, Endoplasmic reticulum vesicle transporter</v>
      </c>
      <c r="CC234" s="15">
        <v>2E-41</v>
      </c>
      <c r="CD234" s="2">
        <v>79.400000000000006</v>
      </c>
      <c r="CE234" s="2" t="s">
        <v>2603</v>
      </c>
      <c r="CF234" s="2" t="s">
        <v>2604</v>
      </c>
      <c r="CG234" s="9" t="str">
        <f>HYPERLINK(".\links\KOG\AGAP005044-PA-KOG.txt","COPII vesicle protein")</f>
        <v>COPII vesicle protein</v>
      </c>
      <c r="CH234" s="15">
        <v>5.0000000000000001E-60</v>
      </c>
      <c r="CI234" s="2">
        <v>96.3</v>
      </c>
      <c r="CJ234" s="2" t="s">
        <v>2605</v>
      </c>
      <c r="CK234" s="2" t="s">
        <v>154</v>
      </c>
      <c r="CL234" s="9" t="str">
        <f>HYPERLINK(".\links\PFAM\AGAP005044-PA-PFAM.txt","COPIIcoated_ERV, Endoplasmic reticulum vesicle transporter")</f>
        <v>COPIIcoated_ERV, Endoplasmic reticulum vesicle transporter</v>
      </c>
      <c r="CM234" s="15">
        <v>5E-42</v>
      </c>
      <c r="CN234" s="2">
        <v>79.400000000000006</v>
      </c>
      <c r="CO234" s="2" t="s">
        <v>2603</v>
      </c>
      <c r="CP234" s="9" t="str">
        <f>HYPERLINK(".\links\SMART\AGAP005044-PA-SMART.txt","TFS2N, Domain in the N-terminus of transcription elongation factor S-II (and elsewhere)")</f>
        <v>TFS2N, Domain in the N-terminus of transcription elongation factor S-II (and elsewhere)</v>
      </c>
      <c r="CQ234" s="15">
        <v>0.18</v>
      </c>
      <c r="CR234" s="2">
        <v>50.7</v>
      </c>
      <c r="CS234" s="2" t="s">
        <v>2606</v>
      </c>
      <c r="CT234" s="2" t="s">
        <v>2600</v>
      </c>
      <c r="CU234" s="2" t="s">
        <v>2600</v>
      </c>
      <c r="CV234" s="2" t="s">
        <v>2600</v>
      </c>
      <c r="CW234" s="2" t="str">
        <f>HYPERLINK(".\links\pep\AGAP005044-PA-pep.txt","AGAP005044-PA")</f>
        <v>AGAP005044-PA</v>
      </c>
      <c r="CX234" s="2" t="s">
        <v>95</v>
      </c>
      <c r="CY234" s="2">
        <v>371</v>
      </c>
      <c r="CZ234" s="2" t="s">
        <v>113</v>
      </c>
      <c r="DA234" s="2" t="s">
        <v>2607</v>
      </c>
      <c r="DB234" s="2">
        <v>0</v>
      </c>
      <c r="DC234" s="2">
        <v>0</v>
      </c>
      <c r="DD234" s="2" t="str">
        <f>HYPERLINK("https://www.kegg.jp/kegg-bin/search_pathway_text?map=aga&amp;keyword=AGAP005044&amp;mode=1&amp;viewImage=true","AGAP005044")</f>
        <v>AGAP005044</v>
      </c>
      <c r="DE234" s="2" t="s">
        <v>2598</v>
      </c>
      <c r="DF234" s="2" t="s">
        <v>93</v>
      </c>
      <c r="DG234" s="2" t="s">
        <v>94</v>
      </c>
      <c r="DH234" s="2" t="str">
        <f>HYPERLINK("https://vectorbase.org/vectorbase/app/record/gene/AGAP005044","AGAP005044-RA")</f>
        <v>AGAP005044-RA</v>
      </c>
      <c r="DI234" s="2" t="s">
        <v>118</v>
      </c>
      <c r="DJ234" s="2">
        <v>1388</v>
      </c>
      <c r="DK234" s="2" t="str">
        <f>HYPERLINK(".\links\netoglyc\AGAP005044-PA-netoglyc.txt","2")</f>
        <v>2</v>
      </c>
      <c r="DL234" s="2">
        <v>11.9</v>
      </c>
      <c r="DM234" s="2">
        <v>5.4</v>
      </c>
      <c r="DN234" s="2">
        <v>3</v>
      </c>
      <c r="DO234" s="2" t="s">
        <v>104</v>
      </c>
      <c r="DP234" s="2" t="s">
        <v>102</v>
      </c>
      <c r="DQ234" s="2" t="str">
        <f>HYPERLINK(".\links\Sigp\AGAP005044-PA-SigP.txt","CYT")</f>
        <v>CYT</v>
      </c>
      <c r="DR234" s="2" t="s">
        <v>102</v>
      </c>
      <c r="DS234" s="2">
        <v>42.427999999999997</v>
      </c>
      <c r="DT234" s="2">
        <v>7.32</v>
      </c>
      <c r="DU234" s="2" t="s">
        <v>102</v>
      </c>
      <c r="DV234" s="2" t="s">
        <v>102</v>
      </c>
      <c r="DW234" s="2" t="s">
        <v>2602</v>
      </c>
      <c r="DX234" s="2">
        <v>371</v>
      </c>
      <c r="DY234" s="12">
        <v>0</v>
      </c>
      <c r="DZ234" s="2" t="s">
        <v>102</v>
      </c>
      <c r="EA234" s="2" t="s">
        <v>102</v>
      </c>
      <c r="EB234" s="2" t="s">
        <v>102</v>
      </c>
      <c r="EC234" s="2" t="str">
        <f>HYPERLINK(".\links\gpi\AGAP005044-PA-gpi.txt","N")</f>
        <v>N</v>
      </c>
      <c r="ED234" s="2">
        <v>0.28000000000000003</v>
      </c>
      <c r="EF234" s="2">
        <v>6</v>
      </c>
      <c r="EG234" s="2" t="s">
        <v>102</v>
      </c>
      <c r="EH234" s="2" t="s">
        <v>102</v>
      </c>
      <c r="EI234" s="2">
        <v>11.859838274932599</v>
      </c>
      <c r="EJ234" s="2">
        <v>2.9649595687331498</v>
      </c>
      <c r="EK234" s="2">
        <v>5.3908355795148202</v>
      </c>
      <c r="EL234" s="2">
        <v>8.3557951482479798</v>
      </c>
      <c r="EM234" s="2" t="s">
        <v>102</v>
      </c>
      <c r="EN234" s="2">
        <v>2</v>
      </c>
      <c r="EO234" s="2">
        <v>2</v>
      </c>
      <c r="EP234" s="2" t="s">
        <v>102</v>
      </c>
      <c r="EQ234" s="2" t="s">
        <v>102</v>
      </c>
      <c r="ER234" s="2" t="s">
        <v>102</v>
      </c>
      <c r="ES234" s="2" t="s">
        <v>102</v>
      </c>
      <c r="ET234" s="2" t="str">
        <f>HYPERLINK(".\links\REFSEQ-INVERTEBRATE\AGAP005044-PA-REFSEQ-INVERTEBRATE.txt","AGAP005044-PA")</f>
        <v>AGAP005044-PA</v>
      </c>
      <c r="EU234" s="2" t="str">
        <f>HYPERLINK("http://www.ncbi.nlm.nih.gov/sutils/blink.cgi?pid=XP_313915.3","0.0")</f>
        <v>0.0</v>
      </c>
      <c r="EV234" s="2" t="str">
        <f>HYPERLINK("http://www.ncbi.nlm.nih.gov/protein/XP_313915.3","XP_313915.3")</f>
        <v>XP_313915.3</v>
      </c>
      <c r="EW234" s="2">
        <v>100</v>
      </c>
      <c r="EX234" s="2">
        <v>100</v>
      </c>
      <c r="EY234" s="2">
        <v>100</v>
      </c>
      <c r="EZ234" s="2" t="s">
        <v>105</v>
      </c>
    </row>
    <row r="235" spans="1:156" x14ac:dyDescent="0.25">
      <c r="A235" s="2" t="s">
        <v>2608</v>
      </c>
      <c r="B235" s="2">
        <v>0.29887580928333202</v>
      </c>
      <c r="C235" s="2">
        <f t="shared" si="3"/>
        <v>1.2301854428222043</v>
      </c>
      <c r="D235" s="2">
        <v>8.0655476989633303</v>
      </c>
      <c r="E235" s="2">
        <v>9.1474143124082392</v>
      </c>
      <c r="F235" s="2">
        <v>2.4906978039861399E-3</v>
      </c>
      <c r="G235" s="2">
        <v>4.66650700727822E-2</v>
      </c>
      <c r="H235" s="2" t="s">
        <v>93</v>
      </c>
      <c r="I235" s="2" t="s">
        <v>94</v>
      </c>
      <c r="J235" s="2" t="str">
        <f>HYPERLINK("https://vectorbase.org/vectorbase/app/record/gene/AGAP007959","AGAP007959-RA")</f>
        <v>AGAP007959-RA</v>
      </c>
      <c r="K235" s="2" t="str">
        <f>HYPERLINK(".\links\pep\AGAP007959-PA-pep.txt","AGAP007959-PA")</f>
        <v>AGAP007959-PA</v>
      </c>
      <c r="L235" s="12" t="s">
        <v>95</v>
      </c>
      <c r="M235" s="2">
        <v>245</v>
      </c>
      <c r="N235" s="2">
        <v>0</v>
      </c>
      <c r="O235" s="2">
        <v>1</v>
      </c>
      <c r="P235" s="2" t="s">
        <v>102</v>
      </c>
      <c r="Q235" s="9" t="s">
        <v>506</v>
      </c>
      <c r="R235" s="2" t="s">
        <v>196</v>
      </c>
      <c r="S235" s="2" t="str">
        <f>HYPERLINK(".\links\REFSEQ-INVERTEBRATE\AGAP007959-PA-REFSEQ-INVERTEBRATE.txt","REFSEQ-INVERTEBRATE")</f>
        <v>REFSEQ-INVERTEBRATE</v>
      </c>
      <c r="T235" s="2">
        <v>0</v>
      </c>
      <c r="U235" s="2">
        <v>111.3</v>
      </c>
      <c r="V235" s="2" t="s">
        <v>506</v>
      </c>
      <c r="W235" s="10" t="s">
        <v>508</v>
      </c>
      <c r="X235" s="2" t="s">
        <v>196</v>
      </c>
      <c r="Y235" s="2" t="str">
        <f>HYPERLINK(".\links\ARTHORPODA\AGAP007959-PA-ARTHORPODA.txt","ARTHORPODA")</f>
        <v>ARTHORPODA</v>
      </c>
      <c r="Z235" s="2">
        <v>0</v>
      </c>
      <c r="AA235" s="2">
        <v>111.3</v>
      </c>
      <c r="AB235" s="13" t="s">
        <v>102</v>
      </c>
      <c r="AC235" s="13" t="str">
        <f>HYPERLINK(".\links\Sigp\AGAP007959-PA-SigP.txt","CYT")</f>
        <v>CYT</v>
      </c>
      <c r="AD235" s="2" t="s">
        <v>102</v>
      </c>
      <c r="AE235" s="2">
        <v>26.844999999999999</v>
      </c>
      <c r="AF235" s="2">
        <v>10.220000000000001</v>
      </c>
      <c r="AG235" s="2" t="s">
        <v>102</v>
      </c>
      <c r="AH235" s="2" t="s">
        <v>102</v>
      </c>
      <c r="AI235" s="2" t="s">
        <v>211</v>
      </c>
      <c r="AJ235" s="13">
        <v>0</v>
      </c>
      <c r="AK235" s="2" t="s">
        <v>102</v>
      </c>
      <c r="AL235" s="2" t="s">
        <v>102</v>
      </c>
      <c r="AM235" s="2" t="s">
        <v>102</v>
      </c>
      <c r="AN235" s="13" t="str">
        <f>HYPERLINK(".\links\gpi\AGAP007959-PA-gpi.txt","N")</f>
        <v>N</v>
      </c>
      <c r="AO235" s="14" t="str">
        <f>HYPERLINK(".\links\netoglyc\AGAP007959-PA-netoglyc.txt","6")</f>
        <v>6</v>
      </c>
      <c r="AP235" s="13">
        <v>15.9</v>
      </c>
      <c r="AQ235" s="2">
        <v>6.5</v>
      </c>
      <c r="AR235" s="2">
        <v>6.9</v>
      </c>
      <c r="AS235" s="2" t="s">
        <v>104</v>
      </c>
      <c r="AT235" s="9" t="str">
        <f>HYPERLINK(".\links\NR-LIGHT\AGAP007959-PA-NR-LIGHT.txt","AGAP007959-PA")</f>
        <v>AGAP007959-PA</v>
      </c>
      <c r="AU235" s="2" t="str">
        <f>HYPERLINK("http://www.ncbi.nlm.nih.gov/sutils/blink.cgi?pid=XP_317512.2","1E-119")</f>
        <v>1E-119</v>
      </c>
      <c r="AV235" s="2" t="str">
        <f>HYPERLINK("http://www.ncbi.nlm.nih.gov/protein/XP_317512.2","XP_317512.2")</f>
        <v>XP_317512.2</v>
      </c>
      <c r="AW235" s="2">
        <v>89</v>
      </c>
      <c r="AX235" s="2">
        <v>89</v>
      </c>
      <c r="AY235" s="2">
        <v>111</v>
      </c>
      <c r="AZ235" s="2" t="s">
        <v>105</v>
      </c>
      <c r="BA235" s="9" t="str">
        <f>HYPERLINK(".\links\REFSEQ-INVERTEBRATE\AGAP007959-PA-REFSEQ-INVERTEBRATE.txt","AGAP007959-PA")</f>
        <v>AGAP007959-PA</v>
      </c>
      <c r="BB235" s="2" t="str">
        <f>HYPERLINK("http://www.ncbi.nlm.nih.gov/sutils/blink.cgi?pid=XP_317512.2","1E-119")</f>
        <v>1E-119</v>
      </c>
      <c r="BC235" s="2" t="str">
        <f>HYPERLINK("http://www.ncbi.nlm.nih.gov/protein/XP_317512.2","XP_317512.2")</f>
        <v>XP_317512.2</v>
      </c>
      <c r="BD235" s="2">
        <v>89</v>
      </c>
      <c r="BE235" s="2">
        <v>89</v>
      </c>
      <c r="BF235" s="2">
        <v>111</v>
      </c>
      <c r="BG235" s="2" t="s">
        <v>105</v>
      </c>
      <c r="BH235" s="9" t="str">
        <f>HYPERLINK(".\links\REFSEQ-PROTOZOA\AGAP007959-PA-REFSEQ-PROTOZOA.txt","pleckstrin domain-containing protein")</f>
        <v>pleckstrin domain-containing protein</v>
      </c>
      <c r="BI235" s="2" t="str">
        <f>HYPERLINK("http://www.ncbi.nlm.nih.gov/sutils/blink.cgi?pid=XP_004351470.1","0.19")</f>
        <v>0.19</v>
      </c>
      <c r="BJ235" s="2" t="str">
        <f>HYPERLINK("http://www.ncbi.nlm.nih.gov/protein/XP_004351470.1","XP_004351470.1")</f>
        <v>XP_004351470.1</v>
      </c>
      <c r="BK235" s="2">
        <v>21</v>
      </c>
      <c r="BL235" s="2">
        <v>44</v>
      </c>
      <c r="BM235" s="2">
        <v>19</v>
      </c>
      <c r="BN235" s="2" t="s">
        <v>212</v>
      </c>
      <c r="BO235" s="9" t="str">
        <f>HYPERLINK(".\links\SWISSP\AGAP007959-PA-SWISSP.txt","Probable nuclear hormone receptor HR38")</f>
        <v>Probable nuclear hormone receptor HR38</v>
      </c>
      <c r="BP235" s="2" t="str">
        <f>HYPERLINK("http://www.uniprot.org/uniprot/P49869","0.10")</f>
        <v>0.10</v>
      </c>
      <c r="BQ235" s="2" t="str">
        <f>HYPERLINK("http://www.uniprot.org/uniprot/P49869#expression","P49869")</f>
        <v>P49869</v>
      </c>
      <c r="BR235" s="2">
        <v>24</v>
      </c>
      <c r="BS235" s="2">
        <v>41</v>
      </c>
      <c r="BT235" s="2">
        <v>11</v>
      </c>
      <c r="BU235" s="2" t="s">
        <v>107</v>
      </c>
      <c r="BV235" s="9" t="str">
        <f>HYPERLINK(".\links\FLYBASE\AGAP007959-PA-FLYBASE.txt","FBpp0301012")</f>
        <v>FBpp0301012</v>
      </c>
      <c r="BW235" s="2" t="str">
        <f>HYPERLINK("http://flybase.org/reports/FBgn0263346#alliance_summary_container","0.35")</f>
        <v>0.35</v>
      </c>
      <c r="BX235" s="2">
        <v>1541</v>
      </c>
      <c r="BY235" s="2">
        <v>27</v>
      </c>
      <c r="BZ235" s="2">
        <v>41</v>
      </c>
      <c r="CA235" s="2">
        <v>6</v>
      </c>
      <c r="CB235" s="9" t="str">
        <f>HYPERLINK(".\links\CDD\AGAP007959-PA-CDD.txt","ROM1, RhoGEF, Guanine nucleotide exchange factor for Rho/Rac/Cdc42-like GTPases")</f>
        <v>ROM1, RhoGEF, Guanine nucleotide exchange factor for Rho/Rac/Cdc42-like GTPases</v>
      </c>
      <c r="CC235" s="15">
        <v>0.53</v>
      </c>
      <c r="CD235" s="2">
        <v>13.4</v>
      </c>
      <c r="CE235" s="2" t="s">
        <v>509</v>
      </c>
      <c r="CF235" s="2" t="s">
        <v>510</v>
      </c>
      <c r="CG235" s="9" t="str">
        <f>HYPERLINK(".\links\KOG\AGAP007959-PA-KOG.txt","Oxoprolinase")</f>
        <v>Oxoprolinase</v>
      </c>
      <c r="CH235" s="15">
        <v>0.61</v>
      </c>
      <c r="CI235" s="2">
        <v>3.7</v>
      </c>
      <c r="CJ235" s="2" t="s">
        <v>511</v>
      </c>
      <c r="CK235" s="2" t="s">
        <v>267</v>
      </c>
      <c r="CL235" s="9" t="str">
        <f>HYPERLINK(".\links\PFAM\AGAP007959-PA-PFAM.txt","AsmA, AsmA family")</f>
        <v>AsmA, AsmA family</v>
      </c>
      <c r="CM235" s="15">
        <v>0.48</v>
      </c>
      <c r="CN235" s="2">
        <v>20.399999999999999</v>
      </c>
      <c r="CO235" s="2" t="s">
        <v>512</v>
      </c>
      <c r="CP235" s="9" t="str">
        <f>HYPERLINK(".\links\SMART\AGAP007959-PA-SMART.txt","HPT, Histidine Phosphotransfer domain")</f>
        <v>HPT, Histidine Phosphotransfer domain</v>
      </c>
      <c r="CQ235" s="15">
        <v>1.8</v>
      </c>
      <c r="CR235" s="2">
        <v>51.1</v>
      </c>
      <c r="CS235" s="2" t="s">
        <v>513</v>
      </c>
      <c r="CT235" s="2" t="s">
        <v>506</v>
      </c>
      <c r="CU235" s="2" t="s">
        <v>506</v>
      </c>
      <c r="CV235" s="2" t="s">
        <v>506</v>
      </c>
      <c r="CW235" s="2" t="str">
        <f>HYPERLINK(".\links\pep\AGAP007959-PA-pep.txt","AGAP007959-PA")</f>
        <v>AGAP007959-PA</v>
      </c>
      <c r="CX235" s="2" t="s">
        <v>95</v>
      </c>
      <c r="CY235" s="2">
        <v>245</v>
      </c>
      <c r="CZ235" s="2" t="s">
        <v>113</v>
      </c>
      <c r="DA235" s="2" t="s">
        <v>2609</v>
      </c>
      <c r="DB235" s="2">
        <v>0</v>
      </c>
      <c r="DC235" s="2">
        <v>1</v>
      </c>
      <c r="DD235" s="2" t="str">
        <f>HYPERLINK("https://www.kegg.jp/kegg-bin/search_pathway_text?map=aga&amp;keyword=AGAP007959&amp;mode=1&amp;viewImage=true","AGAP007959")</f>
        <v>AGAP007959</v>
      </c>
      <c r="DE235" s="2" t="s">
        <v>2608</v>
      </c>
      <c r="DF235" s="2" t="s">
        <v>93</v>
      </c>
      <c r="DG235" s="2" t="s">
        <v>94</v>
      </c>
      <c r="DH235" s="2" t="str">
        <f>HYPERLINK("https://vectorbase.org/vectorbase/app/record/gene/AGAP007959","AGAP007959-RA")</f>
        <v>AGAP007959-RA</v>
      </c>
      <c r="DI235" s="2" t="s">
        <v>90</v>
      </c>
      <c r="DJ235" s="2">
        <v>937</v>
      </c>
      <c r="DK235" s="2" t="str">
        <f>HYPERLINK(".\links\netoglyc\AGAP007959-PA-netoglyc.txt","6")</f>
        <v>6</v>
      </c>
      <c r="DL235" s="2">
        <v>15.9</v>
      </c>
      <c r="DM235" s="2">
        <v>6.5</v>
      </c>
      <c r="DN235" s="2">
        <v>6.9</v>
      </c>
      <c r="DO235" s="2" t="s">
        <v>104</v>
      </c>
      <c r="DP235" s="2" t="s">
        <v>515</v>
      </c>
      <c r="DQ235" s="2" t="str">
        <f>HYPERLINK(".\links\Sigp\AGAP007959-PA-SigP.txt","CYT")</f>
        <v>CYT</v>
      </c>
      <c r="DR235" s="2" t="s">
        <v>102</v>
      </c>
      <c r="DS235" s="2">
        <v>26.844999999999999</v>
      </c>
      <c r="DT235" s="2">
        <v>10.220000000000001</v>
      </c>
      <c r="DU235" s="2" t="s">
        <v>102</v>
      </c>
      <c r="DV235" s="2" t="s">
        <v>102</v>
      </c>
      <c r="DW235" s="2" t="s">
        <v>211</v>
      </c>
      <c r="DX235" s="2">
        <v>245</v>
      </c>
      <c r="DY235" s="12">
        <v>0</v>
      </c>
      <c r="DZ235" s="2" t="s">
        <v>102</v>
      </c>
      <c r="EA235" s="2" t="s">
        <v>102</v>
      </c>
      <c r="EB235" s="2" t="s">
        <v>102</v>
      </c>
      <c r="EC235" s="2" t="str">
        <f>HYPERLINK(".\links\gpi\AGAP007959-PA-gpi.txt","N")</f>
        <v>N</v>
      </c>
      <c r="ED235" s="2">
        <v>0.28000000000000003</v>
      </c>
      <c r="EF235" s="2">
        <v>4</v>
      </c>
      <c r="EG235" s="2" t="s">
        <v>102</v>
      </c>
      <c r="EH235" s="2" t="s">
        <v>102</v>
      </c>
      <c r="EI235" s="2">
        <v>15.918367346938799</v>
      </c>
      <c r="EJ235" s="2">
        <v>6.9387755102040796</v>
      </c>
      <c r="EK235" s="2">
        <v>6.5306122448979602</v>
      </c>
      <c r="EL235" s="2">
        <v>13.469387755102</v>
      </c>
      <c r="EM235" s="2">
        <v>1</v>
      </c>
      <c r="EN235" s="2" t="s">
        <v>102</v>
      </c>
      <c r="EO235" s="2">
        <v>2</v>
      </c>
      <c r="EP235" s="2" t="s">
        <v>102</v>
      </c>
      <c r="EQ235" s="2" t="s">
        <v>102</v>
      </c>
      <c r="ER235" s="2" t="s">
        <v>102</v>
      </c>
      <c r="ES235" s="2" t="s">
        <v>102</v>
      </c>
      <c r="ET235" s="2" t="str">
        <f>HYPERLINK(".\links\REFSEQ-INVERTEBRATE\AGAP007959-PA-REFSEQ-INVERTEBRATE.txt","AGAP007959-PA")</f>
        <v>AGAP007959-PA</v>
      </c>
      <c r="EU235" s="2" t="str">
        <f>HYPERLINK("http://www.ncbi.nlm.nih.gov/sutils/blink.cgi?pid=XP_317512.2","1E-148")</f>
        <v>1E-148</v>
      </c>
      <c r="EV235" s="2" t="str">
        <f>HYPERLINK("http://www.ncbi.nlm.nih.gov/protein/XP_317512.2","XP_317512.2")</f>
        <v>XP_317512.2</v>
      </c>
      <c r="EW235" s="2">
        <v>89</v>
      </c>
      <c r="EX235" s="2">
        <v>89</v>
      </c>
      <c r="EY235" s="2">
        <v>111</v>
      </c>
      <c r="EZ235" s="2" t="s">
        <v>105</v>
      </c>
    </row>
    <row r="236" spans="1:156" x14ac:dyDescent="0.25">
      <c r="A236" s="2" t="s">
        <v>2610</v>
      </c>
      <c r="B236" s="2">
        <v>0.29849476600122599</v>
      </c>
      <c r="C236" s="2">
        <f t="shared" si="3"/>
        <v>1.2298605702833276</v>
      </c>
      <c r="D236" s="2">
        <v>5.7609001113079401</v>
      </c>
      <c r="E236" s="2">
        <v>8.9095028154655598</v>
      </c>
      <c r="F236" s="2">
        <v>2.8369049217152101E-3</v>
      </c>
      <c r="G236" s="2">
        <v>4.9145703956980501E-2</v>
      </c>
      <c r="H236" s="2" t="s">
        <v>93</v>
      </c>
      <c r="I236" s="2" t="s">
        <v>94</v>
      </c>
      <c r="J236" s="2" t="str">
        <f>HYPERLINK("https://vectorbase.org/vectorbase/app/record/gene/AGAP004269","AGAP004269-RA")</f>
        <v>AGAP004269-RA</v>
      </c>
      <c r="K236" s="2" t="str">
        <f>HYPERLINK(".\links\pep\AGAP004269-PA-pep.txt","AGAP004269-PA")</f>
        <v>AGAP004269-PA</v>
      </c>
      <c r="L236" s="12" t="s">
        <v>95</v>
      </c>
      <c r="M236" s="2">
        <v>645</v>
      </c>
      <c r="N236" s="2">
        <v>0</v>
      </c>
      <c r="O236" s="2">
        <v>0</v>
      </c>
      <c r="P236" s="2" t="s">
        <v>102</v>
      </c>
      <c r="Q236" s="9" t="s">
        <v>738</v>
      </c>
      <c r="R236" s="2" t="s">
        <v>420</v>
      </c>
      <c r="S236" s="2" t="str">
        <f>HYPERLINK(".\links\KOG\AGAP004269-PA-KOG.txt","KOG")</f>
        <v>KOG</v>
      </c>
      <c r="T236" s="2">
        <v>5.9999999999999998E-21</v>
      </c>
      <c r="U236" s="2">
        <v>58.4</v>
      </c>
      <c r="V236" s="2" t="s">
        <v>2611</v>
      </c>
      <c r="W236" s="10" t="s">
        <v>740</v>
      </c>
      <c r="X236" s="2" t="s">
        <v>420</v>
      </c>
      <c r="Y236" s="2" t="str">
        <f>HYPERLINK(".\links\UNIPROTKB\AGAP004269-PA-UNIPROTKB.txt","UNIPROTKB")</f>
        <v>UNIPROTKB</v>
      </c>
      <c r="Z236" s="15">
        <v>9.9999999999999999E-56</v>
      </c>
      <c r="AA236" s="2">
        <v>44.4</v>
      </c>
      <c r="AB236" s="13" t="str">
        <f>HYPERLINK(".\links\pep\AGAP004269-PA-sulf.txt","1")</f>
        <v>1</v>
      </c>
      <c r="AC236" s="13" t="str">
        <f>HYPERLINK(".\links\Sigp\AGAP004269-PA-SigP.txt","CYT")</f>
        <v>CYT</v>
      </c>
      <c r="AD236" s="2" t="s">
        <v>102</v>
      </c>
      <c r="AE236" s="2">
        <v>73.673000000000002</v>
      </c>
      <c r="AF236" s="2">
        <v>5.78</v>
      </c>
      <c r="AG236" s="2" t="s">
        <v>102</v>
      </c>
      <c r="AH236" s="2" t="s">
        <v>102</v>
      </c>
      <c r="AI236" s="2" t="s">
        <v>211</v>
      </c>
      <c r="AJ236" s="13">
        <v>0</v>
      </c>
      <c r="AK236" s="2" t="s">
        <v>102</v>
      </c>
      <c r="AL236" s="2" t="s">
        <v>102</v>
      </c>
      <c r="AM236" s="2" t="s">
        <v>102</v>
      </c>
      <c r="AN236" s="13" t="str">
        <f>HYPERLINK(".\links\gpi\AGAP004269-PA-gpi.txt","N")</f>
        <v>N</v>
      </c>
      <c r="AO236" s="14" t="str">
        <f>HYPERLINK(".\links\netoglyc\AGAP004269-PA-netoglyc.txt","0")</f>
        <v>0</v>
      </c>
      <c r="AP236" s="13">
        <v>14.7</v>
      </c>
      <c r="AQ236" s="2">
        <v>3.6</v>
      </c>
      <c r="AR236" s="2">
        <v>3.9</v>
      </c>
      <c r="AS236" s="2" t="s">
        <v>104</v>
      </c>
      <c r="AT236" s="9" t="str">
        <f>HYPERLINK(".\links\NR-LIGHT\AGAP004269-PA-NR-LIGHT.txt","AGAP004269-PA")</f>
        <v>AGAP004269-PA</v>
      </c>
      <c r="AU236" s="2" t="str">
        <f>HYPERLINK("http://www.ncbi.nlm.nih.gov/sutils/blink.cgi?pid=XP_562796.4","0.0")</f>
        <v>0.0</v>
      </c>
      <c r="AV236" s="2" t="str">
        <f>HYPERLINK("http://www.ncbi.nlm.nih.gov/protein/XP_562796.4","XP_562796.4")</f>
        <v>XP_562796.4</v>
      </c>
      <c r="AW236" s="2">
        <v>95</v>
      </c>
      <c r="AX236" s="2">
        <v>96</v>
      </c>
      <c r="AY236" s="2">
        <v>74</v>
      </c>
      <c r="AZ236" s="2" t="s">
        <v>105</v>
      </c>
      <c r="BA236" s="9" t="str">
        <f>HYPERLINK(".\links\REFSEQ-INVERTEBRATE\AGAP004269-PA-REFSEQ-INVERTEBRATE.txt","AGAP004269-PA")</f>
        <v>AGAP004269-PA</v>
      </c>
      <c r="BB236" s="2" t="str">
        <f>HYPERLINK("http://www.ncbi.nlm.nih.gov/sutils/blink.cgi?pid=XP_562796.4","0.0")</f>
        <v>0.0</v>
      </c>
      <c r="BC236" s="2" t="str">
        <f>HYPERLINK("http://www.ncbi.nlm.nih.gov/protein/XP_562796.4","XP_562796.4")</f>
        <v>XP_562796.4</v>
      </c>
      <c r="BD236" s="2">
        <v>95</v>
      </c>
      <c r="BE236" s="2">
        <v>96</v>
      </c>
      <c r="BF236" s="2">
        <v>74</v>
      </c>
      <c r="BG236" s="2" t="s">
        <v>105</v>
      </c>
      <c r="BH236" s="9" t="str">
        <f>HYPERLINK(".\links\REFSEQ-PROTOZOA\AGAP004269-PA-REFSEQ-PROTOZOA.txt","zinc finger, c2h2 type family protein")</f>
        <v>zinc finger, c2h2 type family protein</v>
      </c>
      <c r="BI236" s="2" t="str">
        <f>HYPERLINK("http://www.ncbi.nlm.nih.gov/sutils/blink.cgi?pid=XP_002372116.1","9E-040")</f>
        <v>9E-040</v>
      </c>
      <c r="BJ236" s="2" t="str">
        <f>HYPERLINK("http://www.ncbi.nlm.nih.gov/protein/XP_002372116.1","XP_002372116.1")</f>
        <v>XP_002372116.1</v>
      </c>
      <c r="BK236" s="2">
        <v>28</v>
      </c>
      <c r="BL236" s="2">
        <v>47</v>
      </c>
      <c r="BM236" s="2">
        <v>100</v>
      </c>
      <c r="BN236" s="2" t="s">
        <v>741</v>
      </c>
      <c r="BO236" s="9" t="str">
        <f>HYPERLINK(".\links\SWISSP\AGAP004269-PA-SWISSP.txt","Zinc finger protein 62 homolog")</f>
        <v>Zinc finger protein 62 homolog</v>
      </c>
      <c r="BP236" s="2" t="str">
        <f>HYPERLINK("http://www.uniprot.org/uniprot/Q8NB50","1E-056")</f>
        <v>1E-056</v>
      </c>
      <c r="BQ236" s="2" t="str">
        <f>HYPERLINK("http://www.uniprot.org/uniprot/Q8NB50#expression","Q8NB50")</f>
        <v>Q8NB50</v>
      </c>
      <c r="BR236" s="2">
        <v>39</v>
      </c>
      <c r="BS236" s="2">
        <v>56</v>
      </c>
      <c r="BT236" s="2">
        <v>30</v>
      </c>
      <c r="BU236" s="2" t="s">
        <v>127</v>
      </c>
      <c r="BV236" s="9" t="str">
        <f>HYPERLINK(".\links\FLYBASE\AGAP004269-PA-FLYBASE.txt","FBpp0307451")</f>
        <v>FBpp0307451</v>
      </c>
      <c r="BW236" s="2" t="str">
        <f>HYPERLINK("http://flybase.org/reports/FBgn0020309#alliance_summary_container","2E-44")</f>
        <v>2E-44</v>
      </c>
      <c r="BX236" s="2">
        <v>962</v>
      </c>
      <c r="BY236" s="2">
        <v>35</v>
      </c>
      <c r="BZ236" s="2">
        <v>51</v>
      </c>
      <c r="CA236" s="2">
        <v>26</v>
      </c>
      <c r="CB236" s="9" t="str">
        <f>HYPERLINK(".\links\CDD\AGAP004269-PA-CDD.txt","ZF_C2H2, Zinc finger, C2H2 type")</f>
        <v>ZF_C2H2, Zinc finger, C2H2 type</v>
      </c>
      <c r="CC236" s="15">
        <v>2.9999999999999999E-22</v>
      </c>
      <c r="CD236" s="2">
        <v>100</v>
      </c>
      <c r="CE236" s="2" t="s">
        <v>569</v>
      </c>
      <c r="CF236" s="2" t="s">
        <v>2612</v>
      </c>
      <c r="CG236" s="9" t="str">
        <f>HYPERLINK(".\links\KOG\AGAP004269-PA-KOG.txt","Zn finger proteins")</f>
        <v>Zn finger proteins</v>
      </c>
      <c r="CH236" s="15">
        <v>9.9999999999999991E-22</v>
      </c>
      <c r="CI236" s="2">
        <v>53.5</v>
      </c>
      <c r="CJ236" s="2" t="s">
        <v>686</v>
      </c>
      <c r="CK236" s="2" t="s">
        <v>191</v>
      </c>
      <c r="CL236" s="9" t="str">
        <f>HYPERLINK(".\links\PFAM\AGAP004269-PA-PFAM.txt","zf-AD, Zinc-finger associated domain (zf-AD)")</f>
        <v>zf-AD, Zinc-finger associated domain (zf-AD)</v>
      </c>
      <c r="CM236" s="15">
        <v>3E-9</v>
      </c>
      <c r="CN236" s="2">
        <v>106.8</v>
      </c>
      <c r="CO236" s="2" t="s">
        <v>687</v>
      </c>
      <c r="CP236" s="9" t="str">
        <f>HYPERLINK(".\links\SMART\AGAP004269-PA-SMART.txt","zf-AD, Zinc-finger associated domain (zf-AD)")</f>
        <v>zf-AD, Zinc-finger associated domain (zf-AD)</v>
      </c>
      <c r="CQ236" s="15">
        <v>1E-10</v>
      </c>
      <c r="CR236" s="2">
        <v>104.1</v>
      </c>
      <c r="CS236" s="2" t="s">
        <v>684</v>
      </c>
      <c r="CT236" s="2" t="s">
        <v>2611</v>
      </c>
      <c r="CU236" s="2" t="s">
        <v>2611</v>
      </c>
      <c r="CV236" s="2" t="s">
        <v>2611</v>
      </c>
      <c r="CW236" s="2" t="str">
        <f>HYPERLINK(".\links\pep\AGAP004269-PA-pep.txt","AGAP004269-PA")</f>
        <v>AGAP004269-PA</v>
      </c>
      <c r="CX236" s="2" t="s">
        <v>95</v>
      </c>
      <c r="CY236" s="2">
        <v>645</v>
      </c>
      <c r="CZ236" s="2" t="s">
        <v>113</v>
      </c>
      <c r="DA236" s="2" t="s">
        <v>2613</v>
      </c>
      <c r="DB236" s="2">
        <v>0</v>
      </c>
      <c r="DC236" s="2">
        <v>0</v>
      </c>
      <c r="DD236" s="2" t="str">
        <f>HYPERLINK("https://www.kegg.jp/kegg-bin/search_pathway_text?map=aga&amp;keyword=AGAP004269&amp;mode=1&amp;viewImage=true","AGAP004269")</f>
        <v>AGAP004269</v>
      </c>
      <c r="DE236" s="2" t="s">
        <v>2610</v>
      </c>
      <c r="DF236" s="2" t="s">
        <v>93</v>
      </c>
      <c r="DG236" s="2" t="s">
        <v>94</v>
      </c>
      <c r="DH236" s="2" t="str">
        <f>HYPERLINK("https://vectorbase.org/vectorbase/app/record/gene/AGAP004269","AGAP004269-RA")</f>
        <v>AGAP004269-RA</v>
      </c>
      <c r="DI236" s="2" t="s">
        <v>135</v>
      </c>
      <c r="DJ236" s="2">
        <v>2138</v>
      </c>
      <c r="DK236" s="2" t="str">
        <f>HYPERLINK(".\links\netoglyc\AGAP004269-PA-netoglyc.txt","0")</f>
        <v>0</v>
      </c>
      <c r="DL236" s="2">
        <v>14.7</v>
      </c>
      <c r="DM236" s="2">
        <v>3.6</v>
      </c>
      <c r="DN236" s="2">
        <v>3.9</v>
      </c>
      <c r="DO236" s="2" t="s">
        <v>104</v>
      </c>
      <c r="DP236" s="2" t="s">
        <v>102</v>
      </c>
      <c r="DQ236" s="2" t="str">
        <f>HYPERLINK(".\links\Sigp\AGAP004269-PA-SigP.txt","CYT")</f>
        <v>CYT</v>
      </c>
      <c r="DR236" s="2" t="s">
        <v>102</v>
      </c>
      <c r="DS236" s="2">
        <v>73.673000000000002</v>
      </c>
      <c r="DT236" s="2">
        <v>5.78</v>
      </c>
      <c r="DU236" s="2" t="s">
        <v>102</v>
      </c>
      <c r="DV236" s="2" t="s">
        <v>102</v>
      </c>
      <c r="DW236" s="2" t="s">
        <v>211</v>
      </c>
      <c r="DX236" s="2">
        <v>645</v>
      </c>
      <c r="DY236" s="12">
        <v>0</v>
      </c>
      <c r="DZ236" s="2" t="s">
        <v>102</v>
      </c>
      <c r="EA236" s="2" t="s">
        <v>102</v>
      </c>
      <c r="EB236" s="2" t="s">
        <v>102</v>
      </c>
      <c r="EC236" s="2" t="str">
        <f>HYPERLINK(".\links\gpi\AGAP004269-PA-gpi.txt","N")</f>
        <v>N</v>
      </c>
      <c r="ED236" s="2">
        <v>0.23</v>
      </c>
      <c r="EF236" s="2">
        <v>30</v>
      </c>
      <c r="EG236" s="2" t="str">
        <f>HYPERLINK(".\links\pep\AGAP004269-PA-sulf.txt","1")</f>
        <v>1</v>
      </c>
      <c r="EH236" s="2" t="s">
        <v>102</v>
      </c>
      <c r="EI236" s="2">
        <v>14.7286821705426</v>
      </c>
      <c r="EJ236" s="2">
        <v>3.87596899224806</v>
      </c>
      <c r="EK236" s="2">
        <v>3.5658914728682198</v>
      </c>
      <c r="EL236" s="2">
        <v>7.4418604651162799</v>
      </c>
      <c r="EM236" s="2" t="s">
        <v>102</v>
      </c>
      <c r="EN236" s="2">
        <v>2</v>
      </c>
      <c r="EO236" s="2">
        <v>2</v>
      </c>
      <c r="EP236" s="2" t="s">
        <v>102</v>
      </c>
      <c r="EQ236" s="2" t="s">
        <v>102</v>
      </c>
      <c r="ER236" s="2" t="s">
        <v>102</v>
      </c>
      <c r="ES236" s="2" t="s">
        <v>102</v>
      </c>
      <c r="ET236" s="2" t="str">
        <f>HYPERLINK(".\links\REFSEQ-INVERTEBRATE\AGAP004269-PA-REFSEQ-INVERTEBRATE.txt","zinc finger protein 329-like")</f>
        <v>zinc finger protein 329-like</v>
      </c>
      <c r="EU236" s="2" t="str">
        <f>HYPERLINK("http://www.ncbi.nlm.nih.gov/sutils/blink.cgi?pid=XP_035903953.1","0.0")</f>
        <v>0.0</v>
      </c>
      <c r="EV236" s="2" t="str">
        <f>HYPERLINK("http://www.ncbi.nlm.nih.gov/protein/XP_035903953.1","XP_035903953.1")</f>
        <v>XP_035903953.1</v>
      </c>
      <c r="EW236" s="2">
        <v>72</v>
      </c>
      <c r="EX236" s="2">
        <v>82</v>
      </c>
      <c r="EY236" s="2">
        <v>101</v>
      </c>
      <c r="EZ236" s="2" t="s">
        <v>370</v>
      </c>
    </row>
    <row r="237" spans="1:156" x14ac:dyDescent="0.25">
      <c r="A237" s="2" t="s">
        <v>2614</v>
      </c>
      <c r="B237" s="2">
        <v>0.29675932216151202</v>
      </c>
      <c r="C237" s="2">
        <f t="shared" si="3"/>
        <v>1.2283820383149375</v>
      </c>
      <c r="D237" s="2">
        <v>6.2414844057597598</v>
      </c>
      <c r="E237" s="2">
        <v>10.1746078026814</v>
      </c>
      <c r="F237" s="2">
        <v>1.42387982871898E-3</v>
      </c>
      <c r="G237" s="2">
        <v>3.7152645524746501E-2</v>
      </c>
      <c r="H237" s="2" t="s">
        <v>2615</v>
      </c>
      <c r="I237" s="2" t="s">
        <v>94</v>
      </c>
      <c r="J237" s="2" t="str">
        <f>HYPERLINK("https://vectorbase.org/vectorbase/app/record/gene/AGAP009954","AGAP009954-RA")</f>
        <v>AGAP009954-RA</v>
      </c>
      <c r="K237" s="2" t="str">
        <f>HYPERLINK(".\links\pep\AGAP009954-PA-pep.txt","AGAP009954-PA")</f>
        <v>AGAP009954-PA</v>
      </c>
      <c r="L237" s="12" t="s">
        <v>95</v>
      </c>
      <c r="M237" s="2">
        <v>395</v>
      </c>
      <c r="N237" s="2">
        <v>0</v>
      </c>
      <c r="O237" s="2">
        <v>0</v>
      </c>
      <c r="P237" s="2" t="s">
        <v>2616</v>
      </c>
      <c r="Q237" s="9" t="s">
        <v>2617</v>
      </c>
      <c r="R237" s="2" t="s">
        <v>196</v>
      </c>
      <c r="S237" s="2" t="str">
        <f>HYPERLINK(".\links\KOG\AGAP009954-PA-KOG.txt","KOG")</f>
        <v>KOG</v>
      </c>
      <c r="T237" s="2">
        <v>0</v>
      </c>
      <c r="U237" s="2">
        <v>73.900000000000006</v>
      </c>
      <c r="V237" s="2" t="s">
        <v>2618</v>
      </c>
      <c r="W237" s="10" t="s">
        <v>2619</v>
      </c>
      <c r="X237" s="2" t="s">
        <v>196</v>
      </c>
      <c r="Y237" s="2" t="str">
        <f>HYPERLINK(".\links\REFSEQVERTEBRATE95\AGAP009954-PA-REFSEQVERTEBRATE95.txt","REFSEQVERTEBRATE95")</f>
        <v>REFSEQVERTEBRATE95</v>
      </c>
      <c r="Z237" s="2">
        <v>0</v>
      </c>
      <c r="AA237" s="2">
        <v>88.3</v>
      </c>
      <c r="AB237" s="13" t="str">
        <f>HYPERLINK(".\links\pep\AGAP009954-PA-sulf.txt","1")</f>
        <v>1</v>
      </c>
      <c r="AC237" s="13" t="str">
        <f>HYPERLINK(".\links\Sigp\AGAP009954-PA-SigP.txt","CYT")</f>
        <v>CYT</v>
      </c>
      <c r="AD237" s="2" t="s">
        <v>102</v>
      </c>
      <c r="AE237" s="2">
        <v>45.448999999999998</v>
      </c>
      <c r="AF237" s="2">
        <v>5.92</v>
      </c>
      <c r="AG237" s="2" t="s">
        <v>102</v>
      </c>
      <c r="AH237" s="2" t="s">
        <v>102</v>
      </c>
      <c r="AI237" s="2" t="s">
        <v>124</v>
      </c>
      <c r="AJ237" s="13">
        <v>0</v>
      </c>
      <c r="AK237" s="2" t="s">
        <v>102</v>
      </c>
      <c r="AL237" s="2" t="s">
        <v>102</v>
      </c>
      <c r="AM237" s="2" t="s">
        <v>102</v>
      </c>
      <c r="AN237" s="13" t="str">
        <f>HYPERLINK(".\links\gpi\AGAP009954-PA-gpi.txt","N")</f>
        <v>N</v>
      </c>
      <c r="AO237" s="14" t="str">
        <f>HYPERLINK(".\links\netoglyc\AGAP009954-PA-netoglyc.txt","1")</f>
        <v>1</v>
      </c>
      <c r="AP237" s="13">
        <v>11.9</v>
      </c>
      <c r="AQ237" s="2">
        <v>5.3</v>
      </c>
      <c r="AR237" s="2">
        <v>5.3</v>
      </c>
      <c r="AS237" s="2" t="s">
        <v>104</v>
      </c>
      <c r="AT237" s="9" t="str">
        <f>HYPERLINK(".\links\NR-LIGHT\AGAP009954-PA-NR-LIGHT.txt","AGAP009954-PA")</f>
        <v>AGAP009954-PA</v>
      </c>
      <c r="AU237" s="2" t="str">
        <f>HYPERLINK("http://www.ncbi.nlm.nih.gov/sutils/blink.cgi?pid=XP_319088.4","0.0")</f>
        <v>0.0</v>
      </c>
      <c r="AV237" s="2" t="str">
        <f>HYPERLINK("http://www.ncbi.nlm.nih.gov/protein/XP_319088.4","XP_319088.4")</f>
        <v>XP_319088.4</v>
      </c>
      <c r="AW237" s="2">
        <v>100</v>
      </c>
      <c r="AX237" s="2">
        <v>100</v>
      </c>
      <c r="AY237" s="2">
        <v>100</v>
      </c>
      <c r="AZ237" s="2" t="s">
        <v>105</v>
      </c>
      <c r="BA237" s="9" t="str">
        <f>HYPERLINK(".\links\REFSEQ-INVERTEBRATE\AGAP009954-PA-REFSEQ-INVERTEBRATE.txt","AGAP009954-PA")</f>
        <v>AGAP009954-PA</v>
      </c>
      <c r="BB237" s="2" t="str">
        <f>HYPERLINK("http://www.ncbi.nlm.nih.gov/sutils/blink.cgi?pid=XP_319088.4","0.0")</f>
        <v>0.0</v>
      </c>
      <c r="BC237" s="2" t="str">
        <f>HYPERLINK("http://www.ncbi.nlm.nih.gov/protein/XP_319088.4","XP_319088.4")</f>
        <v>XP_319088.4</v>
      </c>
      <c r="BD237" s="2">
        <v>100</v>
      </c>
      <c r="BE237" s="2">
        <v>100</v>
      </c>
      <c r="BF237" s="2">
        <v>100</v>
      </c>
      <c r="BG237" s="2" t="s">
        <v>105</v>
      </c>
      <c r="BH237" s="9" t="str">
        <f>HYPERLINK(".\links\REFSEQ-PROTOZOA\AGAP009954-PA-REFSEQ-PROTOZOA.txt","ankyrin repeat containing protein")</f>
        <v>ankyrin repeat containing protein</v>
      </c>
      <c r="BI237" s="2" t="str">
        <f>HYPERLINK("http://www.ncbi.nlm.nih.gov/sutils/blink.cgi?pid=XP_004363370.2","2E-062")</f>
        <v>2E-062</v>
      </c>
      <c r="BJ237" s="2" t="str">
        <f>HYPERLINK("http://www.ncbi.nlm.nih.gov/protein/XP_004363370.2","XP_004363370.2")</f>
        <v>XP_004363370.2</v>
      </c>
      <c r="BK237" s="2">
        <v>45</v>
      </c>
      <c r="BL237" s="2">
        <v>69</v>
      </c>
      <c r="BM237" s="2">
        <v>39</v>
      </c>
      <c r="BN237" s="2" t="s">
        <v>106</v>
      </c>
      <c r="BO237" s="9" t="str">
        <f>HYPERLINK(".\links\SWISSP\AGAP009954-PA-SWISSP.txt","Ankyrin repeat domain-containing protein 13C")</f>
        <v>Ankyrin repeat domain-containing protein 13C</v>
      </c>
      <c r="BP237" s="2" t="str">
        <f>HYPERLINK("http://www.uniprot.org/uniprot/Q8N6S4","1E-153")</f>
        <v>1E-153</v>
      </c>
      <c r="BQ237" s="2" t="str">
        <f>HYPERLINK("http://www.uniprot.org/uniprot/Q8N6S4#expression","Q8N6S4")</f>
        <v>Q8N6S4</v>
      </c>
      <c r="BR237" s="2">
        <v>65</v>
      </c>
      <c r="BS237" s="2">
        <v>82</v>
      </c>
      <c r="BT237" s="2">
        <v>73</v>
      </c>
      <c r="BU237" s="2" t="s">
        <v>127</v>
      </c>
      <c r="BV237" s="9" t="str">
        <f>HYPERLINK(".\links\FLYBASE\AGAP009954-PA-FLYBASE.txt","FBpp0303034")</f>
        <v>FBpp0303034</v>
      </c>
      <c r="BW237" s="2" t="str">
        <f>HYPERLINK("http://flybase.org/reports/FBgn0034304#alliance_summary_container","0.0")</f>
        <v>0.0</v>
      </c>
      <c r="BX237" s="2">
        <v>543</v>
      </c>
      <c r="BY237" s="2">
        <v>61</v>
      </c>
      <c r="BZ237" s="2">
        <v>76</v>
      </c>
      <c r="CA237" s="2">
        <v>77</v>
      </c>
      <c r="CB237" s="9" t="str">
        <f>HYPERLINK(".\links\CDD\AGAP009954-PA-CDD.txt","GPCR_chapero_1, GPCR-chaperone")</f>
        <v>GPCR_chapero_1, GPCR-chaperone</v>
      </c>
      <c r="CC237" s="15">
        <v>9.9999999999999996E-76</v>
      </c>
      <c r="CD237" s="2">
        <v>101</v>
      </c>
      <c r="CE237" s="2" t="s">
        <v>2620</v>
      </c>
      <c r="CF237" s="2" t="s">
        <v>2621</v>
      </c>
      <c r="CG237" s="9" t="str">
        <f>HYPERLINK(".\links\KOG\AGAP009954-PA-KOG.txt","Ankyrin repeat protein")</f>
        <v>Ankyrin repeat protein</v>
      </c>
      <c r="CH237" s="15">
        <v>1E-134</v>
      </c>
      <c r="CI237" s="2">
        <v>73.900000000000006</v>
      </c>
      <c r="CJ237" s="2" t="s">
        <v>2622</v>
      </c>
      <c r="CK237" s="2" t="s">
        <v>191</v>
      </c>
      <c r="CL237" s="9" t="str">
        <f>HYPERLINK(".\links\PFAM\AGAP009954-PA-PFAM.txt","GPCR_chapero_1, GPCR-chaperone")</f>
        <v>GPCR_chapero_1, GPCR-chaperone</v>
      </c>
      <c r="CM237" s="15">
        <v>1.9999999999999999E-76</v>
      </c>
      <c r="CN237" s="2">
        <v>101</v>
      </c>
      <c r="CO237" s="2" t="s">
        <v>2620</v>
      </c>
      <c r="CP237" s="9" t="str">
        <f>HYPERLINK(".\links\SMART\AGAP009954-PA-SMART.txt","ANK, ankyrin repeats")</f>
        <v>ANK, ankyrin repeats</v>
      </c>
      <c r="CQ237" s="15">
        <v>0.55000000000000004</v>
      </c>
      <c r="CR237" s="2">
        <v>80</v>
      </c>
      <c r="CS237" s="2" t="s">
        <v>2262</v>
      </c>
      <c r="CT237" s="2" t="s">
        <v>2618</v>
      </c>
      <c r="CU237" s="2" t="s">
        <v>2618</v>
      </c>
      <c r="CV237" s="2" t="s">
        <v>2618</v>
      </c>
      <c r="CW237" s="2" t="str">
        <f>HYPERLINK(".\links\pep\AGAP009954-PA-pep.txt","AGAP009954-PA")</f>
        <v>AGAP009954-PA</v>
      </c>
      <c r="CX237" s="2" t="s">
        <v>95</v>
      </c>
      <c r="CY237" s="2">
        <v>395</v>
      </c>
      <c r="CZ237" s="2" t="s">
        <v>113</v>
      </c>
      <c r="DA237" s="2" t="s">
        <v>2623</v>
      </c>
      <c r="DB237" s="2">
        <v>0</v>
      </c>
      <c r="DC237" s="2">
        <v>0</v>
      </c>
      <c r="DD237" s="2" t="str">
        <f>HYPERLINK("https://www.kegg.jp/kegg-bin/search_pathway_text?map=aga&amp;keyword=AGAP009954&amp;mode=1&amp;viewImage=true","AGAP009954")</f>
        <v>AGAP009954</v>
      </c>
      <c r="DE237" s="2" t="s">
        <v>2614</v>
      </c>
      <c r="DF237" s="2" t="s">
        <v>2615</v>
      </c>
      <c r="DG237" s="2" t="s">
        <v>94</v>
      </c>
      <c r="DH237" s="2" t="str">
        <f>HYPERLINK("https://vectorbase.org/vectorbase/app/record/gene/AGAP009954","AGAP009954-RA")</f>
        <v>AGAP009954-RA</v>
      </c>
      <c r="DI237" s="2" t="s">
        <v>118</v>
      </c>
      <c r="DJ237" s="2">
        <v>1632</v>
      </c>
      <c r="DK237" s="2" t="str">
        <f>HYPERLINK(".\links\netoglyc\AGAP009954-PA-netoglyc.txt","1")</f>
        <v>1</v>
      </c>
      <c r="DL237" s="2">
        <v>11.9</v>
      </c>
      <c r="DM237" s="2">
        <v>5.3</v>
      </c>
      <c r="DN237" s="2">
        <v>5.3</v>
      </c>
      <c r="DO237" s="2" t="s">
        <v>104</v>
      </c>
      <c r="DP237" s="2" t="s">
        <v>102</v>
      </c>
      <c r="DQ237" s="2" t="str">
        <f>HYPERLINK(".\links\Sigp\AGAP009954-PA-SigP.txt","CYT")</f>
        <v>CYT</v>
      </c>
      <c r="DR237" s="2" t="s">
        <v>102</v>
      </c>
      <c r="DS237" s="2">
        <v>45.448999999999998</v>
      </c>
      <c r="DT237" s="2">
        <v>5.92</v>
      </c>
      <c r="DU237" s="2" t="s">
        <v>102</v>
      </c>
      <c r="DV237" s="2" t="s">
        <v>102</v>
      </c>
      <c r="DW237" s="2" t="s">
        <v>124</v>
      </c>
      <c r="DX237" s="2">
        <v>395</v>
      </c>
      <c r="DY237" s="12">
        <v>0</v>
      </c>
      <c r="DZ237" s="2" t="s">
        <v>102</v>
      </c>
      <c r="EA237" s="2" t="s">
        <v>102</v>
      </c>
      <c r="EB237" s="2" t="s">
        <v>102</v>
      </c>
      <c r="EC237" s="2" t="str">
        <f>HYPERLINK(".\links\gpi\AGAP009954-PA-gpi.txt","N")</f>
        <v>N</v>
      </c>
      <c r="ED237" s="2">
        <v>0.23</v>
      </c>
      <c r="EF237" s="2">
        <v>6</v>
      </c>
      <c r="EG237" s="2" t="str">
        <f>HYPERLINK(".\links\pep\AGAP009954-PA-sulf.txt","1")</f>
        <v>1</v>
      </c>
      <c r="EH237" s="2" t="s">
        <v>102</v>
      </c>
      <c r="EI237" s="2">
        <v>11.8987341772152</v>
      </c>
      <c r="EJ237" s="2">
        <v>5.3164556962025298</v>
      </c>
      <c r="EK237" s="2">
        <v>5.3164556962025298</v>
      </c>
      <c r="EL237" s="2">
        <v>10.6329113924051</v>
      </c>
      <c r="EM237" s="2" t="s">
        <v>102</v>
      </c>
      <c r="EN237" s="2">
        <v>3</v>
      </c>
      <c r="EO237" s="2">
        <v>4</v>
      </c>
      <c r="EP237" s="2" t="s">
        <v>102</v>
      </c>
      <c r="EQ237" s="2" t="s">
        <v>102</v>
      </c>
      <c r="ER237" s="2" t="s">
        <v>102</v>
      </c>
      <c r="ES237" s="2" t="s">
        <v>102</v>
      </c>
      <c r="ET237" s="2" t="str">
        <f>HYPERLINK(".\links\REFSEQ-INVERTEBRATE\AGAP009954-PA-REFSEQ-INVERTEBRATE.txt","AGAP009954-PA")</f>
        <v>AGAP009954-PA</v>
      </c>
      <c r="EU237" s="2" t="str">
        <f>HYPERLINK("http://www.ncbi.nlm.nih.gov/sutils/blink.cgi?pid=XP_319088.4","0.0")</f>
        <v>0.0</v>
      </c>
      <c r="EV237" s="2" t="str">
        <f>HYPERLINK("http://www.ncbi.nlm.nih.gov/protein/XP_319088.4","XP_319088.4")</f>
        <v>XP_319088.4</v>
      </c>
      <c r="EW237" s="2">
        <v>100</v>
      </c>
      <c r="EX237" s="2">
        <v>100</v>
      </c>
      <c r="EY237" s="2">
        <v>100</v>
      </c>
      <c r="EZ237" s="2" t="s">
        <v>105</v>
      </c>
    </row>
    <row r="238" spans="1:156" x14ac:dyDescent="0.25">
      <c r="A238" s="2" t="s">
        <v>2624</v>
      </c>
      <c r="B238" s="2">
        <v>0.29636720469371602</v>
      </c>
      <c r="C238" s="2">
        <f t="shared" si="3"/>
        <v>1.2280482154425729</v>
      </c>
      <c r="D238" s="2">
        <v>6.9499523072194904</v>
      </c>
      <c r="E238" s="2">
        <v>9.4004851404052197</v>
      </c>
      <c r="F238" s="2">
        <v>2.1692803486792699E-3</v>
      </c>
      <c r="G238" s="2">
        <v>4.4881046827527402E-2</v>
      </c>
      <c r="H238" s="2" t="s">
        <v>2625</v>
      </c>
      <c r="I238" s="2" t="s">
        <v>94</v>
      </c>
      <c r="J238" s="2" t="str">
        <f>HYPERLINK("https://vectorbase.org/vectorbase/app/record/gene/AGAP004844","AGAP004844-RA")</f>
        <v>AGAP004844-RA</v>
      </c>
      <c r="K238" s="2" t="str">
        <f>HYPERLINK(".\links\pep\AGAP004844-PA-pep.txt","AGAP004844-PA")</f>
        <v>AGAP004844-PA</v>
      </c>
      <c r="L238" s="12" t="s">
        <v>95</v>
      </c>
      <c r="M238" s="2">
        <v>397</v>
      </c>
      <c r="N238" s="2">
        <v>0</v>
      </c>
      <c r="O238" s="2">
        <v>0</v>
      </c>
      <c r="P238" s="2" t="s">
        <v>2626</v>
      </c>
      <c r="Q238" s="9" t="s">
        <v>2627</v>
      </c>
      <c r="R238" s="2" t="s">
        <v>1825</v>
      </c>
      <c r="S238" s="2" t="str">
        <f>HYPERLINK(".\links\REFSEQ-INVERTEBRATE\AGAP004844-PA-REFSEQ-INVERTEBRATE.txt","REFSEQ-INVERTEBRATE")</f>
        <v>REFSEQ-INVERTEBRATE</v>
      </c>
      <c r="T238" s="2">
        <v>9.9999999999999998E-86</v>
      </c>
      <c r="U238" s="2">
        <v>111.5</v>
      </c>
      <c r="V238" s="2" t="s">
        <v>2628</v>
      </c>
      <c r="W238" s="10" t="s">
        <v>2629</v>
      </c>
      <c r="X238" s="2" t="s">
        <v>1825</v>
      </c>
      <c r="Y238" s="2" t="str">
        <f>HYPERLINK(".\links\ARTHORPODA\AGAP004844-PA-ARTHORPODA.txt","ARTHORPODA")</f>
        <v>ARTHORPODA</v>
      </c>
      <c r="Z238" s="2">
        <v>0</v>
      </c>
      <c r="AA238" s="2">
        <v>100</v>
      </c>
      <c r="AB238" s="13" t="s">
        <v>102</v>
      </c>
      <c r="AC238" s="13" t="str">
        <f>HYPERLINK(".\links\Sigp\AGAP004844-PA-SigP.txt","CYT")</f>
        <v>CYT</v>
      </c>
      <c r="AD238" s="2" t="s">
        <v>102</v>
      </c>
      <c r="AE238" s="2">
        <v>44.331000000000003</v>
      </c>
      <c r="AF238" s="2">
        <v>9.24</v>
      </c>
      <c r="AG238" s="2" t="s">
        <v>102</v>
      </c>
      <c r="AH238" s="2" t="s">
        <v>102</v>
      </c>
      <c r="AI238" s="2" t="s">
        <v>211</v>
      </c>
      <c r="AJ238" s="13">
        <v>0</v>
      </c>
      <c r="AK238" s="2" t="s">
        <v>102</v>
      </c>
      <c r="AL238" s="2" t="s">
        <v>102</v>
      </c>
      <c r="AM238" s="2" t="s">
        <v>102</v>
      </c>
      <c r="AN238" s="13" t="str">
        <f>HYPERLINK(".\links\gpi\AGAP004844-PA-gpi.txt","N")</f>
        <v>N</v>
      </c>
      <c r="AO238" s="14" t="str">
        <f>HYPERLINK(".\links\netoglyc\AGAP004844-PA-netoglyc.txt","5")</f>
        <v>5</v>
      </c>
      <c r="AP238" s="13">
        <v>20.2</v>
      </c>
      <c r="AQ238" s="2">
        <v>6</v>
      </c>
      <c r="AR238" s="2">
        <v>4.5</v>
      </c>
      <c r="AS238" s="2" t="s">
        <v>104</v>
      </c>
      <c r="AT238" s="9" t="str">
        <f>HYPERLINK(".\links\NR-LIGHT\AGAP004844-PA-NR-LIGHT.txt","AGAP004844-PA, partial")</f>
        <v>AGAP004844-PA, partial</v>
      </c>
      <c r="AU238" s="2" t="str">
        <f>HYPERLINK("http://www.ncbi.nlm.nih.gov/sutils/blink.cgi?pid=XP_001688564.1","1E-175")</f>
        <v>1E-175</v>
      </c>
      <c r="AV238" s="2" t="str">
        <f>HYPERLINK("http://www.ncbi.nlm.nih.gov/protein/XP_001688564.1","XP_001688564.1")</f>
        <v>XP_001688564.1</v>
      </c>
      <c r="AW238" s="2">
        <v>88</v>
      </c>
      <c r="AX238" s="2">
        <v>88</v>
      </c>
      <c r="AY238" s="2">
        <v>114</v>
      </c>
      <c r="AZ238" s="2" t="s">
        <v>105</v>
      </c>
      <c r="BA238" s="9" t="str">
        <f>HYPERLINK(".\links\REFSEQ-INVERTEBRATE\AGAP004844-PA-REFSEQ-INVERTEBRATE.txt","AGAP004844-PA, partial")</f>
        <v>AGAP004844-PA, partial</v>
      </c>
      <c r="BB238" s="2" t="str">
        <f>HYPERLINK("http://www.ncbi.nlm.nih.gov/sutils/blink.cgi?pid=XP_001688564.1","1E-175")</f>
        <v>1E-175</v>
      </c>
      <c r="BC238" s="2" t="str">
        <f>HYPERLINK("http://www.ncbi.nlm.nih.gov/protein/XP_001688564.1","XP_001688564.1")</f>
        <v>XP_001688564.1</v>
      </c>
      <c r="BD238" s="2">
        <v>88</v>
      </c>
      <c r="BE238" s="2">
        <v>88</v>
      </c>
      <c r="BF238" s="2">
        <v>114</v>
      </c>
      <c r="BG238" s="2" t="s">
        <v>105</v>
      </c>
      <c r="BH238" s="9" t="str">
        <f>HYPERLINK(".\links\REFSEQ-PROTOZOA\AGAP004844-PA-REFSEQ-PROTOZOA.txt","negative regulator of the PHO system, putative")</f>
        <v>negative regulator of the PHO system, putative</v>
      </c>
      <c r="BI238" s="2" t="str">
        <f>HYPERLINK("http://www.ncbi.nlm.nih.gov/sutils/blink.cgi?pid=XP_004183542.1","4E-005")</f>
        <v>4E-005</v>
      </c>
      <c r="BJ238" s="2" t="str">
        <f>HYPERLINK("http://www.ncbi.nlm.nih.gov/protein/XP_004183542.1","XP_004183542.1")</f>
        <v>XP_004183542.1</v>
      </c>
      <c r="BK238" s="2">
        <v>31</v>
      </c>
      <c r="BL238" s="2">
        <v>53</v>
      </c>
      <c r="BM238" s="2">
        <v>19</v>
      </c>
      <c r="BN238" s="2" t="s">
        <v>2630</v>
      </c>
      <c r="BO238" s="9" t="str">
        <f>HYPERLINK(".\links\SWISSP\AGAP004844-PA-SWISSP.txt","Suppressor of cytokine signaling 6")</f>
        <v>Suppressor of cytokine signaling 6</v>
      </c>
      <c r="BP238" s="2" t="str">
        <f>HYPERLINK("http://www.uniprot.org/uniprot/Q5RCM6","1E-031")</f>
        <v>1E-031</v>
      </c>
      <c r="BQ238" s="2" t="str">
        <f>HYPERLINK("http://www.uniprot.org/uniprot/Q5RCM6#expression","Q5RCM6")</f>
        <v>Q5RCM6</v>
      </c>
      <c r="BR238" s="2">
        <v>43</v>
      </c>
      <c r="BS238" s="2">
        <v>62</v>
      </c>
      <c r="BT238" s="2">
        <v>29</v>
      </c>
      <c r="BU238" s="2" t="s">
        <v>363</v>
      </c>
      <c r="BV238" s="9" t="str">
        <f>HYPERLINK(".\links\FLYBASE\AGAP004844-PA-FLYBASE.txt","FBpp0087862")</f>
        <v>FBpp0087862</v>
      </c>
      <c r="BW238" s="2" t="str">
        <f>HYPERLINK("http://flybase.org/reports/FBgn0033266#alliance_summary_container","1E-32")</f>
        <v>1E-32</v>
      </c>
      <c r="BX238" s="2">
        <v>342</v>
      </c>
      <c r="BY238" s="2">
        <v>33</v>
      </c>
      <c r="BZ238" s="2">
        <v>64</v>
      </c>
      <c r="CA238" s="2">
        <v>48</v>
      </c>
      <c r="CB238" s="9" t="str">
        <f>HYPERLINK(".\links\CDD\AGAP004844-PA-CDD.txt","SH2_SOCS_family, Src homology 2 (SH2) domain found in suppressor of cytokine signaling (SOCS) family")</f>
        <v>SH2_SOCS_family, Src homology 2 (SH2) domain found in suppressor of cytokine signaling (SOCS) family</v>
      </c>
      <c r="CC238" s="15">
        <v>1.9999999999999998E-24</v>
      </c>
      <c r="CD238" s="2">
        <v>100</v>
      </c>
      <c r="CE238" s="2" t="s">
        <v>2631</v>
      </c>
      <c r="CF238" s="2" t="s">
        <v>2632</v>
      </c>
      <c r="CG238" s="9" t="str">
        <f>HYPERLINK(".\links\KOG\AGAP004844-PA-KOG.txt","Adaptor for phosphoinositide 3-kinase")</f>
        <v>Adaptor for phosphoinositide 3-kinase</v>
      </c>
      <c r="CH238" s="15">
        <v>4.0000000000000002E-9</v>
      </c>
      <c r="CI238" s="2">
        <v>28.7</v>
      </c>
      <c r="CJ238" s="2" t="s">
        <v>2633</v>
      </c>
      <c r="CK238" s="2" t="s">
        <v>173</v>
      </c>
      <c r="CL238" s="9" t="str">
        <f>HYPERLINK(".\links\PFAM\AGAP004844-PA-PFAM.txt","SH2, SH2 domain")</f>
        <v>SH2, SH2 domain</v>
      </c>
      <c r="CM238" s="15">
        <v>1.9999999999999999E-11</v>
      </c>
      <c r="CN238" s="2">
        <v>100</v>
      </c>
      <c r="CO238" s="2" t="s">
        <v>2634</v>
      </c>
      <c r="CP238" s="9" t="str">
        <f>HYPERLINK(".\links\SMART\AGAP004844-PA-SMART.txt","SH2, Src homology 2 domains")</f>
        <v>SH2, Src homology 2 domains</v>
      </c>
      <c r="CQ238" s="15">
        <v>9.9999999999999998E-17</v>
      </c>
      <c r="CR238" s="2">
        <v>94</v>
      </c>
      <c r="CS238" s="2" t="s">
        <v>2635</v>
      </c>
      <c r="CT238" s="2" t="s">
        <v>2628</v>
      </c>
      <c r="CU238" s="2" t="s">
        <v>2628</v>
      </c>
      <c r="CV238" s="2" t="s">
        <v>2628</v>
      </c>
      <c r="CW238" s="2" t="str">
        <f>HYPERLINK(".\links\pep\AGAP004844-PA-pep.txt","AGAP004844-PA")</f>
        <v>AGAP004844-PA</v>
      </c>
      <c r="CX238" s="2" t="s">
        <v>95</v>
      </c>
      <c r="CY238" s="2">
        <v>397</v>
      </c>
      <c r="CZ238" s="2" t="s">
        <v>113</v>
      </c>
      <c r="DA238" s="2" t="s">
        <v>2636</v>
      </c>
      <c r="DB238" s="2">
        <v>0</v>
      </c>
      <c r="DC238" s="2">
        <v>0</v>
      </c>
      <c r="DD238" s="2" t="str">
        <f>HYPERLINK("https://www.kegg.jp/kegg-bin/search_pathway_text?map=aga&amp;keyword=AGAP004844&amp;mode=1&amp;viewImage=true","AGAP004844")</f>
        <v>AGAP004844</v>
      </c>
      <c r="DE238" s="2" t="s">
        <v>2624</v>
      </c>
      <c r="DF238" s="2" t="s">
        <v>2625</v>
      </c>
      <c r="DG238" s="2" t="s">
        <v>94</v>
      </c>
      <c r="DH238" s="2" t="str">
        <f>HYPERLINK("https://vectorbase.org/vectorbase/app/record/gene/AGAP004844","AGAP004844-RA")</f>
        <v>AGAP004844-RA</v>
      </c>
      <c r="DI238" s="2" t="s">
        <v>135</v>
      </c>
      <c r="DJ238" s="2">
        <v>1858</v>
      </c>
      <c r="DK238" s="2" t="str">
        <f>HYPERLINK(".\links\netoglyc\AGAP004844-PA-netoglyc.txt","5")</f>
        <v>5</v>
      </c>
      <c r="DL238" s="2">
        <v>20.2</v>
      </c>
      <c r="DM238" s="2">
        <v>6</v>
      </c>
      <c r="DN238" s="2">
        <v>4.5</v>
      </c>
      <c r="DO238" s="2" t="s">
        <v>104</v>
      </c>
      <c r="DP238" s="2" t="s">
        <v>2637</v>
      </c>
      <c r="DQ238" s="2" t="str">
        <f>HYPERLINK(".\links\Sigp\AGAP004844-PA-SigP.txt","CYT")</f>
        <v>CYT</v>
      </c>
      <c r="DR238" s="2" t="s">
        <v>102</v>
      </c>
      <c r="DS238" s="2">
        <v>44.331000000000003</v>
      </c>
      <c r="DT238" s="2">
        <v>9.24</v>
      </c>
      <c r="DU238" s="2" t="s">
        <v>102</v>
      </c>
      <c r="DV238" s="2" t="s">
        <v>102</v>
      </c>
      <c r="DW238" s="2" t="s">
        <v>211</v>
      </c>
      <c r="DX238" s="2">
        <v>397</v>
      </c>
      <c r="DY238" s="12">
        <v>0</v>
      </c>
      <c r="DZ238" s="2" t="s">
        <v>102</v>
      </c>
      <c r="EA238" s="2" t="s">
        <v>102</v>
      </c>
      <c r="EB238" s="2" t="s">
        <v>102</v>
      </c>
      <c r="EC238" s="2" t="str">
        <f>HYPERLINK(".\links\gpi\AGAP004844-PA-gpi.txt","Y-NoSP")</f>
        <v>Y-NoSP</v>
      </c>
      <c r="ED238" s="2">
        <v>0.22</v>
      </c>
      <c r="EF238" s="2">
        <v>6</v>
      </c>
      <c r="EG238" s="2" t="s">
        <v>102</v>
      </c>
      <c r="EH238" s="2" t="s">
        <v>102</v>
      </c>
      <c r="EI238" s="2">
        <v>20.151133501259402</v>
      </c>
      <c r="EJ238" s="2">
        <v>4.5340050377833796</v>
      </c>
      <c r="EK238" s="2">
        <v>6.0453400503778303</v>
      </c>
      <c r="EL238" s="2">
        <v>10.579345088161199</v>
      </c>
      <c r="EM238" s="2" t="s">
        <v>102</v>
      </c>
      <c r="EN238" s="2" t="s">
        <v>102</v>
      </c>
      <c r="EO238" s="2" t="s">
        <v>102</v>
      </c>
      <c r="EP238" s="2" t="s">
        <v>102</v>
      </c>
      <c r="EQ238" s="2" t="s">
        <v>102</v>
      </c>
      <c r="ER238" s="2" t="s">
        <v>102</v>
      </c>
      <c r="ES238" s="2" t="s">
        <v>102</v>
      </c>
      <c r="ET238" s="2" t="str">
        <f>HYPERLINK(".\links\REFSEQ-INVERTEBRATE\AGAP004844-PA-REFSEQ-INVERTEBRATE.txt","AGAP004844-PA, partial")</f>
        <v>AGAP004844-PA, partial</v>
      </c>
      <c r="EU238" s="2" t="str">
        <f>HYPERLINK("http://www.ncbi.nlm.nih.gov/sutils/blink.cgi?pid=XP_001688564.1","0.0")</f>
        <v>0.0</v>
      </c>
      <c r="EV238" s="2" t="str">
        <f>HYPERLINK("http://www.ncbi.nlm.nih.gov/protein/XP_001688564.1","XP_001688564.1")</f>
        <v>XP_001688564.1</v>
      </c>
      <c r="EW238" s="2">
        <v>88</v>
      </c>
      <c r="EX238" s="2">
        <v>88</v>
      </c>
      <c r="EY238" s="2">
        <v>114</v>
      </c>
      <c r="EZ238" s="2" t="s">
        <v>105</v>
      </c>
    </row>
    <row r="239" spans="1:156" x14ac:dyDescent="0.25">
      <c r="A239" s="2" t="s">
        <v>2638</v>
      </c>
      <c r="B239" s="2">
        <v>0.29523133439779897</v>
      </c>
      <c r="C239" s="2">
        <f t="shared" si="3"/>
        <v>1.2270817225434911</v>
      </c>
      <c r="D239" s="2">
        <v>8.4806326994150396</v>
      </c>
      <c r="E239" s="2">
        <v>10.5223643703247</v>
      </c>
      <c r="F239" s="2">
        <v>1.17938494679873E-3</v>
      </c>
      <c r="G239" s="2">
        <v>3.4591781698516198E-2</v>
      </c>
      <c r="H239" s="2" t="s">
        <v>93</v>
      </c>
      <c r="I239" s="2" t="s">
        <v>94</v>
      </c>
      <c r="J239" s="2" t="str">
        <f>HYPERLINK("https://vectorbase.org/vectorbase/app/record/gene/AGAP029668","AGAP029668-RA")</f>
        <v>AGAP029668-RA</v>
      </c>
      <c r="K239" s="2" t="str">
        <f>HYPERLINK(".\links\pep\AGAP029668-PA-pep.txt","AGAP029668-PA")</f>
        <v>AGAP029668-PA</v>
      </c>
      <c r="L239" s="12" t="s">
        <v>95</v>
      </c>
      <c r="M239" s="2">
        <v>288</v>
      </c>
      <c r="N239" s="2">
        <v>0</v>
      </c>
      <c r="O239" s="2">
        <v>0</v>
      </c>
      <c r="P239" s="2" t="s">
        <v>102</v>
      </c>
      <c r="Q239" s="9" t="s">
        <v>2639</v>
      </c>
      <c r="R239" s="2" t="s">
        <v>196</v>
      </c>
      <c r="S239" s="2" t="str">
        <f>HYPERLINK(".\links\REFSEQ-INVERTEBRATE\AGAP029668-PA-REFSEQ-INVERTEBRATE.txt","REFSEQ-INVERTEBRATE")</f>
        <v>REFSEQ-INVERTEBRATE</v>
      </c>
      <c r="T239" s="2">
        <v>0</v>
      </c>
      <c r="U239" s="2">
        <v>100</v>
      </c>
      <c r="V239" s="2" t="s">
        <v>2640</v>
      </c>
      <c r="W239" s="10" t="s">
        <v>2641</v>
      </c>
      <c r="X239" s="2" t="s">
        <v>196</v>
      </c>
      <c r="Y239" s="2" t="str">
        <f>HYPERLINK(".\links\ARTHORPODA\AGAP029668-PA-ARTHORPODA.txt","ARTHORPODA")</f>
        <v>ARTHORPODA</v>
      </c>
      <c r="Z239" s="2">
        <v>0</v>
      </c>
      <c r="AA239" s="2">
        <v>100</v>
      </c>
      <c r="AB239" s="13" t="s">
        <v>102</v>
      </c>
      <c r="AC239" s="13" t="str">
        <f>HYPERLINK(".\links\Sigp\AGAP029668-PA-SigP.txt","CYT")</f>
        <v>CYT</v>
      </c>
      <c r="AD239" s="2" t="s">
        <v>102</v>
      </c>
      <c r="AE239" s="2">
        <v>31.491</v>
      </c>
      <c r="AF239" s="2">
        <v>5.3</v>
      </c>
      <c r="AG239" s="2" t="s">
        <v>102</v>
      </c>
      <c r="AH239" s="2" t="s">
        <v>102</v>
      </c>
      <c r="AI239" s="2" t="s">
        <v>211</v>
      </c>
      <c r="AJ239" s="13">
        <v>0</v>
      </c>
      <c r="AK239" s="2" t="s">
        <v>102</v>
      </c>
      <c r="AL239" s="2" t="s">
        <v>102</v>
      </c>
      <c r="AM239" s="2" t="s">
        <v>102</v>
      </c>
      <c r="AN239" s="9" t="str">
        <f>HYPERLINK(".\links\gpi\AGAP029668-PA-gpi.txt","N")</f>
        <v>N</v>
      </c>
      <c r="AO239" s="14" t="str">
        <f>HYPERLINK(".\links\netoglyc\AGAP029668-PA-netoglyc.txt","35")</f>
        <v>35</v>
      </c>
      <c r="AP239" s="13">
        <v>24.7</v>
      </c>
      <c r="AQ239" s="2">
        <v>4.5</v>
      </c>
      <c r="AR239" s="2">
        <v>2.4</v>
      </c>
      <c r="AS239" s="2" t="s">
        <v>104</v>
      </c>
      <c r="AT239" s="9" t="str">
        <f>HYPERLINK(".\links\NR-LIGHT\AGAP029668-PA-NR-LIGHT.txt","AGAP004837-PA")</f>
        <v>AGAP004837-PA</v>
      </c>
      <c r="AU239" s="2" t="str">
        <f>HYPERLINK("http://www.ncbi.nlm.nih.gov/sutils/blink.cgi?pid=XP_558285.3","1E-158")</f>
        <v>1E-158</v>
      </c>
      <c r="AV239" s="2" t="str">
        <f>HYPERLINK("http://www.ncbi.nlm.nih.gov/protein/XP_558285.3","XP_558285.3")</f>
        <v>XP_558285.3</v>
      </c>
      <c r="AW239" s="2">
        <v>100</v>
      </c>
      <c r="AX239" s="2">
        <v>100</v>
      </c>
      <c r="AY239" s="2">
        <v>100</v>
      </c>
      <c r="AZ239" s="2" t="s">
        <v>105</v>
      </c>
      <c r="BA239" s="9" t="str">
        <f>HYPERLINK(".\links\REFSEQ-INVERTEBRATE\AGAP029668-PA-REFSEQ-INVERTEBRATE.txt","AGAP004837-PA")</f>
        <v>AGAP004837-PA</v>
      </c>
      <c r="BB239" s="2" t="str">
        <f>HYPERLINK("http://www.ncbi.nlm.nih.gov/sutils/blink.cgi?pid=XP_558285.3","1E-158")</f>
        <v>1E-158</v>
      </c>
      <c r="BC239" s="2" t="str">
        <f>HYPERLINK("http://www.ncbi.nlm.nih.gov/protein/XP_558285.3","XP_558285.3")</f>
        <v>XP_558285.3</v>
      </c>
      <c r="BD239" s="2">
        <v>100</v>
      </c>
      <c r="BE239" s="2">
        <v>100</v>
      </c>
      <c r="BF239" s="2">
        <v>100</v>
      </c>
      <c r="BG239" s="2" t="s">
        <v>105</v>
      </c>
      <c r="BH239" s="9" t="str">
        <f>HYPERLINK(".\links\REFSEQ-PROTOZOA\AGAP029668-PA-REFSEQ-PROTOZOA.txt","hypothetical protein ENH_00065030")</f>
        <v>hypothetical protein ENH_00065030</v>
      </c>
      <c r="BI239" s="2" t="str">
        <f>HYPERLINK("http://www.ncbi.nlm.nih.gov/sutils/blink.cgi?pid=XP_013437685.1","1E-011")</f>
        <v>1E-011</v>
      </c>
      <c r="BJ239" s="2" t="str">
        <f>HYPERLINK("http://www.ncbi.nlm.nih.gov/protein/XP_013437685.1","XP_013437685.1")</f>
        <v>XP_013437685.1</v>
      </c>
      <c r="BK239" s="2">
        <v>32</v>
      </c>
      <c r="BL239" s="2">
        <v>60</v>
      </c>
      <c r="BM239" s="2">
        <v>24</v>
      </c>
      <c r="BN239" s="2" t="s">
        <v>2642</v>
      </c>
      <c r="BO239" s="9" t="str">
        <f>HYPERLINK(".\links\SWISSP\AGAP029668-PA-SWISSP.txt","Cell wall integrity and stress response component 3")</f>
        <v>Cell wall integrity and stress response component 3</v>
      </c>
      <c r="BP239" s="2" t="str">
        <f>HYPERLINK("http://www.uniprot.org/uniprot/Q12215","8E-010")</f>
        <v>8E-010</v>
      </c>
      <c r="BQ239" s="2" t="str">
        <f>HYPERLINK("http://www.uniprot.org/uniprot/Q12215#expression","Q12215")</f>
        <v>Q12215</v>
      </c>
      <c r="BR239" s="2">
        <v>38</v>
      </c>
      <c r="BS239" s="2">
        <v>59</v>
      </c>
      <c r="BT239" s="2">
        <v>19</v>
      </c>
      <c r="BU239" s="2" t="s">
        <v>1003</v>
      </c>
      <c r="BV239" s="9" t="str">
        <f>HYPERLINK(".\links\FLYBASE\AGAP029668-PA-FLYBASE.txt","FBpp0300893")</f>
        <v>FBpp0300893</v>
      </c>
      <c r="BW239" s="2" t="str">
        <f>HYPERLINK("http://flybase.org/reports/FBgn0035087#alliance_summary_container","3E-65")</f>
        <v>3E-65</v>
      </c>
      <c r="BX239" s="2">
        <v>243</v>
      </c>
      <c r="BY239" s="2">
        <v>43</v>
      </c>
      <c r="BZ239" s="2">
        <v>58</v>
      </c>
      <c r="CA239" s="2">
        <v>115</v>
      </c>
      <c r="CB239" s="9" t="str">
        <f>HYPERLINK(".\links\CDD\AGAP029668-PA-CDD.txt","Spot_14, Thyroid hormone-inducible hepatic protein Spot 14")</f>
        <v>Spot_14, Thyroid hormone-inducible hepatic protein Spot 14</v>
      </c>
      <c r="CC239" s="15">
        <v>6.9999999999999994E-5</v>
      </c>
      <c r="CD239" s="2">
        <v>40.4</v>
      </c>
      <c r="CE239" s="2" t="s">
        <v>2643</v>
      </c>
      <c r="CF239" s="2" t="s">
        <v>2644</v>
      </c>
      <c r="CG239" s="9" t="str">
        <f>HYPERLINK(".\links\KOG\AGAP029668-PA-KOG.txt","FYVE finger-containing proteins")</f>
        <v>FYVE finger-containing proteins</v>
      </c>
      <c r="CH239" s="15">
        <v>1.4E-2</v>
      </c>
      <c r="CI239" s="2">
        <v>17.100000000000001</v>
      </c>
      <c r="CJ239" s="2" t="s">
        <v>2645</v>
      </c>
      <c r="CK239" s="2" t="s">
        <v>191</v>
      </c>
      <c r="CL239" s="9" t="str">
        <f>HYPERLINK(".\links\PFAM\AGAP029668-PA-PFAM.txt","Spot_14, Thyroid hormone-inducible hepatic protein Spot 14")</f>
        <v>Spot_14, Thyroid hormone-inducible hepatic protein Spot 14</v>
      </c>
      <c r="CM239" s="15">
        <v>2.0000000000000002E-5</v>
      </c>
      <c r="CN239" s="2">
        <v>40.4</v>
      </c>
      <c r="CO239" s="2" t="s">
        <v>2643</v>
      </c>
      <c r="CP239" s="9" t="str">
        <f>HYPERLINK(".\links\SMART\AGAP029668-PA-SMART.txt","SPT2, SPT2 chromatin protein")</f>
        <v>SPT2, SPT2 chromatin protein</v>
      </c>
      <c r="CQ239" s="15">
        <v>1.3</v>
      </c>
      <c r="CR239" s="2">
        <v>32.1</v>
      </c>
      <c r="CS239" s="2" t="s">
        <v>2646</v>
      </c>
      <c r="CT239" s="2" t="s">
        <v>2640</v>
      </c>
      <c r="CU239" s="2" t="s">
        <v>2640</v>
      </c>
      <c r="CV239" s="2" t="s">
        <v>2640</v>
      </c>
      <c r="CW239" s="2" t="str">
        <f>HYPERLINK(".\links\pep\AGAP029668-PA-pep.txt","AGAP029668-PA")</f>
        <v>AGAP029668-PA</v>
      </c>
      <c r="CX239" s="2" t="s">
        <v>95</v>
      </c>
      <c r="CY239" s="2">
        <v>288</v>
      </c>
      <c r="CZ239" s="2" t="s">
        <v>113</v>
      </c>
      <c r="DA239" s="2" t="s">
        <v>2647</v>
      </c>
      <c r="DB239" s="2">
        <v>0</v>
      </c>
      <c r="DC239" s="2">
        <v>0</v>
      </c>
      <c r="DD239" s="2" t="str">
        <f>HYPERLINK("https://www.kegg.jp/kegg-bin/search_pathway_text?map=aga&amp;keyword=AGAP029668&amp;mode=1&amp;viewImage=true","AGAP029668")</f>
        <v>AGAP029668</v>
      </c>
      <c r="DE239" s="2" t="s">
        <v>2638</v>
      </c>
      <c r="DF239" s="2" t="s">
        <v>93</v>
      </c>
      <c r="DG239" s="2" t="s">
        <v>94</v>
      </c>
      <c r="DH239" s="2" t="str">
        <f>HYPERLINK("https://vectorbase.org/vectorbase/app/record/gene/AGAP029668","AGAP029668-RA")</f>
        <v>AGAP029668-RA</v>
      </c>
      <c r="DI239" s="2" t="s">
        <v>118</v>
      </c>
      <c r="DJ239" s="2">
        <v>5148</v>
      </c>
      <c r="DK239" s="2" t="str">
        <f>HYPERLINK(".\links\netoglyc\AGAP029668-PA-netoglyc.txt","35")</f>
        <v>35</v>
      </c>
      <c r="DL239" s="2">
        <v>24.7</v>
      </c>
      <c r="DM239" s="2">
        <v>4.5</v>
      </c>
      <c r="DN239" s="2">
        <v>2.4</v>
      </c>
      <c r="DO239" s="2" t="s">
        <v>104</v>
      </c>
      <c r="DP239" s="2" t="s">
        <v>102</v>
      </c>
      <c r="DQ239" s="2" t="str">
        <f>HYPERLINK(".\links\Sigp\AGAP029668-PA-SigP.txt","CYT")</f>
        <v>CYT</v>
      </c>
      <c r="DR239" s="2" t="s">
        <v>102</v>
      </c>
      <c r="DS239" s="2">
        <v>31.491</v>
      </c>
      <c r="DT239" s="2">
        <v>5.3</v>
      </c>
      <c r="DU239" s="2" t="s">
        <v>102</v>
      </c>
      <c r="DV239" s="2" t="s">
        <v>102</v>
      </c>
      <c r="DW239" s="2" t="s">
        <v>211</v>
      </c>
      <c r="DX239" s="2">
        <v>288</v>
      </c>
      <c r="DY239" s="12">
        <v>0</v>
      </c>
      <c r="DZ239" s="2" t="s">
        <v>102</v>
      </c>
      <c r="EA239" s="2" t="s">
        <v>102</v>
      </c>
      <c r="EB239" s="2" t="s">
        <v>102</v>
      </c>
      <c r="EC239" s="2" t="str">
        <f>HYPERLINK(".\links\gpi\AGAP029668-PA-gpi.txt","Y-NoSP")</f>
        <v>Y-NoSP</v>
      </c>
      <c r="ED239" s="2">
        <v>0.37</v>
      </c>
      <c r="EF239" s="2">
        <v>2</v>
      </c>
      <c r="EG239" s="2" t="s">
        <v>102</v>
      </c>
      <c r="EH239" s="2" t="s">
        <v>102</v>
      </c>
      <c r="EI239" s="2">
        <v>24.6527777777778</v>
      </c>
      <c r="EJ239" s="2">
        <v>2.4305555555555598</v>
      </c>
      <c r="EK239" s="2">
        <v>4.5138888888888902</v>
      </c>
      <c r="EL239" s="2">
        <v>6.9444444444444402</v>
      </c>
      <c r="EM239" s="2" t="s">
        <v>102</v>
      </c>
      <c r="EN239" s="2">
        <v>1</v>
      </c>
      <c r="EO239" s="2">
        <v>1</v>
      </c>
      <c r="EP239" s="2" t="s">
        <v>102</v>
      </c>
      <c r="EQ239" s="2" t="s">
        <v>102</v>
      </c>
      <c r="ER239" s="2" t="s">
        <v>102</v>
      </c>
      <c r="ES239" s="2" t="s">
        <v>102</v>
      </c>
      <c r="ET239" s="2" t="str">
        <f>HYPERLINK(".\links\REFSEQ-INVERTEBRATE\AGAP029668-PA-REFSEQ-INVERTEBRATE.txt","AGAP004837-PA")</f>
        <v>AGAP004837-PA</v>
      </c>
      <c r="EU239" s="2" t="str">
        <f>HYPERLINK("http://www.ncbi.nlm.nih.gov/sutils/blink.cgi?pid=XP_558285.3","0.0")</f>
        <v>0.0</v>
      </c>
      <c r="EV239" s="2" t="str">
        <f>HYPERLINK("http://www.ncbi.nlm.nih.gov/protein/XP_558285.3","XP_558285.3")</f>
        <v>XP_558285.3</v>
      </c>
      <c r="EW239" s="2">
        <v>100</v>
      </c>
      <c r="EX239" s="2">
        <v>100</v>
      </c>
      <c r="EY239" s="2">
        <v>100</v>
      </c>
      <c r="EZ239" s="2" t="s">
        <v>105</v>
      </c>
    </row>
    <row r="240" spans="1:156" x14ac:dyDescent="0.25">
      <c r="A240" s="2" t="s">
        <v>2648</v>
      </c>
      <c r="B240" s="2">
        <v>0.29457915666365903</v>
      </c>
      <c r="C240" s="2">
        <f t="shared" si="3"/>
        <v>1.2265271392825219</v>
      </c>
      <c r="D240" s="2">
        <v>7.3716008428617101</v>
      </c>
      <c r="E240" s="2">
        <v>13.2667892102076</v>
      </c>
      <c r="F240" s="2">
        <v>2.7014949888295E-4</v>
      </c>
      <c r="G240" s="2">
        <v>1.86084079363509E-2</v>
      </c>
      <c r="H240" s="2" t="s">
        <v>2649</v>
      </c>
      <c r="I240" s="2" t="s">
        <v>94</v>
      </c>
      <c r="J240" s="2" t="str">
        <f>HYPERLINK("https://vectorbase.org/vectorbase/app/record/gene/AGAP001065","AGAP001065-RG")</f>
        <v>AGAP001065-RG</v>
      </c>
      <c r="K240" s="2" t="str">
        <f>HYPERLINK(".\links\pep\AGAP001065-PG-pep.txt","AGAP001065-PG")</f>
        <v>AGAP001065-PG</v>
      </c>
      <c r="L240" s="12" t="s">
        <v>95</v>
      </c>
      <c r="M240" s="2">
        <v>467</v>
      </c>
      <c r="N240" s="2">
        <v>0</v>
      </c>
      <c r="O240" s="2">
        <v>2</v>
      </c>
      <c r="P240" s="2" t="s">
        <v>2650</v>
      </c>
      <c r="Q240" s="9" t="s">
        <v>2651</v>
      </c>
      <c r="R240" s="2" t="s">
        <v>1558</v>
      </c>
      <c r="S240" s="2" t="str">
        <f>HYPERLINK(".\links\KOG\AGAP001065-PG-KOG.txt","KOG")</f>
        <v>KOG</v>
      </c>
      <c r="T240" s="2">
        <v>0</v>
      </c>
      <c r="U240" s="2">
        <v>97.6</v>
      </c>
      <c r="V240" s="2" t="s">
        <v>2652</v>
      </c>
      <c r="W240" s="10" t="s">
        <v>183</v>
      </c>
      <c r="X240" s="2" t="s">
        <v>1558</v>
      </c>
      <c r="Y240" s="2" t="str">
        <f>HYPERLINK(".\links\COG\AGAP001065-PG-COG.txt","COG")</f>
        <v>COG</v>
      </c>
      <c r="Z240" s="15">
        <v>0</v>
      </c>
      <c r="AA240" s="2">
        <v>97.5</v>
      </c>
      <c r="AB240" s="13" t="str">
        <f>HYPERLINK(".\links\pep\AGAP001065-PG-sulf.txt","3")</f>
        <v>3</v>
      </c>
      <c r="AC240" s="13" t="str">
        <f>HYPERLINK(".\links\Sigp\AGAP001065-PG-SigP.txt","CYT")</f>
        <v>CYT</v>
      </c>
      <c r="AD240" s="2" t="s">
        <v>102</v>
      </c>
      <c r="AE240" s="2">
        <v>51.817</v>
      </c>
      <c r="AF240" s="2">
        <v>6.62</v>
      </c>
      <c r="AG240" s="2" t="s">
        <v>102</v>
      </c>
      <c r="AH240" s="2" t="s">
        <v>102</v>
      </c>
      <c r="AI240" s="2" t="s">
        <v>2653</v>
      </c>
      <c r="AJ240" s="13">
        <v>0</v>
      </c>
      <c r="AK240" s="2" t="s">
        <v>102</v>
      </c>
      <c r="AL240" s="2" t="s">
        <v>102</v>
      </c>
      <c r="AM240" s="2" t="s">
        <v>102</v>
      </c>
      <c r="AN240" s="13" t="str">
        <f>HYPERLINK(".\links\gpi\AGAP001065-PG-gpi.txt","N")</f>
        <v>N</v>
      </c>
      <c r="AO240" s="14" t="str">
        <f>HYPERLINK(".\links\netoglyc\AGAP001065-PG-netoglyc.txt","0")</f>
        <v>0</v>
      </c>
      <c r="AP240" s="13">
        <v>11.3</v>
      </c>
      <c r="AQ240" s="2">
        <v>8.1</v>
      </c>
      <c r="AR240" s="2">
        <v>4.7</v>
      </c>
      <c r="AS240" s="2" t="s">
        <v>104</v>
      </c>
      <c r="AT240" s="9" t="str">
        <f>HYPERLINK(".\links\NR-LIGHT\AGAP001065-PG-NR-LIGHT.txt","AGAP001065-PA")</f>
        <v>AGAP001065-PA</v>
      </c>
      <c r="AU240" s="2" t="str">
        <f>HYPERLINK("http://www.ncbi.nlm.nih.gov/sutils/blink.cgi?pid=XP_318298.5","0.0")</f>
        <v>0.0</v>
      </c>
      <c r="AV240" s="2" t="str">
        <f>HYPERLINK("http://www.ncbi.nlm.nih.gov/protein/XP_318298.5","XP_318298.5")</f>
        <v>XP_318298.5</v>
      </c>
      <c r="AW240" s="2">
        <v>100</v>
      </c>
      <c r="AX240" s="2">
        <v>100</v>
      </c>
      <c r="AY240" s="2">
        <v>100</v>
      </c>
      <c r="AZ240" s="2" t="s">
        <v>105</v>
      </c>
      <c r="BA240" s="9" t="str">
        <f>HYPERLINK(".\links\REFSEQ-INVERTEBRATE\AGAP001065-PG-REFSEQ-INVERTEBRATE.txt","AGAP001065-PH")</f>
        <v>AGAP001065-PH</v>
      </c>
      <c r="BB240" s="2" t="str">
        <f>HYPERLINK("http://www.ncbi.nlm.nih.gov/sutils/blink.cgi?pid=XP_003437203.1","0.0")</f>
        <v>0.0</v>
      </c>
      <c r="BC240" s="2" t="str">
        <f>HYPERLINK("http://www.ncbi.nlm.nih.gov/protein/XP_003437203.1","XP_003437203.1")</f>
        <v>XP_003437203.1</v>
      </c>
      <c r="BD240" s="2">
        <v>100</v>
      </c>
      <c r="BE240" s="2">
        <v>100</v>
      </c>
      <c r="BF240" s="2">
        <v>100</v>
      </c>
      <c r="BG240" s="2" t="s">
        <v>105</v>
      </c>
      <c r="BH240" s="9" t="str">
        <f>HYPERLINK(".\links\REFSEQ-PROTOZOA\AGAP001065-PG-REFSEQ-PROTOZOA.txt","serine hydroxymethyltransferase")</f>
        <v>serine hydroxymethyltransferase</v>
      </c>
      <c r="BI240" s="2" t="str">
        <f>HYPERLINK("http://www.ncbi.nlm.nih.gov/sutils/blink.cgi?pid=XP_004364043.2","1E-163")</f>
        <v>1E-163</v>
      </c>
      <c r="BJ240" s="2" t="str">
        <f>HYPERLINK("http://www.ncbi.nlm.nih.gov/protein/XP_004364043.2","XP_004364043.2")</f>
        <v>XP_004364043.2</v>
      </c>
      <c r="BK240" s="2">
        <v>62</v>
      </c>
      <c r="BL240" s="2">
        <v>77</v>
      </c>
      <c r="BM240" s="2">
        <v>90</v>
      </c>
      <c r="BN240" s="2" t="s">
        <v>106</v>
      </c>
      <c r="BO240" s="9" t="str">
        <f>HYPERLINK(".\links\SWISSP\AGAP001065-PG-SWISSP.txt","Serine hydroxymethyltransferase, cytosolic")</f>
        <v>Serine hydroxymethyltransferase, cytosolic</v>
      </c>
      <c r="BP240" s="2" t="str">
        <f>HYPERLINK("http://www.uniprot.org/uniprot/P07511","1E-176")</f>
        <v>1E-176</v>
      </c>
      <c r="BQ240" s="2" t="str">
        <f>HYPERLINK("http://www.uniprot.org/uniprot/P07511#expression","P07511")</f>
        <v>P07511</v>
      </c>
      <c r="BR240" s="2">
        <v>65</v>
      </c>
      <c r="BS240" s="2">
        <v>78</v>
      </c>
      <c r="BT240" s="2">
        <v>97</v>
      </c>
      <c r="BU240" s="2" t="s">
        <v>2654</v>
      </c>
      <c r="BV240" s="9" t="str">
        <f>HYPERLINK(".\links\FLYBASE\AGAP001065-PG-FLYBASE.txt","FBpp0311477")</f>
        <v>FBpp0311477</v>
      </c>
      <c r="BW240" s="2" t="str">
        <f>HYPERLINK("http://flybase.org/reports/FBgn0029823#alliance_summary_container","0.0")</f>
        <v>0.0</v>
      </c>
      <c r="BX240" s="2">
        <v>467</v>
      </c>
      <c r="BY240" s="2">
        <v>70</v>
      </c>
      <c r="BZ240" s="2">
        <v>83</v>
      </c>
      <c r="CA240" s="2">
        <v>99</v>
      </c>
      <c r="CB240" s="9" t="str">
        <f>HYPERLINK(".\links\CDD\AGAP001065-PG-CDD.txt","PLN03226, serine hydroxymethyltransferase")</f>
        <v>PLN03226, serine hydroxymethyltransferase</v>
      </c>
      <c r="CC240" s="15">
        <v>0</v>
      </c>
      <c r="CD240" s="2">
        <v>97.7</v>
      </c>
      <c r="CE240" s="2" t="s">
        <v>2655</v>
      </c>
      <c r="CF240" s="2" t="s">
        <v>2656</v>
      </c>
      <c r="CG240" s="9" t="str">
        <f>HYPERLINK(".\links\KOG\AGAP001065-PG-KOG.txt","Glycine/serine hydroxymethyltransferase")</f>
        <v>Glycine/serine hydroxymethyltransferase</v>
      </c>
      <c r="CH240" s="15">
        <v>0</v>
      </c>
      <c r="CI240" s="2">
        <v>97.7</v>
      </c>
      <c r="CJ240" s="2" t="s">
        <v>2657</v>
      </c>
      <c r="CK240" s="2" t="s">
        <v>267</v>
      </c>
      <c r="CL240" s="9" t="str">
        <f>HYPERLINK(".\links\PFAM\AGAP001065-PG-PFAM.txt","SHMT, Serine hydroxymethyltransferase")</f>
        <v>SHMT, Serine hydroxymethyltransferase</v>
      </c>
      <c r="CM240" s="15">
        <v>0</v>
      </c>
      <c r="CN240" s="2">
        <v>105.3</v>
      </c>
      <c r="CO240" s="2" t="s">
        <v>2658</v>
      </c>
      <c r="CP240" s="9" t="str">
        <f>HYPERLINK(".\links\SMART\AGAP001065-PG-SMART.txt","FAS1, Four repeated domains in the Fasciclin I family of proteins, present in many other contexts")</f>
        <v>FAS1, Four repeated domains in the Fasciclin I family of proteins, present in many other contexts</v>
      </c>
      <c r="CQ240" s="15">
        <v>0.38</v>
      </c>
      <c r="CR240" s="2">
        <v>46.4</v>
      </c>
      <c r="CS240" s="2" t="s">
        <v>2659</v>
      </c>
      <c r="CT240" s="2" t="s">
        <v>2652</v>
      </c>
      <c r="CU240" s="2" t="s">
        <v>2652</v>
      </c>
      <c r="CV240" s="2" t="s">
        <v>2652</v>
      </c>
      <c r="CW240" s="2" t="str">
        <f>HYPERLINK(".\links\pep\AGAP001065-PG-pep.txt","AGAP001065-PG")</f>
        <v>AGAP001065-PG</v>
      </c>
      <c r="CX240" s="2" t="s">
        <v>95</v>
      </c>
      <c r="CY240" s="2">
        <v>467</v>
      </c>
      <c r="CZ240" s="2" t="s">
        <v>113</v>
      </c>
      <c r="DA240" s="2" t="s">
        <v>2660</v>
      </c>
      <c r="DB240" s="2">
        <v>0</v>
      </c>
      <c r="DC240" s="2">
        <v>2</v>
      </c>
      <c r="DD240" s="2" t="str">
        <f>HYPERLINK("https://www.kegg.jp/kegg-bin/search_pathway_text?map=aga&amp;keyword=AGAP001065&amp;mode=1&amp;viewImage=true","AGAP001065")</f>
        <v>AGAP001065</v>
      </c>
      <c r="DE240" s="2" t="s">
        <v>2648</v>
      </c>
      <c r="DF240" s="2" t="s">
        <v>2649</v>
      </c>
      <c r="DG240" s="2" t="s">
        <v>94</v>
      </c>
      <c r="DH240" s="2" t="str">
        <f>HYPERLINK("https://vectorbase.org/vectorbase/app/record/gene/AGAP001065","AGAP001065-RG")</f>
        <v>AGAP001065-RG</v>
      </c>
      <c r="DI240" s="2" t="s">
        <v>115</v>
      </c>
      <c r="DJ240" s="2">
        <v>1806</v>
      </c>
      <c r="DK240" s="2" t="str">
        <f>HYPERLINK(".\links\netoglyc\AGAP001065-PG-netoglyc.txt","0")</f>
        <v>0</v>
      </c>
      <c r="DL240" s="2">
        <v>11.3</v>
      </c>
      <c r="DM240" s="2">
        <v>8.1</v>
      </c>
      <c r="DN240" s="2">
        <v>4.7</v>
      </c>
      <c r="DO240" s="2" t="s">
        <v>104</v>
      </c>
      <c r="DP240" s="2" t="s">
        <v>102</v>
      </c>
      <c r="DQ240" s="2" t="str">
        <f>HYPERLINK(".\links\Sigp\AGAP001065-PG-SigP.txt","CYT")</f>
        <v>CYT</v>
      </c>
      <c r="DR240" s="2" t="s">
        <v>102</v>
      </c>
      <c r="DS240" s="2">
        <v>51.817</v>
      </c>
      <c r="DT240" s="2">
        <v>6.62</v>
      </c>
      <c r="DU240" s="2" t="s">
        <v>102</v>
      </c>
      <c r="DV240" s="2" t="s">
        <v>102</v>
      </c>
      <c r="DW240" s="2" t="s">
        <v>2653</v>
      </c>
      <c r="DX240" s="2">
        <v>467</v>
      </c>
      <c r="DY240" s="12">
        <v>0</v>
      </c>
      <c r="DZ240" s="2" t="s">
        <v>102</v>
      </c>
      <c r="EA240" s="2" t="s">
        <v>102</v>
      </c>
      <c r="EB240" s="2" t="s">
        <v>102</v>
      </c>
      <c r="EC240" s="2" t="str">
        <f>HYPERLINK(".\links\gpi\AGAP001065-PG-gpi.txt","Y-NoSP")</f>
        <v>Y-NoSP</v>
      </c>
      <c r="ED240" s="2">
        <v>0.14000000000000001</v>
      </c>
      <c r="EF240" s="2">
        <v>8</v>
      </c>
      <c r="EG240" s="2" t="str">
        <f>HYPERLINK(".\links\pep\AGAP001065-PG-sulf.txt","3")</f>
        <v>3</v>
      </c>
      <c r="EH240" s="2" t="s">
        <v>102</v>
      </c>
      <c r="EI240" s="2">
        <v>11.349036402569601</v>
      </c>
      <c r="EJ240" s="2">
        <v>4.7109207708779399</v>
      </c>
      <c r="EK240" s="2">
        <v>8.1370449678800796</v>
      </c>
      <c r="EL240" s="2">
        <v>12.847965738758001</v>
      </c>
      <c r="EM240" s="2">
        <v>2</v>
      </c>
      <c r="EN240" s="2">
        <v>2</v>
      </c>
      <c r="EO240" s="2">
        <v>4</v>
      </c>
      <c r="EP240" s="2" t="s">
        <v>102</v>
      </c>
      <c r="EQ240" s="2" t="s">
        <v>102</v>
      </c>
      <c r="ER240" s="2" t="s">
        <v>102</v>
      </c>
      <c r="ES240" s="2" t="s">
        <v>102</v>
      </c>
      <c r="ET240" s="2" t="str">
        <f>HYPERLINK(".\links\REFSEQ-INVERTEBRATE\AGAP001065-PG-REFSEQ-INVERTEBRATE.txt","AGAP001065-PH")</f>
        <v>AGAP001065-PH</v>
      </c>
      <c r="EU240" s="2" t="str">
        <f>HYPERLINK("http://www.ncbi.nlm.nih.gov/sutils/blink.cgi?pid=XP_003437203.1","0.0")</f>
        <v>0.0</v>
      </c>
      <c r="EV240" s="2" t="str">
        <f>HYPERLINK("http://www.ncbi.nlm.nih.gov/protein/XP_003437203.1","XP_003437203.1")</f>
        <v>XP_003437203.1</v>
      </c>
      <c r="EW240" s="2">
        <v>100</v>
      </c>
      <c r="EX240" s="2">
        <v>100</v>
      </c>
      <c r="EY240" s="2">
        <v>100</v>
      </c>
      <c r="EZ240" s="2" t="s">
        <v>105</v>
      </c>
    </row>
    <row r="241" spans="1:156" x14ac:dyDescent="0.25">
      <c r="A241" s="2" t="s">
        <v>2661</v>
      </c>
      <c r="B241" s="2">
        <v>0.294073483243115</v>
      </c>
      <c r="C241" s="2">
        <f t="shared" si="3"/>
        <v>1.2260973093647605</v>
      </c>
      <c r="D241" s="2">
        <v>6.1049664401749899</v>
      </c>
      <c r="E241" s="2">
        <v>10.162516338084201</v>
      </c>
      <c r="F241" s="2">
        <v>1.43324864699438E-3</v>
      </c>
      <c r="G241" s="2">
        <v>3.7152645524746501E-2</v>
      </c>
      <c r="H241" s="2" t="s">
        <v>93</v>
      </c>
      <c r="I241" s="2" t="s">
        <v>94</v>
      </c>
      <c r="J241" s="2" t="str">
        <f>HYPERLINK("https://vectorbase.org/vectorbase/app/record/gene/AGAP004640","AGAP004640-RA")</f>
        <v>AGAP004640-RA</v>
      </c>
      <c r="K241" s="2" t="str">
        <f>HYPERLINK(".\links\pep\AGAP004640-PA-pep.txt","AGAP004640-PA")</f>
        <v>AGAP004640-PA</v>
      </c>
      <c r="L241" s="12" t="s">
        <v>95</v>
      </c>
      <c r="M241" s="2">
        <v>684</v>
      </c>
      <c r="N241" s="2">
        <v>0</v>
      </c>
      <c r="O241" s="2">
        <v>1</v>
      </c>
      <c r="P241" s="2" t="s">
        <v>102</v>
      </c>
      <c r="Q241" s="9" t="s">
        <v>2662</v>
      </c>
      <c r="R241" s="2" t="s">
        <v>2663</v>
      </c>
      <c r="S241" s="2" t="str">
        <f>HYPERLINK(".\links\SWISSP\AGAP004640-PA-SWISSP.txt","SWISSP")</f>
        <v>SWISSP</v>
      </c>
      <c r="T241" s="2">
        <v>4E-51</v>
      </c>
      <c r="U241" s="2">
        <v>65.599999999999994</v>
      </c>
      <c r="V241" s="2" t="s">
        <v>2664</v>
      </c>
      <c r="W241" s="10" t="s">
        <v>2665</v>
      </c>
      <c r="X241" s="2" t="s">
        <v>2663</v>
      </c>
      <c r="Y241" s="2" t="str">
        <f>HYPERLINK(".\links\REFSEQ-INVERTEBRATE\AGAP004640-PA-REFSEQ-INVERTEBRATE.txt","REFSEQ-INVERTEBRATE")</f>
        <v>REFSEQ-INVERTEBRATE</v>
      </c>
      <c r="Z241" s="2">
        <v>0</v>
      </c>
      <c r="AA241" s="2">
        <v>100.8</v>
      </c>
      <c r="AB241" s="13" t="str">
        <f>HYPERLINK(".\links\pep\AGAP004640-PA-sulf.txt","1")</f>
        <v>1</v>
      </c>
      <c r="AC241" s="13" t="str">
        <f>HYPERLINK(".\links\Sigp\AGAP004640-PA-SigP.txt","CYT")</f>
        <v>CYT</v>
      </c>
      <c r="AD241" s="2" t="s">
        <v>102</v>
      </c>
      <c r="AE241" s="2">
        <v>73.855999999999995</v>
      </c>
      <c r="AF241" s="2">
        <v>6.47</v>
      </c>
      <c r="AG241" s="2" t="s">
        <v>102</v>
      </c>
      <c r="AH241" s="2" t="s">
        <v>102</v>
      </c>
      <c r="AI241" s="2" t="s">
        <v>2666</v>
      </c>
      <c r="AJ241" s="13" t="str">
        <f>HYPERLINK(".\links\tmhmm\AGAP004640-PA-tmhmm.txt","3")</f>
        <v>3</v>
      </c>
      <c r="AK241" s="2">
        <v>8.9</v>
      </c>
      <c r="AL241" s="2">
        <v>64.3</v>
      </c>
      <c r="AM241" s="2">
        <v>26.8</v>
      </c>
      <c r="AN241" s="13" t="str">
        <f>HYPERLINK(".\links\gpi\AGAP004640-PA-gpi.txt","N")</f>
        <v>N</v>
      </c>
      <c r="AO241" s="14" t="str">
        <f>HYPERLINK(".\links\netoglyc\AGAP004640-PA-netoglyc.txt","13")</f>
        <v>13</v>
      </c>
      <c r="AP241" s="13">
        <v>19.399999999999999</v>
      </c>
      <c r="AQ241" s="2">
        <v>8.1999999999999993</v>
      </c>
      <c r="AR241" s="2">
        <v>5.3</v>
      </c>
      <c r="AS241" s="2" t="s">
        <v>104</v>
      </c>
      <c r="AT241" s="9" t="str">
        <f>HYPERLINK(".\links\NR-LIGHT\AGAP004640-PA-NR-LIGHT.txt","AGAP004640-PA")</f>
        <v>AGAP004640-PA</v>
      </c>
      <c r="AU241" s="2" t="str">
        <f>HYPERLINK("http://www.ncbi.nlm.nih.gov/sutils/blink.cgi?pid=XP_557438.4","0.0")</f>
        <v>0.0</v>
      </c>
      <c r="AV241" s="2" t="str">
        <f>HYPERLINK("http://www.ncbi.nlm.nih.gov/protein/XP_557438.4","XP_557438.4")</f>
        <v>XP_557438.4</v>
      </c>
      <c r="AW241" s="2">
        <v>100</v>
      </c>
      <c r="AX241" s="2">
        <v>100</v>
      </c>
      <c r="AY241" s="2">
        <v>100</v>
      </c>
      <c r="AZ241" s="2" t="s">
        <v>105</v>
      </c>
      <c r="BA241" s="9" t="str">
        <f>HYPERLINK(".\links\REFSEQ-INVERTEBRATE\AGAP004640-PA-REFSEQ-INVERTEBRATE.txt","AGAP004640-PB")</f>
        <v>AGAP004640-PB</v>
      </c>
      <c r="BB241" s="2" t="str">
        <f>HYPERLINK("http://www.ncbi.nlm.nih.gov/sutils/blink.cgi?pid=XP_003436880.1","0.0")</f>
        <v>0.0</v>
      </c>
      <c r="BC241" s="2" t="str">
        <f>HYPERLINK("http://www.ncbi.nlm.nih.gov/protein/XP_003436880.1","XP_003436880.1")</f>
        <v>XP_003436880.1</v>
      </c>
      <c r="BD241" s="2">
        <v>100</v>
      </c>
      <c r="BE241" s="2">
        <v>100</v>
      </c>
      <c r="BF241" s="2">
        <v>100</v>
      </c>
      <c r="BG241" s="2" t="s">
        <v>105</v>
      </c>
      <c r="BH241" s="9" t="str">
        <f>HYPERLINK(".\links\REFSEQ-PROTOZOA\AGAP004640-PA-REFSEQ-PROTOZOA.txt","hypothetical protein PPL_01254")</f>
        <v>hypothetical protein PPL_01254</v>
      </c>
      <c r="BI241" s="2" t="str">
        <f>HYPERLINK("http://www.ncbi.nlm.nih.gov/sutils/blink.cgi?pid=XP_020438127.1","1E-043")</f>
        <v>1E-043</v>
      </c>
      <c r="BJ241" s="2" t="str">
        <f>HYPERLINK("http://www.ncbi.nlm.nih.gov/protein/XP_020438127.1","XP_020438127.1")</f>
        <v>XP_020438127.1</v>
      </c>
      <c r="BK241" s="2">
        <v>25</v>
      </c>
      <c r="BL241" s="2">
        <v>49</v>
      </c>
      <c r="BM241" s="2">
        <v>96</v>
      </c>
      <c r="BN241" s="2" t="s">
        <v>762</v>
      </c>
      <c r="BO241" s="9" t="str">
        <f>HYPERLINK(".\links\SWISSP\AGAP004640-PA-SWISSP.txt","RING finger and transmembrane domain-containing protein 2")</f>
        <v>RING finger and transmembrane domain-containing protein 2</v>
      </c>
      <c r="BP241" s="2" t="str">
        <f>HYPERLINK("http://www.uniprot.org/uniprot/Q3UF64","4E-051")</f>
        <v>4E-051</v>
      </c>
      <c r="BQ241" s="2" t="str">
        <f>HYPERLINK("http://www.uniprot.org/uniprot/Q3UF64#expression","Q3UF64")</f>
        <v>Q3UF64</v>
      </c>
      <c r="BR241" s="2">
        <v>36</v>
      </c>
      <c r="BS241" s="2">
        <v>57</v>
      </c>
      <c r="BT241" s="2">
        <v>66</v>
      </c>
      <c r="BU241" s="2" t="s">
        <v>662</v>
      </c>
      <c r="BV241" s="9" t="str">
        <f>HYPERLINK(".\links\FLYBASE\AGAP004640-PA-FLYBASE.txt","FBpp0289929")</f>
        <v>FBpp0289929</v>
      </c>
      <c r="BW241" s="2" t="str">
        <f>HYPERLINK("http://flybase.org/reports/FBgn0039150#alliance_summary_container","8E-75")</f>
        <v>8E-75</v>
      </c>
      <c r="BX241" s="2">
        <v>669</v>
      </c>
      <c r="BY241" s="2">
        <v>36</v>
      </c>
      <c r="BZ241" s="2">
        <v>59</v>
      </c>
      <c r="CA241" s="2">
        <v>48</v>
      </c>
      <c r="CB241" s="9" t="str">
        <f>HYPERLINK(".\links\CDD\AGAP004640-PA-CDD.txt","RING-HC_RNFT1_like, RING finger, HC subclass, found in RING finger and transmembrane domain-containing protein RNFT1, RNFT2, and similar proteins")</f>
        <v>RING-HC_RNFT1_like, RING finger, HC subclass, found in RING finger and transmembrane domain-containing protein RNFT1, RNFT2, and similar proteins</v>
      </c>
      <c r="CC241" s="15">
        <v>9.9999999999999998E-20</v>
      </c>
      <c r="CD241" s="2">
        <v>97.5</v>
      </c>
      <c r="CE241" s="2" t="s">
        <v>2667</v>
      </c>
      <c r="CF241" s="2" t="s">
        <v>2668</v>
      </c>
      <c r="CG241" s="9" t="str">
        <f>HYPERLINK(".\links\KOG\AGAP004640-PA-KOG.txt","Uncharacterized conserved protein")</f>
        <v>Uncharacterized conserved protein</v>
      </c>
      <c r="CH241" s="15">
        <v>2E-14</v>
      </c>
      <c r="CI241" s="2">
        <v>70.599999999999994</v>
      </c>
      <c r="CJ241" s="2" t="s">
        <v>2669</v>
      </c>
      <c r="CK241" s="2" t="s">
        <v>284</v>
      </c>
      <c r="CL241" s="9" t="str">
        <f>HYPERLINK(".\links\PFAM\AGAP004640-PA-PFAM.txt","zf-RING_2, Ring finger domain")</f>
        <v>zf-RING_2, Ring finger domain</v>
      </c>
      <c r="CM241" s="15">
        <v>4.0000000000000001E-10</v>
      </c>
      <c r="CN241" s="2">
        <v>97.7</v>
      </c>
      <c r="CO241" s="2" t="s">
        <v>835</v>
      </c>
      <c r="CP241" s="9" t="str">
        <f>HYPERLINK(".\links\SMART\AGAP004640-PA-SMART.txt","RING, Ring finger")</f>
        <v>RING, Ring finger</v>
      </c>
      <c r="CQ241" s="15">
        <v>6E-11</v>
      </c>
      <c r="CR241" s="2">
        <v>100</v>
      </c>
      <c r="CS241" s="2" t="s">
        <v>827</v>
      </c>
      <c r="CT241" s="2" t="s">
        <v>2664</v>
      </c>
      <c r="CU241" s="2" t="s">
        <v>2664</v>
      </c>
      <c r="CV241" s="2" t="s">
        <v>2664</v>
      </c>
      <c r="CW241" s="2" t="str">
        <f>HYPERLINK(".\links\pep\AGAP004640-PA-pep.txt","AGAP004640-PA")</f>
        <v>AGAP004640-PA</v>
      </c>
      <c r="CX241" s="2" t="s">
        <v>95</v>
      </c>
      <c r="CY241" s="2">
        <v>684</v>
      </c>
      <c r="CZ241" s="2" t="s">
        <v>113</v>
      </c>
      <c r="DA241" s="2" t="s">
        <v>2670</v>
      </c>
      <c r="DB241" s="2">
        <v>0</v>
      </c>
      <c r="DC241" s="2">
        <v>1</v>
      </c>
      <c r="DD241" s="2" t="str">
        <f>HYPERLINK("https://www.kegg.jp/kegg-bin/search_pathway_text?map=aga&amp;keyword=AGAP004640&amp;mode=1&amp;viewImage=true","AGAP004640")</f>
        <v>AGAP004640</v>
      </c>
      <c r="DE241" s="2" t="s">
        <v>2661</v>
      </c>
      <c r="DF241" s="2" t="s">
        <v>93</v>
      </c>
      <c r="DG241" s="2" t="s">
        <v>94</v>
      </c>
      <c r="DH241" s="2" t="str">
        <f>HYPERLINK("https://vectorbase.org/vectorbase/app/record/gene/AGAP004640","AGAP004640-RA")</f>
        <v>AGAP004640-RA</v>
      </c>
      <c r="DI241" s="2" t="s">
        <v>135</v>
      </c>
      <c r="DJ241" s="2">
        <v>2559</v>
      </c>
      <c r="DK241" s="2" t="str">
        <f>HYPERLINK(".\links\netoglyc\AGAP004640-PA-netoglyc.txt","13")</f>
        <v>13</v>
      </c>
      <c r="DL241" s="2">
        <v>19.399999999999999</v>
      </c>
      <c r="DM241" s="2">
        <v>8.1999999999999993</v>
      </c>
      <c r="DN241" s="2">
        <v>5.3</v>
      </c>
      <c r="DO241" s="2" t="s">
        <v>104</v>
      </c>
      <c r="DP241" s="2" t="s">
        <v>102</v>
      </c>
      <c r="DQ241" s="2" t="str">
        <f>HYPERLINK(".\links\Sigp\AGAP004640-PA-SigP.txt","CYT")</f>
        <v>CYT</v>
      </c>
      <c r="DR241" s="2" t="s">
        <v>102</v>
      </c>
      <c r="DS241" s="2">
        <v>73.855999999999995</v>
      </c>
      <c r="DT241" s="2">
        <v>6.47</v>
      </c>
      <c r="DU241" s="2" t="s">
        <v>102</v>
      </c>
      <c r="DV241" s="2" t="s">
        <v>102</v>
      </c>
      <c r="DW241" s="2" t="s">
        <v>2666</v>
      </c>
      <c r="DX241" s="2">
        <v>684</v>
      </c>
      <c r="DY241" s="12" t="str">
        <f>HYPERLINK(".\links\tmhmm\AGAP004640-PA-tmhmm.txt","3")</f>
        <v>3</v>
      </c>
      <c r="DZ241" s="2">
        <v>8.9</v>
      </c>
      <c r="EA241" s="2">
        <v>64.3</v>
      </c>
      <c r="EB241" s="2">
        <v>26.8</v>
      </c>
      <c r="EC241" s="2" t="str">
        <f>HYPERLINK(".\links\gpi\AGAP004640-PA-gpi.txt","N")</f>
        <v>N</v>
      </c>
      <c r="ED241" s="2">
        <v>0.25</v>
      </c>
      <c r="EF241" s="2">
        <v>13</v>
      </c>
      <c r="EG241" s="2" t="str">
        <f>HYPERLINK(".\links\pep\AGAP004640-PA-sulf.txt","1")</f>
        <v>1</v>
      </c>
      <c r="EH241" s="2" t="s">
        <v>102</v>
      </c>
      <c r="EI241" s="2">
        <v>19.4444444444444</v>
      </c>
      <c r="EJ241" s="2">
        <v>5.2631578947368398</v>
      </c>
      <c r="EK241" s="2">
        <v>8.1871345029239802</v>
      </c>
      <c r="EL241" s="2">
        <v>13.4502923976608</v>
      </c>
      <c r="EM241" s="2" t="s">
        <v>102</v>
      </c>
      <c r="EN241" s="2">
        <v>1</v>
      </c>
      <c r="EO241" s="2">
        <v>1</v>
      </c>
      <c r="EP241" s="2" t="s">
        <v>102</v>
      </c>
      <c r="EQ241" s="2" t="s">
        <v>102</v>
      </c>
      <c r="ER241" s="2" t="s">
        <v>102</v>
      </c>
      <c r="ES241" s="2" t="s">
        <v>102</v>
      </c>
      <c r="ET241" s="2" t="str">
        <f>HYPERLINK(".\links\REFSEQ-INVERTEBRATE\AGAP004640-PA-REFSEQ-INVERTEBRATE.txt","AGAP004640-PB")</f>
        <v>AGAP004640-PB</v>
      </c>
      <c r="EU241" s="2" t="str">
        <f>HYPERLINK("http://www.ncbi.nlm.nih.gov/sutils/blink.cgi?pid=XP_003436880.1","0.0")</f>
        <v>0.0</v>
      </c>
      <c r="EV241" s="2" t="str">
        <f>HYPERLINK("http://www.ncbi.nlm.nih.gov/protein/XP_003436880.1","XP_003436880.1")</f>
        <v>XP_003436880.1</v>
      </c>
      <c r="EW241" s="2">
        <v>100</v>
      </c>
      <c r="EX241" s="2">
        <v>100</v>
      </c>
      <c r="EY241" s="2">
        <v>100</v>
      </c>
      <c r="EZ241" s="2" t="s">
        <v>105</v>
      </c>
    </row>
    <row r="242" spans="1:156" x14ac:dyDescent="0.25">
      <c r="A242" s="2" t="s">
        <v>2671</v>
      </c>
      <c r="B242" s="2">
        <v>0.29398939293263698</v>
      </c>
      <c r="C242" s="2">
        <f t="shared" si="3"/>
        <v>1.2260258459606594</v>
      </c>
      <c r="D242" s="2">
        <v>7.67552296120921</v>
      </c>
      <c r="E242" s="2">
        <v>14.899341192708</v>
      </c>
      <c r="F242" s="2">
        <v>1.1340258193858E-4</v>
      </c>
      <c r="G242" s="2">
        <v>1.12503193640794E-2</v>
      </c>
      <c r="H242" s="2" t="s">
        <v>2672</v>
      </c>
      <c r="I242" s="2" t="s">
        <v>94</v>
      </c>
      <c r="J242" s="2" t="str">
        <f>HYPERLINK("https://vectorbase.org/vectorbase/app/record/gene/AGAP010267","AGAP010267-RA")</f>
        <v>AGAP010267-RA</v>
      </c>
      <c r="K242" s="2" t="str">
        <f>HYPERLINK(".\links\pep\AGAP010267-PA-pep.txt","AGAP010267-PA")</f>
        <v>AGAP010267-PA</v>
      </c>
      <c r="L242" s="12" t="s">
        <v>95</v>
      </c>
      <c r="M242" s="2">
        <v>772</v>
      </c>
      <c r="N242" s="2">
        <v>0</v>
      </c>
      <c r="O242" s="2">
        <v>4</v>
      </c>
      <c r="P242" s="2" t="s">
        <v>2673</v>
      </c>
      <c r="Q242" s="9" t="s">
        <v>2674</v>
      </c>
      <c r="R242" s="2" t="s">
        <v>1558</v>
      </c>
      <c r="S242" s="2" t="str">
        <f>HYPERLINK(".\links\CDD\AGAP010267-PA-CDD.txt","CDD")</f>
        <v>CDD</v>
      </c>
      <c r="T242" s="2">
        <v>0</v>
      </c>
      <c r="U242" s="2">
        <v>100.8</v>
      </c>
      <c r="V242" s="2" t="s">
        <v>2675</v>
      </c>
      <c r="W242" s="10" t="s">
        <v>2676</v>
      </c>
      <c r="X242" s="2" t="s">
        <v>1558</v>
      </c>
      <c r="Y242" s="2" t="str">
        <f>HYPERLINK(".\links\REFSEQ-VIRUS\AGAP010267-PA-REFSEQ-VIRUS.txt","REFSEQ-VIRUS")</f>
        <v>REFSEQ-VIRUS</v>
      </c>
      <c r="Z242" s="15">
        <v>0</v>
      </c>
      <c r="AA242" s="2">
        <v>96</v>
      </c>
      <c r="AB242" s="13" t="s">
        <v>102</v>
      </c>
      <c r="AC242" s="13" t="str">
        <f>HYPERLINK(".\links\Sigp\AGAP010267-PA-SigP.txt","CYT")</f>
        <v>CYT</v>
      </c>
      <c r="AD242" s="2" t="s">
        <v>102</v>
      </c>
      <c r="AE242" s="2">
        <v>87.991</v>
      </c>
      <c r="AF242" s="2">
        <v>6.66</v>
      </c>
      <c r="AG242" s="2" t="s">
        <v>102</v>
      </c>
      <c r="AH242" s="2" t="s">
        <v>102</v>
      </c>
      <c r="AI242" s="2" t="s">
        <v>211</v>
      </c>
      <c r="AJ242" s="13">
        <v>0</v>
      </c>
      <c r="AK242" s="2" t="s">
        <v>102</v>
      </c>
      <c r="AL242" s="2" t="s">
        <v>102</v>
      </c>
      <c r="AM242" s="2" t="s">
        <v>102</v>
      </c>
      <c r="AN242" s="13" t="str">
        <f>HYPERLINK(".\links\gpi\AGAP010267-PA-gpi.txt","N")</f>
        <v>N</v>
      </c>
      <c r="AO242" s="14" t="str">
        <f>HYPERLINK(".\links\netoglyc\AGAP010267-PA-netoglyc.txt","0")</f>
        <v>0</v>
      </c>
      <c r="AP242" s="13">
        <v>12</v>
      </c>
      <c r="AQ242" s="2">
        <v>4.9000000000000004</v>
      </c>
      <c r="AR242" s="2">
        <v>5.6</v>
      </c>
      <c r="AS242" s="2" t="s">
        <v>104</v>
      </c>
      <c r="AT242" s="9" t="str">
        <f>HYPERLINK(".\links\NR-LIGHT\AGAP010267-PA-NR-LIGHT.txt","AGAP010267-PA")</f>
        <v>AGAP010267-PA</v>
      </c>
      <c r="AU242" s="2" t="str">
        <f>HYPERLINK("http://www.ncbi.nlm.nih.gov/sutils/blink.cgi?pid=XP_319458.3","0.0")</f>
        <v>0.0</v>
      </c>
      <c r="AV242" s="2" t="str">
        <f>HYPERLINK("http://www.ncbi.nlm.nih.gov/protein/XP_319458.3","XP_319458.3")</f>
        <v>XP_319458.3</v>
      </c>
      <c r="AW242" s="2">
        <v>100</v>
      </c>
      <c r="AX242" s="2">
        <v>100</v>
      </c>
      <c r="AY242" s="2">
        <v>100</v>
      </c>
      <c r="AZ242" s="2" t="s">
        <v>105</v>
      </c>
      <c r="BA242" s="9" t="str">
        <f>HYPERLINK(".\links\REFSEQ-INVERTEBRATE\AGAP010267-PA-REFSEQ-INVERTEBRATE.txt","AGAP010267-PA")</f>
        <v>AGAP010267-PA</v>
      </c>
      <c r="BB242" s="2" t="str">
        <f>HYPERLINK("http://www.ncbi.nlm.nih.gov/sutils/blink.cgi?pid=XP_319458.3","0.0")</f>
        <v>0.0</v>
      </c>
      <c r="BC242" s="2" t="str">
        <f>HYPERLINK("http://www.ncbi.nlm.nih.gov/protein/XP_319458.3","XP_319458.3")</f>
        <v>XP_319458.3</v>
      </c>
      <c r="BD242" s="2">
        <v>100</v>
      </c>
      <c r="BE242" s="2">
        <v>100</v>
      </c>
      <c r="BF242" s="2">
        <v>100</v>
      </c>
      <c r="BG242" s="2" t="s">
        <v>105</v>
      </c>
      <c r="BH242" s="9" t="str">
        <f>HYPERLINK(".\links\REFSEQ-PROTOZOA\AGAP010267-PA-REFSEQ-PROTOZOA.txt","glutaminyl-tRNA synthetase-PA")</f>
        <v>glutaminyl-tRNA synthetase-PA</v>
      </c>
      <c r="BI242" s="2" t="str">
        <f>HYPERLINK("http://www.ncbi.nlm.nih.gov/sutils/blink.cgi?pid=XP_004996860.1","0.0")</f>
        <v>0.0</v>
      </c>
      <c r="BJ242" s="2" t="str">
        <f>HYPERLINK("http://www.ncbi.nlm.nih.gov/protein/XP_004996860.1","XP_004996860.1")</f>
        <v>XP_004996860.1</v>
      </c>
      <c r="BK242" s="2">
        <v>49</v>
      </c>
      <c r="BL242" s="2">
        <v>65</v>
      </c>
      <c r="BM242" s="2">
        <v>100</v>
      </c>
      <c r="BN242" s="2" t="s">
        <v>435</v>
      </c>
      <c r="BO242" s="9" t="str">
        <f>HYPERLINK(".\links\SWISSP\AGAP010267-PA-SWISSP.txt","Probable glutamine--tRNA ligase")</f>
        <v>Probable glutamine--tRNA ligase</v>
      </c>
      <c r="BP242" s="2" t="str">
        <f>HYPERLINK("http://www.uniprot.org/uniprot/Q9Y105","0.0")</f>
        <v>0.0</v>
      </c>
      <c r="BQ242" s="2" t="str">
        <f>HYPERLINK("http://www.uniprot.org/uniprot/Q9Y105#expression","Q9Y105")</f>
        <v>Q9Y105</v>
      </c>
      <c r="BR242" s="2">
        <v>62</v>
      </c>
      <c r="BS242" s="2">
        <v>76</v>
      </c>
      <c r="BT242" s="2">
        <v>99</v>
      </c>
      <c r="BU242" s="2" t="s">
        <v>107</v>
      </c>
      <c r="BV242" s="9" t="str">
        <f>HYPERLINK(".\links\FLYBASE\AGAP010267-PA-FLYBASE.txt","FBpp0084240")</f>
        <v>FBpp0084240</v>
      </c>
      <c r="BW242" s="2" t="str">
        <f>HYPERLINK("http://flybase.org/reports/FBgn0027090#alliance_summary_container","0.0")</f>
        <v>0.0</v>
      </c>
      <c r="BX242" s="2">
        <v>778</v>
      </c>
      <c r="BY242" s="2">
        <v>62</v>
      </c>
      <c r="BZ242" s="2">
        <v>76</v>
      </c>
      <c r="CA242" s="2">
        <v>99</v>
      </c>
      <c r="CB242" s="9" t="str">
        <f>HYPERLINK(".\links\CDD\AGAP010267-PA-CDD.txt","PLN02859, glutamine-tRNA ligase")</f>
        <v>PLN02859, glutamine-tRNA ligase</v>
      </c>
      <c r="CC242" s="15">
        <v>0</v>
      </c>
      <c r="CD242" s="2">
        <v>100.9</v>
      </c>
      <c r="CE242" s="2" t="s">
        <v>2677</v>
      </c>
      <c r="CF242" s="2" t="s">
        <v>2678</v>
      </c>
      <c r="CG242" s="9" t="str">
        <f>HYPERLINK(".\links\KOG\AGAP010267-PA-KOG.txt","Glutaminyl-tRNA synthetase")</f>
        <v>Glutaminyl-tRNA synthetase</v>
      </c>
      <c r="CH242" s="15">
        <v>0</v>
      </c>
      <c r="CI242" s="2">
        <v>102.4</v>
      </c>
      <c r="CJ242" s="2" t="s">
        <v>2679</v>
      </c>
      <c r="CK242" s="2" t="s">
        <v>678</v>
      </c>
      <c r="CL242" s="9" t="str">
        <f>HYPERLINK(".\links\PFAM\AGAP010267-PA-PFAM.txt","tRNA-synt_1c, tRNA synthetases class I (E and Q), catalytic domain")</f>
        <v>tRNA-synt_1c, tRNA synthetases class I (E and Q), catalytic domain</v>
      </c>
      <c r="CM242" s="15">
        <v>9.9999999999999999E-110</v>
      </c>
      <c r="CN242" s="2">
        <v>99.7</v>
      </c>
      <c r="CO242" s="2" t="s">
        <v>2680</v>
      </c>
      <c r="CP242" s="9" t="str">
        <f>HYPERLINK(".\links\SMART\AGAP010267-PA-SMART.txt","CysPc, Calpain-like thiol protease family")</f>
        <v>CysPc, Calpain-like thiol protease family</v>
      </c>
      <c r="CQ242" s="15">
        <v>0.11</v>
      </c>
      <c r="CR242" s="2">
        <v>9.1</v>
      </c>
      <c r="CS242" s="2" t="s">
        <v>2681</v>
      </c>
      <c r="CT242" s="2" t="s">
        <v>2675</v>
      </c>
      <c r="CU242" s="2" t="s">
        <v>2675</v>
      </c>
      <c r="CV242" s="2" t="s">
        <v>2675</v>
      </c>
      <c r="CW242" s="2" t="str">
        <f>HYPERLINK(".\links\pep\AGAP010267-PA-pep.txt","AGAP010267-PA")</f>
        <v>AGAP010267-PA</v>
      </c>
      <c r="CX242" s="2" t="s">
        <v>95</v>
      </c>
      <c r="CY242" s="2">
        <v>772</v>
      </c>
      <c r="CZ242" s="2" t="s">
        <v>113</v>
      </c>
      <c r="DA242" s="2" t="s">
        <v>2682</v>
      </c>
      <c r="DB242" s="2">
        <v>0</v>
      </c>
      <c r="DC242" s="2">
        <v>4</v>
      </c>
      <c r="DD242" s="2" t="str">
        <f>HYPERLINK("https://www.kegg.jp/kegg-bin/search_pathway_text?map=aga&amp;keyword=AGAP010267&amp;mode=1&amp;viewImage=true","AGAP010267")</f>
        <v>AGAP010267</v>
      </c>
      <c r="DE242" s="2" t="s">
        <v>2671</v>
      </c>
      <c r="DF242" s="2" t="s">
        <v>2672</v>
      </c>
      <c r="DG242" s="2" t="s">
        <v>94</v>
      </c>
      <c r="DH242" s="2" t="str">
        <f>HYPERLINK("https://vectorbase.org/vectorbase/app/record/gene/AGAP010267","AGAP010267-RA")</f>
        <v>AGAP010267-RA</v>
      </c>
      <c r="DI242" s="2" t="s">
        <v>135</v>
      </c>
      <c r="DJ242" s="2">
        <v>2555</v>
      </c>
      <c r="DK242" s="2" t="str">
        <f>HYPERLINK(".\links\netoglyc\AGAP010267-PA-netoglyc.txt","0")</f>
        <v>0</v>
      </c>
      <c r="DL242" s="2">
        <v>12</v>
      </c>
      <c r="DM242" s="2">
        <v>4.9000000000000004</v>
      </c>
      <c r="DN242" s="2">
        <v>5.6</v>
      </c>
      <c r="DO242" s="2" t="s">
        <v>104</v>
      </c>
      <c r="DP242" s="2" t="s">
        <v>102</v>
      </c>
      <c r="DQ242" s="2" t="str">
        <f>HYPERLINK(".\links\Sigp\AGAP010267-PA-SigP.txt","CYT")</f>
        <v>CYT</v>
      </c>
      <c r="DR242" s="2" t="s">
        <v>102</v>
      </c>
      <c r="DS242" s="2">
        <v>87.991</v>
      </c>
      <c r="DT242" s="2">
        <v>6.66</v>
      </c>
      <c r="DU242" s="2" t="s">
        <v>102</v>
      </c>
      <c r="DV242" s="2" t="s">
        <v>102</v>
      </c>
      <c r="DW242" s="2" t="s">
        <v>211</v>
      </c>
      <c r="DX242" s="2">
        <v>772</v>
      </c>
      <c r="DY242" s="12">
        <v>0</v>
      </c>
      <c r="DZ242" s="2" t="s">
        <v>102</v>
      </c>
      <c r="EA242" s="2" t="s">
        <v>102</v>
      </c>
      <c r="EB242" s="2" t="s">
        <v>102</v>
      </c>
      <c r="EC242" s="2" t="str">
        <f>HYPERLINK(".\links\gpi\AGAP010267-PA-gpi.txt","N")</f>
        <v>N</v>
      </c>
      <c r="ED242" s="2">
        <v>0.18</v>
      </c>
      <c r="EF242" s="2">
        <v>16</v>
      </c>
      <c r="EG242" s="2" t="s">
        <v>102</v>
      </c>
      <c r="EH242" s="2" t="s">
        <v>102</v>
      </c>
      <c r="EI242" s="2">
        <v>12.0466321243523</v>
      </c>
      <c r="EJ242" s="2">
        <v>5.5699481865285003</v>
      </c>
      <c r="EK242" s="2">
        <v>4.9222797927461102</v>
      </c>
      <c r="EL242" s="2">
        <v>10.492227979274601</v>
      </c>
      <c r="EM242" s="2">
        <v>1</v>
      </c>
      <c r="EN242" s="2">
        <v>4</v>
      </c>
      <c r="EO242" s="2">
        <v>5</v>
      </c>
      <c r="EP242" s="2" t="s">
        <v>102</v>
      </c>
      <c r="EQ242" s="2" t="s">
        <v>102</v>
      </c>
      <c r="ER242" s="2" t="s">
        <v>102</v>
      </c>
      <c r="ES242" s="2" t="s">
        <v>102</v>
      </c>
      <c r="ET242" s="2" t="str">
        <f>HYPERLINK(".\links\REFSEQ-INVERTEBRATE\AGAP010267-PA-REFSEQ-INVERTEBRATE.txt","AGAP010267-PA")</f>
        <v>AGAP010267-PA</v>
      </c>
      <c r="EU242" s="2" t="str">
        <f>HYPERLINK("http://www.ncbi.nlm.nih.gov/sutils/blink.cgi?pid=XP_319458.3","0.0")</f>
        <v>0.0</v>
      </c>
      <c r="EV242" s="2" t="str">
        <f>HYPERLINK("http://www.ncbi.nlm.nih.gov/protein/XP_319458.3","XP_319458.3")</f>
        <v>XP_319458.3</v>
      </c>
      <c r="EW242" s="2">
        <v>100</v>
      </c>
      <c r="EX242" s="2">
        <v>100</v>
      </c>
      <c r="EY242" s="2">
        <v>100</v>
      </c>
      <c r="EZ242" s="2" t="s">
        <v>105</v>
      </c>
    </row>
    <row r="243" spans="1:156" x14ac:dyDescent="0.25">
      <c r="A243" s="2" t="s">
        <v>2683</v>
      </c>
      <c r="B243" s="2">
        <v>0.29269123366564298</v>
      </c>
      <c r="C243" s="2">
        <f t="shared" si="3"/>
        <v>1.2249231451677309</v>
      </c>
      <c r="D243" s="2">
        <v>7.5897586467299796</v>
      </c>
      <c r="E243" s="2">
        <v>15.0218664984524</v>
      </c>
      <c r="F243" s="2">
        <v>1.06272650514044E-4</v>
      </c>
      <c r="G243" s="2">
        <v>1.1057719936436901E-2</v>
      </c>
      <c r="H243" s="2" t="s">
        <v>2684</v>
      </c>
      <c r="I243" s="2" t="s">
        <v>94</v>
      </c>
      <c r="J243" s="2" t="str">
        <f>HYPERLINK("https://vectorbase.org/vectorbase/app/record/gene/AGAP004151","AGAP004151-RA")</f>
        <v>AGAP004151-RA</v>
      </c>
      <c r="K243" s="2" t="str">
        <f>HYPERLINK(".\links\pep\AGAP004151-PA-pep.txt","AGAP004151-PA")</f>
        <v>AGAP004151-PA</v>
      </c>
      <c r="L243" s="12" t="s">
        <v>95</v>
      </c>
      <c r="M243" s="2">
        <v>500</v>
      </c>
      <c r="N243" s="2">
        <v>0</v>
      </c>
      <c r="O243" s="2">
        <v>1</v>
      </c>
      <c r="P243" s="2" t="s">
        <v>2685</v>
      </c>
      <c r="Q243" s="9" t="s">
        <v>2686</v>
      </c>
      <c r="R243" s="2" t="s">
        <v>355</v>
      </c>
      <c r="S243" s="2" t="str">
        <f>HYPERLINK(".\links\CDD\AGAP004151-PA-CDD.txt","CDD")</f>
        <v>CDD</v>
      </c>
      <c r="T243" s="2">
        <v>0</v>
      </c>
      <c r="U243" s="2">
        <v>100</v>
      </c>
      <c r="V243" s="2" t="s">
        <v>2687</v>
      </c>
      <c r="W243" s="10" t="s">
        <v>2688</v>
      </c>
      <c r="X243" s="2" t="s">
        <v>355</v>
      </c>
      <c r="Y243" s="2" t="str">
        <f>HYPERLINK(".\links\REFSEQ-PROTOZOA\AGAP004151-PA-REFSEQ-PROTOZOA.txt","REFSEQ-PROTOZOA")</f>
        <v>REFSEQ-PROTOZOA</v>
      </c>
      <c r="Z243" s="2">
        <v>0</v>
      </c>
      <c r="AA243" s="2">
        <v>95.7</v>
      </c>
      <c r="AB243" s="13" t="str">
        <f>HYPERLINK(".\links\pep\AGAP004151-PA-sulf.txt","2")</f>
        <v>2</v>
      </c>
      <c r="AC243" s="13" t="str">
        <f>HYPERLINK(".\links\Sigp\AGAP004151-PA-SigP.txt","CYT")</f>
        <v>CYT</v>
      </c>
      <c r="AD243" s="2" t="s">
        <v>102</v>
      </c>
      <c r="AE243" s="2">
        <v>56.976999999999997</v>
      </c>
      <c r="AF243" s="2">
        <v>5.92</v>
      </c>
      <c r="AG243" s="2" t="s">
        <v>102</v>
      </c>
      <c r="AH243" s="2" t="s">
        <v>102</v>
      </c>
      <c r="AI243" s="2" t="s">
        <v>2192</v>
      </c>
      <c r="AJ243" s="13">
        <v>0</v>
      </c>
      <c r="AK243" s="2" t="s">
        <v>102</v>
      </c>
      <c r="AL243" s="2" t="s">
        <v>102</v>
      </c>
      <c r="AM243" s="2" t="s">
        <v>102</v>
      </c>
      <c r="AN243" s="13" t="str">
        <f>HYPERLINK(".\links\gpi\AGAP004151-PA-gpi.txt","N")</f>
        <v>N</v>
      </c>
      <c r="AO243" s="14" t="str">
        <f>HYPERLINK(".\links\netoglyc\AGAP004151-PA-netoglyc.txt","3")</f>
        <v>3</v>
      </c>
      <c r="AP243" s="13">
        <v>10.8</v>
      </c>
      <c r="AQ243" s="2">
        <v>5.2</v>
      </c>
      <c r="AR243" s="2">
        <v>5.2</v>
      </c>
      <c r="AS243" s="2" t="s">
        <v>104</v>
      </c>
      <c r="AT243" s="9" t="str">
        <f>HYPERLINK(".\links\NR-LIGHT\AGAP004151-PA-NR-LIGHT.txt","AGAP004151-PA")</f>
        <v>AGAP004151-PA</v>
      </c>
      <c r="AU243" s="2" t="str">
        <f>HYPERLINK("http://www.ncbi.nlm.nih.gov/sutils/blink.cgi?pid=XP_313034.5","0.0")</f>
        <v>0.0</v>
      </c>
      <c r="AV243" s="2" t="str">
        <f>HYPERLINK("http://www.ncbi.nlm.nih.gov/protein/XP_313034.5","XP_313034.5")</f>
        <v>XP_313034.5</v>
      </c>
      <c r="AW243" s="2">
        <v>100</v>
      </c>
      <c r="AX243" s="2">
        <v>100</v>
      </c>
      <c r="AY243" s="2">
        <v>100</v>
      </c>
      <c r="AZ243" s="2" t="s">
        <v>105</v>
      </c>
      <c r="BA243" s="9" t="str">
        <f>HYPERLINK(".\links\REFSEQ-INVERTEBRATE\AGAP004151-PA-REFSEQ-INVERTEBRATE.txt","AGAP004151-PA")</f>
        <v>AGAP004151-PA</v>
      </c>
      <c r="BB243" s="2" t="str">
        <f>HYPERLINK("http://www.ncbi.nlm.nih.gov/sutils/blink.cgi?pid=XP_313034.5","0.0")</f>
        <v>0.0</v>
      </c>
      <c r="BC243" s="2" t="str">
        <f>HYPERLINK("http://www.ncbi.nlm.nih.gov/protein/XP_313034.5","XP_313034.5")</f>
        <v>XP_313034.5</v>
      </c>
      <c r="BD243" s="2">
        <v>100</v>
      </c>
      <c r="BE243" s="2">
        <v>100</v>
      </c>
      <c r="BF243" s="2">
        <v>100</v>
      </c>
      <c r="BG243" s="2" t="s">
        <v>105</v>
      </c>
      <c r="BH243" s="9" t="str">
        <f>HYPERLINK(".\links\REFSEQ-PROTOZOA\AGAP004151-PA-REFSEQ-PROTOZOA.txt","serine/threonine-protein phosphatase 5")</f>
        <v>serine/threonine-protein phosphatase 5</v>
      </c>
      <c r="BI243" s="2" t="str">
        <f>HYPERLINK("http://www.ncbi.nlm.nih.gov/sutils/blink.cgi?pid=XP_004997684.1","1E-155")</f>
        <v>1E-155</v>
      </c>
      <c r="BJ243" s="2" t="str">
        <f>HYPERLINK("http://www.ncbi.nlm.nih.gov/protein/XP_004997684.1","XP_004997684.1")</f>
        <v>XP_004997684.1</v>
      </c>
      <c r="BK243" s="2">
        <v>56</v>
      </c>
      <c r="BL243" s="2">
        <v>73</v>
      </c>
      <c r="BM243" s="2">
        <v>99</v>
      </c>
      <c r="BN243" s="2" t="s">
        <v>435</v>
      </c>
      <c r="BO243" s="9" t="str">
        <f>HYPERLINK(".\links\SWISSP\AGAP004151-PA-SWISSP.txt","Serine/threonine-protein phosphatase 5")</f>
        <v>Serine/threonine-protein phosphatase 5</v>
      </c>
      <c r="BP243" s="2" t="str">
        <f>HYPERLINK("http://www.uniprot.org/uniprot/P53041","1E-167")</f>
        <v>1E-167</v>
      </c>
      <c r="BQ243" s="2" t="str">
        <f>HYPERLINK("http://www.uniprot.org/uniprot/P53041#expression","P53041")</f>
        <v>P53041</v>
      </c>
      <c r="BR243" s="2">
        <v>58</v>
      </c>
      <c r="BS243" s="2">
        <v>74</v>
      </c>
      <c r="BT243" s="2">
        <v>98</v>
      </c>
      <c r="BU243" s="2" t="s">
        <v>127</v>
      </c>
      <c r="BV243" s="9" t="str">
        <f>HYPERLINK(".\links\FLYBASE\AGAP004151-PA-FLYBASE.txt","FBpp0304082")</f>
        <v>FBpp0304082</v>
      </c>
      <c r="BW243" s="2" t="str">
        <f>HYPERLINK("http://flybase.org/reports/FBgn0005777#alliance_summary_container","0.0")</f>
        <v>0.0</v>
      </c>
      <c r="BX243" s="2">
        <v>520</v>
      </c>
      <c r="BY243" s="2">
        <v>67</v>
      </c>
      <c r="BZ243" s="2">
        <v>80</v>
      </c>
      <c r="CA243" s="2">
        <v>91</v>
      </c>
      <c r="CB243" s="9" t="str">
        <f>HYPERLINK(".\links\CDD\AGAP004151-PA-CDD.txt","MPP_PP5_C, PP5, C-terminal metallophosphatase domain")</f>
        <v>MPP_PP5_C, PP5, C-terminal metallophosphatase domain</v>
      </c>
      <c r="CC243" s="15">
        <v>1E-180</v>
      </c>
      <c r="CD243" s="2">
        <v>100</v>
      </c>
      <c r="CE243" s="2" t="s">
        <v>2689</v>
      </c>
      <c r="CF243" s="2" t="s">
        <v>2690</v>
      </c>
      <c r="CG243" s="9" t="str">
        <f>HYPERLINK(".\links\KOG\AGAP004151-PA-KOG.txt","catalytic subunit")</f>
        <v>catalytic subunit</v>
      </c>
      <c r="CH243" s="15">
        <v>0</v>
      </c>
      <c r="CI243" s="2">
        <v>99.6</v>
      </c>
      <c r="CJ243" s="2" t="s">
        <v>2691</v>
      </c>
      <c r="CK243" s="2" t="s">
        <v>191</v>
      </c>
      <c r="CL243" s="9" t="str">
        <f>HYPERLINK(".\links\PFAM\AGAP004151-PA-PFAM.txt","PPP5, PPP5 TPR repeat region")</f>
        <v>PPP5, PPP5 TPR repeat region</v>
      </c>
      <c r="CM243" s="15">
        <v>1.0000000000000001E-31</v>
      </c>
      <c r="CN243" s="2">
        <v>102.2</v>
      </c>
      <c r="CO243" s="2" t="s">
        <v>2692</v>
      </c>
      <c r="CP243" s="9" t="str">
        <f>HYPERLINK(".\links\SMART\AGAP004151-PA-SMART.txt","PP2Ac, Protein phosphatase 2A homologues, catalytic domain")</f>
        <v>PP2Ac, Protein phosphatase 2A homologues, catalytic domain</v>
      </c>
      <c r="CQ243" s="15">
        <v>9.9999999999999996E-104</v>
      </c>
      <c r="CR243" s="2">
        <v>101.1</v>
      </c>
      <c r="CS243" s="2" t="s">
        <v>2693</v>
      </c>
      <c r="CT243" s="2" t="s">
        <v>2687</v>
      </c>
      <c r="CU243" s="2" t="s">
        <v>2687</v>
      </c>
      <c r="CV243" s="2" t="s">
        <v>2687</v>
      </c>
      <c r="CW243" s="2" t="str">
        <f>HYPERLINK(".\links\pep\AGAP004151-PA-pep.txt","AGAP004151-PA")</f>
        <v>AGAP004151-PA</v>
      </c>
      <c r="CX243" s="2" t="s">
        <v>95</v>
      </c>
      <c r="CY243" s="2">
        <v>500</v>
      </c>
      <c r="CZ243" s="2" t="s">
        <v>113</v>
      </c>
      <c r="DA243" s="2" t="s">
        <v>2694</v>
      </c>
      <c r="DB243" s="2">
        <v>0</v>
      </c>
      <c r="DC243" s="2">
        <v>1</v>
      </c>
      <c r="DD243" s="2" t="str">
        <f>HYPERLINK("https://www.kegg.jp/kegg-bin/search_pathway_text?map=aga&amp;keyword=AGAP004151&amp;mode=1&amp;viewImage=true","AGAP004151")</f>
        <v>AGAP004151</v>
      </c>
      <c r="DE243" s="2" t="s">
        <v>2683</v>
      </c>
      <c r="DF243" s="2" t="s">
        <v>2684</v>
      </c>
      <c r="DG243" s="2" t="s">
        <v>94</v>
      </c>
      <c r="DH243" s="2" t="str">
        <f>HYPERLINK("https://vectorbase.org/vectorbase/app/record/gene/AGAP004151","AGAP004151-RA")</f>
        <v>AGAP004151-RA</v>
      </c>
      <c r="DI243" s="2" t="s">
        <v>90</v>
      </c>
      <c r="DJ243" s="2">
        <v>2306</v>
      </c>
      <c r="DK243" s="2" t="str">
        <f>HYPERLINK(".\links\netoglyc\AGAP004151-PA-netoglyc.txt","3")</f>
        <v>3</v>
      </c>
      <c r="DL243" s="2">
        <v>10.8</v>
      </c>
      <c r="DM243" s="2">
        <v>5.2</v>
      </c>
      <c r="DN243" s="2">
        <v>5.2</v>
      </c>
      <c r="DO243" s="2" t="s">
        <v>104</v>
      </c>
      <c r="DP243" s="2" t="s">
        <v>2695</v>
      </c>
      <c r="DQ243" s="2" t="str">
        <f>HYPERLINK(".\links\Sigp\AGAP004151-PA-SigP.txt","CYT")</f>
        <v>CYT</v>
      </c>
      <c r="DR243" s="2" t="s">
        <v>102</v>
      </c>
      <c r="DS243" s="2">
        <v>56.976999999999997</v>
      </c>
      <c r="DT243" s="2">
        <v>5.92</v>
      </c>
      <c r="DU243" s="2" t="s">
        <v>102</v>
      </c>
      <c r="DV243" s="2" t="s">
        <v>102</v>
      </c>
      <c r="DW243" s="2" t="s">
        <v>2192</v>
      </c>
      <c r="DX243" s="2">
        <v>500</v>
      </c>
      <c r="DY243" s="12">
        <v>0</v>
      </c>
      <c r="DZ243" s="2" t="s">
        <v>102</v>
      </c>
      <c r="EA243" s="2" t="s">
        <v>102</v>
      </c>
      <c r="EB243" s="2" t="s">
        <v>102</v>
      </c>
      <c r="EC243" s="2" t="str">
        <f>HYPERLINK(".\links\gpi\AGAP004151-PA-gpi.txt","N")</f>
        <v>N</v>
      </c>
      <c r="ED243" s="2">
        <v>0.24</v>
      </c>
      <c r="EF243" s="2">
        <v>12</v>
      </c>
      <c r="EG243" s="2" t="str">
        <f>HYPERLINK(".\links\pep\AGAP004151-PA-sulf.txt","2")</f>
        <v>2</v>
      </c>
      <c r="EH243" s="2" t="s">
        <v>102</v>
      </c>
      <c r="EI243" s="2">
        <v>10.8</v>
      </c>
      <c r="EJ243" s="2">
        <v>5.2</v>
      </c>
      <c r="EK243" s="2">
        <v>5.2</v>
      </c>
      <c r="EL243" s="2">
        <v>10.4</v>
      </c>
      <c r="EM243" s="2">
        <v>1</v>
      </c>
      <c r="EN243" s="2">
        <v>1</v>
      </c>
      <c r="EO243" s="2">
        <v>1</v>
      </c>
      <c r="EP243" s="2" t="s">
        <v>102</v>
      </c>
      <c r="EQ243" s="2" t="s">
        <v>102</v>
      </c>
      <c r="ER243" s="2" t="s">
        <v>102</v>
      </c>
      <c r="ES243" s="2" t="s">
        <v>102</v>
      </c>
      <c r="ET243" s="2" t="str">
        <f>HYPERLINK(".\links\REFSEQ-INVERTEBRATE\AGAP004151-PA-REFSEQ-INVERTEBRATE.txt","AGAP004151-PA")</f>
        <v>AGAP004151-PA</v>
      </c>
      <c r="EU243" s="2" t="str">
        <f>HYPERLINK("http://www.ncbi.nlm.nih.gov/sutils/blink.cgi?pid=XP_313034.5","0.0")</f>
        <v>0.0</v>
      </c>
      <c r="EV243" s="2" t="str">
        <f>HYPERLINK("http://www.ncbi.nlm.nih.gov/protein/XP_313034.5","XP_313034.5")</f>
        <v>XP_313034.5</v>
      </c>
      <c r="EW243" s="2">
        <v>100</v>
      </c>
      <c r="EX243" s="2">
        <v>100</v>
      </c>
      <c r="EY243" s="2">
        <v>100</v>
      </c>
      <c r="EZ243" s="2" t="s">
        <v>105</v>
      </c>
    </row>
    <row r="244" spans="1:156" x14ac:dyDescent="0.25">
      <c r="A244" s="2" t="s">
        <v>2696</v>
      </c>
      <c r="B244" s="2">
        <v>0.29133310349736702</v>
      </c>
      <c r="C244" s="2">
        <f t="shared" si="3"/>
        <v>1.2237705645944843</v>
      </c>
      <c r="D244" s="2">
        <v>6.67297937359423</v>
      </c>
      <c r="E244" s="2">
        <v>14.052787233735501</v>
      </c>
      <c r="F244" s="2">
        <v>1.77750197647371E-4</v>
      </c>
      <c r="G244" s="2">
        <v>1.4845154218769901E-2</v>
      </c>
      <c r="H244" s="2" t="s">
        <v>2697</v>
      </c>
      <c r="I244" s="2" t="s">
        <v>88</v>
      </c>
      <c r="J244" s="8" t="s">
        <v>2698</v>
      </c>
      <c r="Q244" s="9"/>
      <c r="W244" s="10"/>
      <c r="AB244" s="9"/>
      <c r="AC244" s="9"/>
      <c r="AJ244" s="9"/>
      <c r="AN244" s="9"/>
      <c r="AO244" s="11"/>
      <c r="AP244" s="9"/>
      <c r="AT244" s="9"/>
      <c r="BA244" s="9"/>
      <c r="BH244" s="9"/>
      <c r="BO244" s="9"/>
      <c r="BV244" s="9"/>
      <c r="CB244" s="9"/>
      <c r="CG244" s="9"/>
      <c r="CL244" s="9"/>
      <c r="CP244" s="9"/>
      <c r="DE244" s="2" t="s">
        <v>2696</v>
      </c>
      <c r="DF244" s="2" t="s">
        <v>2697</v>
      </c>
      <c r="DG244" s="2" t="s">
        <v>88</v>
      </c>
      <c r="DH244" s="8" t="s">
        <v>2698</v>
      </c>
      <c r="DI244" s="2" t="s">
        <v>90</v>
      </c>
      <c r="DJ244" s="2">
        <v>3470</v>
      </c>
      <c r="DQ244" s="2" t="s">
        <v>141</v>
      </c>
      <c r="DS244" s="2">
        <v>33018</v>
      </c>
      <c r="DT244" s="2">
        <v>4.46</v>
      </c>
      <c r="DX244" s="2">
        <v>301</v>
      </c>
      <c r="DY244" s="12"/>
    </row>
    <row r="245" spans="1:156" x14ac:dyDescent="0.25">
      <c r="A245" s="2" t="s">
        <v>2699</v>
      </c>
      <c r="B245" s="2">
        <v>0.29122887288693</v>
      </c>
      <c r="C245" s="2">
        <f t="shared" si="3"/>
        <v>1.2236821538480971</v>
      </c>
      <c r="D245" s="2">
        <v>5.8521659655088198</v>
      </c>
      <c r="E245" s="2">
        <v>9.6642178884366192</v>
      </c>
      <c r="F245" s="2">
        <v>1.87891734640178E-3</v>
      </c>
      <c r="G245" s="2">
        <v>4.2469565249517303E-2</v>
      </c>
      <c r="H245" s="2" t="s">
        <v>2700</v>
      </c>
      <c r="I245" s="2" t="s">
        <v>94</v>
      </c>
      <c r="J245" s="2" t="str">
        <f>HYPERLINK("https://vectorbase.org/vectorbase/app/record/gene/AGAP006518","AGAP006518-RA")</f>
        <v>AGAP006518-RA</v>
      </c>
      <c r="K245" s="2" t="str">
        <f>HYPERLINK(".\links\pep\AGAP006518-PA-pep.txt","AGAP006518-PA")</f>
        <v>AGAP006518-PA</v>
      </c>
      <c r="L245" s="12" t="s">
        <v>95</v>
      </c>
      <c r="M245" s="2">
        <v>201</v>
      </c>
      <c r="N245" s="2">
        <v>0</v>
      </c>
      <c r="O245" s="2">
        <v>0</v>
      </c>
      <c r="P245" s="2" t="s">
        <v>2701</v>
      </c>
      <c r="Q245" s="9" t="s">
        <v>2702</v>
      </c>
      <c r="R245" s="2" t="s">
        <v>771</v>
      </c>
      <c r="S245" s="2" t="str">
        <f>HYPERLINK(".\links\KOG\AGAP006518-PA-KOG.txt","KOG")</f>
        <v>KOG</v>
      </c>
      <c r="T245" s="2">
        <v>4.0000000000000003E-68</v>
      </c>
      <c r="U245" s="2">
        <v>97.5</v>
      </c>
      <c r="V245" s="2" t="s">
        <v>2703</v>
      </c>
      <c r="W245" s="10" t="s">
        <v>2704</v>
      </c>
      <c r="X245" s="2" t="s">
        <v>388</v>
      </c>
      <c r="Y245" s="2" t="str">
        <f>HYPERLINK(".\links\REFSEQ-PROTOZOA\AGAP006518-PA-REFSEQ-PROTOZOA.txt","REFSEQ-PROTOZOA")</f>
        <v>REFSEQ-PROTOZOA</v>
      </c>
      <c r="Z245" s="15">
        <v>9.9999999999999993E-89</v>
      </c>
      <c r="AA245" s="2">
        <v>95.6</v>
      </c>
      <c r="AB245" s="13" t="s">
        <v>102</v>
      </c>
      <c r="AC245" s="13" t="str">
        <f>HYPERLINK(".\links\Sigp\AGAP006518-PA-SigP.txt","CYT")</f>
        <v>CYT</v>
      </c>
      <c r="AD245" s="2" t="s">
        <v>102</v>
      </c>
      <c r="AE245" s="2">
        <v>22.375</v>
      </c>
      <c r="AF245" s="2">
        <v>6.22</v>
      </c>
      <c r="AG245" s="2" t="s">
        <v>102</v>
      </c>
      <c r="AH245" s="2" t="s">
        <v>102</v>
      </c>
      <c r="AI245" s="2" t="s">
        <v>211</v>
      </c>
      <c r="AJ245" s="13">
        <v>0</v>
      </c>
      <c r="AK245" s="2" t="s">
        <v>102</v>
      </c>
      <c r="AL245" s="2" t="s">
        <v>102</v>
      </c>
      <c r="AM245" s="2" t="s">
        <v>102</v>
      </c>
      <c r="AN245" s="13" t="str">
        <f>HYPERLINK(".\links\gpi\AGAP006518-PA-gpi.txt","N")</f>
        <v>N</v>
      </c>
      <c r="AO245" s="14" t="str">
        <f>HYPERLINK(".\links\netoglyc\AGAP006518-PA-netoglyc.txt","1")</f>
        <v>1</v>
      </c>
      <c r="AP245" s="13">
        <v>15.4</v>
      </c>
      <c r="AQ245" s="2">
        <v>3.5</v>
      </c>
      <c r="AR245" s="2">
        <v>1.5</v>
      </c>
      <c r="AS245" s="2" t="s">
        <v>104</v>
      </c>
      <c r="AT245" s="9" t="str">
        <f>HYPERLINK(".\links\NR-LIGHT\AGAP006518-PA-NR-LIGHT.txt","AGAP006518-PA")</f>
        <v>AGAP006518-PA</v>
      </c>
      <c r="AU245" s="2" t="str">
        <f>HYPERLINK("http://www.ncbi.nlm.nih.gov/sutils/blink.cgi?pid=XP_316550.3","1E-104")</f>
        <v>1E-104</v>
      </c>
      <c r="AV245" s="2" t="str">
        <f>HYPERLINK("http://www.ncbi.nlm.nih.gov/protein/XP_316550.3","XP_316550.3")</f>
        <v>XP_316550.3</v>
      </c>
      <c r="AW245" s="2">
        <v>100</v>
      </c>
      <c r="AX245" s="2">
        <v>100</v>
      </c>
      <c r="AY245" s="2">
        <v>100</v>
      </c>
      <c r="AZ245" s="2" t="s">
        <v>105</v>
      </c>
      <c r="BA245" s="9" t="str">
        <f>HYPERLINK(".\links\REFSEQ-INVERTEBRATE\AGAP006518-PA-REFSEQ-INVERTEBRATE.txt","AGAP006518-PA")</f>
        <v>AGAP006518-PA</v>
      </c>
      <c r="BB245" s="2" t="str">
        <f>HYPERLINK("http://www.ncbi.nlm.nih.gov/sutils/blink.cgi?pid=XP_316550.3","1E-104")</f>
        <v>1E-104</v>
      </c>
      <c r="BC245" s="2" t="str">
        <f>HYPERLINK("http://www.ncbi.nlm.nih.gov/protein/XP_316550.3","XP_316550.3")</f>
        <v>XP_316550.3</v>
      </c>
      <c r="BD245" s="2">
        <v>100</v>
      </c>
      <c r="BE245" s="2">
        <v>100</v>
      </c>
      <c r="BF245" s="2">
        <v>100</v>
      </c>
      <c r="BG245" s="2" t="s">
        <v>105</v>
      </c>
      <c r="BH245" s="9" t="str">
        <f>HYPERLINK(".\links\REFSEQ-PROTOZOA\AGAP006518-PA-REFSEQ-PROTOZOA.txt","chromatin modifying protein 1b")</f>
        <v>chromatin modifying protein 1b</v>
      </c>
      <c r="BI245" s="2" t="str">
        <f>HYPERLINK("http://www.ncbi.nlm.nih.gov/sutils/blink.cgi?pid=XP_004349918.1","3E-066")</f>
        <v>3E-066</v>
      </c>
      <c r="BJ245" s="2" t="str">
        <f>HYPERLINK("http://www.ncbi.nlm.nih.gov/protein/XP_004349918.1","XP_004349918.1")</f>
        <v>XP_004349918.1</v>
      </c>
      <c r="BK245" s="2">
        <v>67</v>
      </c>
      <c r="BL245" s="2">
        <v>81</v>
      </c>
      <c r="BM245" s="2">
        <v>96</v>
      </c>
      <c r="BN245" s="2" t="s">
        <v>106</v>
      </c>
      <c r="BO245" s="9" t="str">
        <f>HYPERLINK(".\links\SWISSP\AGAP006518-PA-SWISSP.txt","Charged multivesicular body protein 1b-2")</f>
        <v>Charged multivesicular body protein 1b-2</v>
      </c>
      <c r="BP245" s="2" t="str">
        <f>HYPERLINK("http://www.uniprot.org/uniprot/Q9CQD4","2E-074")</f>
        <v>2E-074</v>
      </c>
      <c r="BQ245" s="2" t="str">
        <f>HYPERLINK("http://www.uniprot.org/uniprot/Q9CQD4#expression","Q9CQD4")</f>
        <v>Q9CQD4</v>
      </c>
      <c r="BR245" s="2">
        <v>74</v>
      </c>
      <c r="BS245" s="2">
        <v>84</v>
      </c>
      <c r="BT245" s="2">
        <v>99</v>
      </c>
      <c r="BU245" s="2" t="s">
        <v>662</v>
      </c>
      <c r="BV245" s="9" t="str">
        <f>HYPERLINK(".\links\FLYBASE\AGAP006518-PA-FLYBASE.txt","FBpp0311533")</f>
        <v>FBpp0311533</v>
      </c>
      <c r="BW245" s="2" t="str">
        <f>HYPERLINK("http://flybase.org/reports/FBgn0036805#alliance_summary_container","1E-107")</f>
        <v>1E-107</v>
      </c>
      <c r="BX245" s="2">
        <v>203</v>
      </c>
      <c r="BY245" s="2">
        <v>82</v>
      </c>
      <c r="BZ245" s="2">
        <v>90</v>
      </c>
      <c r="CA245" s="2">
        <v>99</v>
      </c>
      <c r="CB245" s="9" t="str">
        <f>HYPERLINK(".\links\CDD\AGAP006518-PA-CDD.txt","VPS24, Conserved protein implicated in secretion")</f>
        <v>VPS24, Conserved protein implicated in secretion</v>
      </c>
      <c r="CC245" s="15">
        <v>8.9999999999999996E-12</v>
      </c>
      <c r="CD245" s="2">
        <v>86.8</v>
      </c>
      <c r="CE245" s="2" t="s">
        <v>2705</v>
      </c>
      <c r="CF245" s="2" t="s">
        <v>2706</v>
      </c>
      <c r="CG245" s="9" t="str">
        <f>HYPERLINK(".\links\KOG\AGAP006518-PA-KOG.txt","Vacuolar assembly/sorting protein DID2")</f>
        <v>Vacuolar assembly/sorting protein DID2</v>
      </c>
      <c r="CH245" s="15">
        <v>4.0000000000000003E-68</v>
      </c>
      <c r="CI245" s="2">
        <v>97.5</v>
      </c>
      <c r="CJ245" s="2" t="s">
        <v>2707</v>
      </c>
      <c r="CK245" s="2" t="s">
        <v>154</v>
      </c>
      <c r="CL245" s="9" t="str">
        <f>HYPERLINK(".\links\PFAM\AGAP006518-PA-PFAM.txt","Snf7, Snf7")</f>
        <v>Snf7, Snf7</v>
      </c>
      <c r="CM245" s="15">
        <v>5.0000000000000002E-11</v>
      </c>
      <c r="CN245" s="2">
        <v>97.1</v>
      </c>
      <c r="CO245" s="2" t="s">
        <v>2708</v>
      </c>
      <c r="CP245" s="9" t="str">
        <f>HYPERLINK(".\links\SMART\AGAP006518-PA-SMART.txt","AKAP_110, A-kinase anchor protein 110 kDa")</f>
        <v>AKAP_110, A-kinase anchor protein 110 kDa</v>
      </c>
      <c r="CQ245" s="15">
        <v>0.39</v>
      </c>
      <c r="CR245" s="2">
        <v>7.6</v>
      </c>
      <c r="CS245" s="2" t="s">
        <v>2709</v>
      </c>
      <c r="CT245" s="2" t="s">
        <v>2703</v>
      </c>
      <c r="CU245" s="2" t="s">
        <v>2703</v>
      </c>
      <c r="CV245" s="2" t="s">
        <v>2703</v>
      </c>
      <c r="CW245" s="2" t="str">
        <f>HYPERLINK(".\links\pep\AGAP006518-PA-pep.txt","AGAP006518-PA")</f>
        <v>AGAP006518-PA</v>
      </c>
      <c r="CX245" s="2" t="s">
        <v>95</v>
      </c>
      <c r="CY245" s="2">
        <v>201</v>
      </c>
      <c r="CZ245" s="2" t="s">
        <v>113</v>
      </c>
      <c r="DA245" s="2" t="s">
        <v>2710</v>
      </c>
      <c r="DB245" s="2">
        <v>0</v>
      </c>
      <c r="DC245" s="2">
        <v>0</v>
      </c>
      <c r="DD245" s="2" t="str">
        <f>HYPERLINK("https://www.kegg.jp/kegg-bin/search_pathway_text?map=aga&amp;keyword=AGAP006518&amp;mode=1&amp;viewImage=true","AGAP006518")</f>
        <v>AGAP006518</v>
      </c>
      <c r="DE245" s="2" t="s">
        <v>2699</v>
      </c>
      <c r="DF245" s="2" t="s">
        <v>2700</v>
      </c>
      <c r="DG245" s="2" t="s">
        <v>94</v>
      </c>
      <c r="DH245" s="2" t="str">
        <f>HYPERLINK("https://vectorbase.org/vectorbase/app/record/gene/AGAP006518","AGAP006518-RA")</f>
        <v>AGAP006518-RA</v>
      </c>
      <c r="DI245" s="2" t="s">
        <v>90</v>
      </c>
      <c r="DJ245" s="2">
        <v>1107</v>
      </c>
      <c r="DK245" s="2" t="str">
        <f>HYPERLINK(".\links\netoglyc\AGAP006518-PA-netoglyc.txt","1")</f>
        <v>1</v>
      </c>
      <c r="DL245" s="2">
        <v>15.4</v>
      </c>
      <c r="DM245" s="2">
        <v>3.5</v>
      </c>
      <c r="DN245" s="2">
        <v>1.5</v>
      </c>
      <c r="DO245" s="2" t="s">
        <v>104</v>
      </c>
      <c r="DP245" s="2" t="s">
        <v>102</v>
      </c>
      <c r="DQ245" s="2" t="str">
        <f>HYPERLINK(".\links\Sigp\AGAP006518-PA-SigP.txt","CYT")</f>
        <v>CYT</v>
      </c>
      <c r="DR245" s="2" t="s">
        <v>102</v>
      </c>
      <c r="DS245" s="2">
        <v>22.375</v>
      </c>
      <c r="DT245" s="2">
        <v>6.22</v>
      </c>
      <c r="DU245" s="2" t="s">
        <v>102</v>
      </c>
      <c r="DV245" s="2" t="s">
        <v>102</v>
      </c>
      <c r="DW245" s="2" t="s">
        <v>211</v>
      </c>
      <c r="DX245" s="2">
        <v>201</v>
      </c>
      <c r="DY245" s="12">
        <v>0</v>
      </c>
      <c r="DZ245" s="2" t="s">
        <v>102</v>
      </c>
      <c r="EA245" s="2" t="s">
        <v>102</v>
      </c>
      <c r="EB245" s="2" t="s">
        <v>102</v>
      </c>
      <c r="EC245" s="2" t="str">
        <f>HYPERLINK(".\links\gpi\AGAP006518-PA-gpi.txt","Y-NoSP")</f>
        <v>Y-NoSP</v>
      </c>
      <c r="ED245" s="2">
        <v>0.36</v>
      </c>
      <c r="EF245" s="2">
        <v>1</v>
      </c>
      <c r="EG245" s="2" t="s">
        <v>102</v>
      </c>
      <c r="EH245" s="2" t="s">
        <v>102</v>
      </c>
      <c r="EI245" s="2">
        <v>15.4228855721393</v>
      </c>
      <c r="EJ245" s="2">
        <v>1.4925373134328399</v>
      </c>
      <c r="EK245" s="2">
        <v>3.4825870646766202</v>
      </c>
      <c r="EL245" s="2">
        <v>4.9751243781094496</v>
      </c>
      <c r="EM245" s="2" t="s">
        <v>102</v>
      </c>
      <c r="EN245" s="2">
        <v>2</v>
      </c>
      <c r="EO245" s="2">
        <v>2</v>
      </c>
      <c r="EP245" s="2" t="s">
        <v>102</v>
      </c>
      <c r="EQ245" s="2" t="s">
        <v>102</v>
      </c>
      <c r="ER245" s="2" t="s">
        <v>102</v>
      </c>
      <c r="ES245" s="2" t="s">
        <v>102</v>
      </c>
      <c r="ET245" s="2" t="str">
        <f>HYPERLINK(".\links\REFSEQ-INVERTEBRATE\AGAP006518-PA-REFSEQ-INVERTEBRATE.txt","AGAP006518-PA")</f>
        <v>AGAP006518-PA</v>
      </c>
      <c r="EU245" s="2" t="str">
        <f>HYPERLINK("http://www.ncbi.nlm.nih.gov/sutils/blink.cgi?pid=XP_316550.3","1E-146")</f>
        <v>1E-146</v>
      </c>
      <c r="EV245" s="2" t="str">
        <f>HYPERLINK("http://www.ncbi.nlm.nih.gov/protein/XP_316550.3","XP_316550.3")</f>
        <v>XP_316550.3</v>
      </c>
      <c r="EW245" s="2">
        <v>100</v>
      </c>
      <c r="EX245" s="2">
        <v>100</v>
      </c>
      <c r="EY245" s="2">
        <v>100</v>
      </c>
      <c r="EZ245" s="2" t="s">
        <v>105</v>
      </c>
    </row>
    <row r="246" spans="1:156" x14ac:dyDescent="0.25">
      <c r="A246" s="2" t="s">
        <v>2711</v>
      </c>
      <c r="B246" s="2">
        <v>0.29036253303181597</v>
      </c>
      <c r="C246" s="2">
        <f t="shared" si="3"/>
        <v>1.2229475520434361</v>
      </c>
      <c r="D246" s="2">
        <v>5.2620472123302404</v>
      </c>
      <c r="E246" s="2">
        <v>8.8617983144912493</v>
      </c>
      <c r="F246" s="2">
        <v>2.9120055044854999E-3</v>
      </c>
      <c r="G246" s="2">
        <v>4.9803632520221103E-2</v>
      </c>
      <c r="H246" s="2" t="s">
        <v>93</v>
      </c>
      <c r="I246" s="2" t="s">
        <v>94</v>
      </c>
      <c r="J246" s="2" t="str">
        <f>HYPERLINK("https://vectorbase.org/vectorbase/app/record/gene/AGAP003810","AGAP003810-RA")</f>
        <v>AGAP003810-RA</v>
      </c>
      <c r="K246" s="2" t="str">
        <f>HYPERLINK(".\links\pep\AGAP003810-PA-pep.txt","AGAP003810-PA")</f>
        <v>AGAP003810-PA</v>
      </c>
      <c r="L246" s="12" t="s">
        <v>95</v>
      </c>
      <c r="M246" s="2">
        <v>226</v>
      </c>
      <c r="N246" s="2">
        <v>0</v>
      </c>
      <c r="O246" s="2">
        <v>0</v>
      </c>
      <c r="P246" s="2" t="s">
        <v>102</v>
      </c>
      <c r="Q246" s="9" t="s">
        <v>2712</v>
      </c>
      <c r="R246" s="2" t="s">
        <v>98</v>
      </c>
      <c r="S246" s="2" t="str">
        <f>HYPERLINK(".\links\REFSEQ-INVERTEBRATE\AGAP003810-PA-REFSEQ-INVERTEBRATE.txt","REFSEQ-INVERTEBRATE")</f>
        <v>REFSEQ-INVERTEBRATE</v>
      </c>
      <c r="T246" s="2">
        <v>0</v>
      </c>
      <c r="V246" s="2" t="s">
        <v>2713</v>
      </c>
      <c r="W246" s="10" t="s">
        <v>2714</v>
      </c>
      <c r="X246" s="2" t="s">
        <v>98</v>
      </c>
      <c r="Y246" s="2" t="str">
        <f>HYPERLINK(".\links\REFSEQ-INVERTEBRATE\AGAP003810-PA-REFSEQ-INVERTEBRATE.txt","REFSEQ-INVERTEBRATE")</f>
        <v>REFSEQ-INVERTEBRATE</v>
      </c>
      <c r="Z246" s="2">
        <v>0</v>
      </c>
      <c r="AB246" s="13" t="s">
        <v>102</v>
      </c>
      <c r="AC246" s="13" t="str">
        <f>HYPERLINK(".\links\Sigp\AGAP003810-PA-SigP.txt","SIG")</f>
        <v>SIG</v>
      </c>
      <c r="AD246" s="2" t="s">
        <v>277</v>
      </c>
      <c r="AE246" s="2">
        <v>26.068999999999999</v>
      </c>
      <c r="AF246" s="2">
        <v>5.29</v>
      </c>
      <c r="AG246" s="2">
        <v>23.018999999999998</v>
      </c>
      <c r="AH246" s="2">
        <v>4.9800000000000004</v>
      </c>
      <c r="AI246" s="2" t="s">
        <v>2715</v>
      </c>
      <c r="AJ246" s="13" t="str">
        <f>HYPERLINK(".\links\tmhmm\AGAP003810-PA-tmhmm.txt","4")</f>
        <v>4</v>
      </c>
      <c r="AK246" s="2">
        <v>38.9</v>
      </c>
      <c r="AL246" s="2">
        <v>33.6</v>
      </c>
      <c r="AM246" s="2">
        <v>27.4</v>
      </c>
      <c r="AN246" s="13" t="str">
        <f>HYPERLINK(".\links\gpi\AGAP003810-PA-gpi.txt","N")</f>
        <v>N</v>
      </c>
      <c r="AO246" s="14" t="str">
        <f>HYPERLINK(".\links\netoglyc\AGAP003810-PA-netoglyc.txt","0")</f>
        <v>0</v>
      </c>
      <c r="AP246" s="13">
        <v>9.6999999999999993</v>
      </c>
      <c r="AQ246" s="2">
        <v>8</v>
      </c>
      <c r="AR246" s="2">
        <v>2.7</v>
      </c>
      <c r="AS246" s="2" t="s">
        <v>104</v>
      </c>
      <c r="AT246" s="9" t="str">
        <f>HYPERLINK(".\links\NR-LIGHT\AGAP003810-PA-NR-LIGHT.txt","AGAP003810-PA")</f>
        <v>AGAP003810-PA</v>
      </c>
      <c r="AU246" s="2" t="str">
        <f>HYPERLINK("http://www.ncbi.nlm.nih.gov/sutils/blink.cgi?pid=XP_310372.3","1E-134")</f>
        <v>1E-134</v>
      </c>
      <c r="AV246" s="2" t="str">
        <f>HYPERLINK("http://www.ncbi.nlm.nih.gov/protein/XP_310372.3","XP_310372.3")</f>
        <v>XP_310372.3</v>
      </c>
      <c r="AW246" s="2">
        <v>100</v>
      </c>
      <c r="AX246" s="2">
        <v>100</v>
      </c>
      <c r="AY246" s="2">
        <v>100</v>
      </c>
      <c r="AZ246" s="2" t="s">
        <v>105</v>
      </c>
      <c r="BA246" s="9" t="str">
        <f>HYPERLINK(".\links\REFSEQ-INVERTEBRATE\AGAP003810-PA-REFSEQ-INVERTEBRATE.txt","AGAP003810-PA")</f>
        <v>AGAP003810-PA</v>
      </c>
      <c r="BB246" s="2" t="str">
        <f>HYPERLINK("http://www.ncbi.nlm.nih.gov/sutils/blink.cgi?pid=XP_310372.3","1E-134")</f>
        <v>1E-134</v>
      </c>
      <c r="BC246" s="2" t="str">
        <f>HYPERLINK("http://www.ncbi.nlm.nih.gov/protein/XP_310372.3","XP_310372.3")</f>
        <v>XP_310372.3</v>
      </c>
      <c r="BD246" s="2">
        <v>100</v>
      </c>
      <c r="BE246" s="2">
        <v>100</v>
      </c>
      <c r="BF246" s="2">
        <v>100</v>
      </c>
      <c r="BG246" s="2" t="s">
        <v>105</v>
      </c>
      <c r="BH246" s="9" t="str">
        <f>HYPERLINK(".\links\REFSEQ-PROTOZOA\AGAP003810-PA-REFSEQ-PROTOZOA.txt","hypothetical protein")</f>
        <v>hypothetical protein</v>
      </c>
      <c r="BI246" s="2" t="str">
        <f>HYPERLINK("http://www.ncbi.nlm.nih.gov/sutils/blink.cgi?pid=XP_001748082.1","1.4")</f>
        <v>1.4</v>
      </c>
      <c r="BJ246" s="2" t="str">
        <f>HYPERLINK("http://www.ncbi.nlm.nih.gov/protein/XP_001748082.1","XP_001748082.1")</f>
        <v>XP_001748082.1</v>
      </c>
      <c r="BK246" s="2">
        <v>30</v>
      </c>
      <c r="BL246" s="2">
        <v>46</v>
      </c>
      <c r="BM246" s="2">
        <v>18</v>
      </c>
      <c r="BN246" s="2" t="s">
        <v>248</v>
      </c>
      <c r="BO246" s="9" t="str">
        <f>HYPERLINK(".\links\SWISSP\AGAP003810-PA-SWISSP.txt","Transmembrane protein 182")</f>
        <v>Transmembrane protein 182</v>
      </c>
      <c r="BP246" s="2" t="str">
        <f>HYPERLINK("http://www.uniprot.org/uniprot/A4IF75","0.013")</f>
        <v>0.013</v>
      </c>
      <c r="BQ246" s="2" t="str">
        <f>HYPERLINK("http://www.uniprot.org/uniprot/A4IF75#expression","A4IF75")</f>
        <v>A4IF75</v>
      </c>
      <c r="BR246" s="2">
        <v>25</v>
      </c>
      <c r="BS246" s="2">
        <v>38</v>
      </c>
      <c r="BT246" s="2">
        <v>95</v>
      </c>
      <c r="BU246" s="2" t="s">
        <v>1284</v>
      </c>
      <c r="BV246" s="9" t="str">
        <f>HYPERLINK(".\links\FLYBASE\AGAP003810-PA-FLYBASE.txt","FBpp0085373")</f>
        <v>FBpp0085373</v>
      </c>
      <c r="BW246" s="2" t="str">
        <f>HYPERLINK("http://flybase.org/reports/FBgn0033032#alliance_summary_container","2E-93")</f>
        <v>2E-93</v>
      </c>
      <c r="BX246" s="2">
        <v>264</v>
      </c>
      <c r="BY246" s="2">
        <v>58</v>
      </c>
      <c r="BZ246" s="2">
        <v>77</v>
      </c>
      <c r="CA246" s="2">
        <v>79</v>
      </c>
      <c r="CB246" s="9" t="str">
        <f>HYPERLINK(".\links\CDD\AGAP003810-PA-CDD.txt","Claudin_2, PMP-22/EMP/MP20/Claudin tight junction")</f>
        <v>Claudin_2, PMP-22/EMP/MP20/Claudin tight junction</v>
      </c>
      <c r="CC246" s="15">
        <v>3.9999999999999998E-38</v>
      </c>
      <c r="CD246" s="2">
        <v>102.6</v>
      </c>
      <c r="CE246" s="2" t="s">
        <v>2716</v>
      </c>
      <c r="CF246" s="2" t="s">
        <v>2717</v>
      </c>
      <c r="CG246" s="9" t="str">
        <f>HYPERLINK(".\links\KOG\AGAP003810-PA-KOG.txt","Glycosylphosphatidylinositol anchor synthesis protein")</f>
        <v>Glycosylphosphatidylinositol anchor synthesis protein</v>
      </c>
      <c r="CH246" s="15">
        <v>4.5999999999999999E-2</v>
      </c>
      <c r="CI246" s="2">
        <v>12.5</v>
      </c>
      <c r="CJ246" s="2" t="s">
        <v>2718</v>
      </c>
      <c r="CK246" s="2" t="s">
        <v>173</v>
      </c>
      <c r="CL246" s="9" t="str">
        <f>HYPERLINK(".\links\PFAM\AGAP003810-PA-PFAM.txt","Claudin_2, PMP-22/EMP/MP20/Claudin tight junction")</f>
        <v>Claudin_2, PMP-22/EMP/MP20/Claudin tight junction</v>
      </c>
      <c r="CM246" s="15">
        <v>7.9999999999999994E-39</v>
      </c>
      <c r="CN246" s="2">
        <v>102.6</v>
      </c>
      <c r="CO246" s="2" t="s">
        <v>2716</v>
      </c>
      <c r="CP246" s="9" t="str">
        <f>HYPERLINK(".\links\SMART\AGAP003810-PA-SMART.txt","LamG, Laminin G domain")</f>
        <v>LamG, Laminin G domain</v>
      </c>
      <c r="CQ246" s="15">
        <v>2.7</v>
      </c>
      <c r="CR246" s="2">
        <v>18.899999999999999</v>
      </c>
      <c r="CS246" s="2" t="s">
        <v>2719</v>
      </c>
      <c r="CT246" s="2" t="s">
        <v>2713</v>
      </c>
      <c r="CU246" s="2" t="s">
        <v>2713</v>
      </c>
      <c r="CV246" s="2" t="s">
        <v>2713</v>
      </c>
      <c r="CW246" s="2" t="str">
        <f>HYPERLINK(".\links\pep\AGAP003810-PA-pep.txt","AGAP003810-PA")</f>
        <v>AGAP003810-PA</v>
      </c>
      <c r="CX246" s="2" t="s">
        <v>95</v>
      </c>
      <c r="CY246" s="2">
        <v>226</v>
      </c>
      <c r="CZ246" s="2" t="s">
        <v>113</v>
      </c>
      <c r="DA246" s="2" t="s">
        <v>2720</v>
      </c>
      <c r="DB246" s="2">
        <v>0</v>
      </c>
      <c r="DC246" s="2">
        <v>0</v>
      </c>
      <c r="DD246" s="2" t="str">
        <f>HYPERLINK("https://www.kegg.jp/kegg-bin/search_pathway_text?map=aga&amp;keyword=AGAP003810&amp;mode=1&amp;viewImage=true","AGAP003810")</f>
        <v>AGAP003810</v>
      </c>
      <c r="DE246" s="2" t="s">
        <v>2711</v>
      </c>
      <c r="DF246" s="2" t="s">
        <v>93</v>
      </c>
      <c r="DG246" s="2" t="s">
        <v>94</v>
      </c>
      <c r="DH246" s="2" t="str">
        <f>HYPERLINK("https://vectorbase.org/vectorbase/app/record/gene/AGAP003810","AGAP003810-RA")</f>
        <v>AGAP003810-RA</v>
      </c>
      <c r="DI246" s="2" t="s">
        <v>118</v>
      </c>
      <c r="DJ246" s="2">
        <v>1118</v>
      </c>
      <c r="DK246" s="2" t="str">
        <f>HYPERLINK(".\links\netoglyc\AGAP003810-PA-netoglyc.txt","0")</f>
        <v>0</v>
      </c>
      <c r="DL246" s="2">
        <v>9.6999999999999993</v>
      </c>
      <c r="DM246" s="2">
        <v>8</v>
      </c>
      <c r="DN246" s="2">
        <v>2.7</v>
      </c>
      <c r="DO246" s="2" t="s">
        <v>104</v>
      </c>
      <c r="DP246" s="2" t="s">
        <v>102</v>
      </c>
      <c r="DQ246" s="2" t="str">
        <f>HYPERLINK(".\links\Sigp\AGAP003810-PA-SigP.txt","SIG")</f>
        <v>SIG</v>
      </c>
      <c r="DR246" s="2" t="s">
        <v>277</v>
      </c>
      <c r="DS246" s="2">
        <v>26.068999999999999</v>
      </c>
      <c r="DT246" s="2">
        <v>5.29</v>
      </c>
      <c r="DU246" s="2">
        <v>23.018999999999998</v>
      </c>
      <c r="DV246" s="2">
        <v>4.9800000000000004</v>
      </c>
      <c r="DW246" s="2" t="s">
        <v>2715</v>
      </c>
      <c r="DX246" s="2">
        <v>226</v>
      </c>
      <c r="DY246" s="12" t="str">
        <f>HYPERLINK(".\links\tmhmm\AGAP003810-PA-tmhmm.txt","4")</f>
        <v>4</v>
      </c>
      <c r="DZ246" s="2">
        <v>38.9</v>
      </c>
      <c r="EA246" s="2">
        <v>33.6</v>
      </c>
      <c r="EB246" s="2">
        <v>27.4</v>
      </c>
      <c r="EC246" s="2" t="str">
        <f>HYPERLINK(".\links\gpi\AGAP003810-PA-gpi.txt","N")</f>
        <v>N</v>
      </c>
      <c r="ED246" s="2">
        <v>0.43</v>
      </c>
      <c r="EE246" s="2" t="s">
        <v>2721</v>
      </c>
      <c r="EF246" s="2">
        <v>7</v>
      </c>
      <c r="EG246" s="2" t="s">
        <v>102</v>
      </c>
      <c r="EH246" s="2" t="s">
        <v>102</v>
      </c>
      <c r="EI246" s="2">
        <v>9.7345132743362797</v>
      </c>
      <c r="EJ246" s="2">
        <v>2.65486725663717</v>
      </c>
      <c r="EK246" s="2">
        <v>7.9646017699114999</v>
      </c>
      <c r="EL246" s="2">
        <v>10.6194690265487</v>
      </c>
      <c r="EM246" s="2">
        <v>1</v>
      </c>
      <c r="EN246" s="2" t="s">
        <v>102</v>
      </c>
      <c r="EO246" s="2">
        <v>1</v>
      </c>
      <c r="EP246" s="2" t="s">
        <v>102</v>
      </c>
      <c r="EQ246" s="2" t="s">
        <v>102</v>
      </c>
      <c r="ER246" s="2" t="s">
        <v>102</v>
      </c>
      <c r="ES246" s="2" t="s">
        <v>102</v>
      </c>
      <c r="ET246" s="2" t="str">
        <f>HYPERLINK(".\links\REFSEQ-INVERTEBRATE\AGAP003810-PA-REFSEQ-INVERTEBRATE.txt","AGAP003810-PA")</f>
        <v>AGAP003810-PA</v>
      </c>
      <c r="EU246" s="2" t="str">
        <f>HYPERLINK("http://www.ncbi.nlm.nih.gov/sutils/blink.cgi?pid=XP_310372.3","1E-168")</f>
        <v>1E-168</v>
      </c>
      <c r="EV246" s="2" t="str">
        <f>HYPERLINK("http://www.ncbi.nlm.nih.gov/protein/XP_310372.3","XP_310372.3")</f>
        <v>XP_310372.3</v>
      </c>
      <c r="EW246" s="2">
        <v>100</v>
      </c>
      <c r="EX246" s="2">
        <v>100</v>
      </c>
      <c r="EY246" s="2">
        <v>100</v>
      </c>
      <c r="EZ246" s="2" t="s">
        <v>105</v>
      </c>
    </row>
    <row r="247" spans="1:156" x14ac:dyDescent="0.25">
      <c r="A247" s="2" t="s">
        <v>2722</v>
      </c>
      <c r="B247" s="2">
        <v>0.28929173463783903</v>
      </c>
      <c r="C247" s="2">
        <f t="shared" si="3"/>
        <v>1.2220401915982995</v>
      </c>
      <c r="D247" s="2">
        <v>8.0689999539451307</v>
      </c>
      <c r="E247" s="2">
        <v>9.0185824317015495</v>
      </c>
      <c r="F247" s="2">
        <v>2.6724857592470099E-3</v>
      </c>
      <c r="G247" s="2">
        <v>4.7682441318702203E-2</v>
      </c>
      <c r="H247" s="2" t="s">
        <v>2723</v>
      </c>
      <c r="I247" s="2" t="s">
        <v>94</v>
      </c>
      <c r="J247" s="2" t="str">
        <f>HYPERLINK("https://vectorbase.org/vectorbase/app/record/gene/AGAP001380","AGAP001380-RA")</f>
        <v>AGAP001380-RA</v>
      </c>
      <c r="K247" s="2" t="str">
        <f>HYPERLINK(".\links\pep\AGAP001380-PA-pep.txt","AGAP001380-PA")</f>
        <v>AGAP001380-PA</v>
      </c>
      <c r="L247" s="12" t="s">
        <v>95</v>
      </c>
      <c r="M247" s="2">
        <v>245</v>
      </c>
      <c r="N247" s="2">
        <v>0</v>
      </c>
      <c r="O247" s="2">
        <v>0</v>
      </c>
      <c r="P247" s="2" t="s">
        <v>2724</v>
      </c>
      <c r="Q247" s="9" t="s">
        <v>2725</v>
      </c>
      <c r="R247" s="2" t="s">
        <v>672</v>
      </c>
      <c r="S247" s="2" t="str">
        <f>HYPERLINK(".\links\REFSEQ-INVERTEBRATE\AGAP001380-PA-REFSEQ-INVERTEBRATE.txt","REFSEQ-INVERTEBRATE")</f>
        <v>REFSEQ-INVERTEBRATE</v>
      </c>
      <c r="T247" s="2">
        <v>0</v>
      </c>
      <c r="U247" s="2">
        <v>100</v>
      </c>
      <c r="V247" s="2" t="s">
        <v>2726</v>
      </c>
      <c r="W247" s="10" t="s">
        <v>183</v>
      </c>
      <c r="X247" s="2" t="s">
        <v>672</v>
      </c>
      <c r="Y247" s="2" t="str">
        <f>HYPERLINK(".\links\COG\AGAP001380-PA-COG.txt","COG")</f>
        <v>COG</v>
      </c>
      <c r="Z247" s="15">
        <v>2.0000000000000001E-54</v>
      </c>
      <c r="AA247" s="2">
        <v>100</v>
      </c>
      <c r="AB247" s="13" t="s">
        <v>102</v>
      </c>
      <c r="AC247" s="13" t="str">
        <f>HYPERLINK(".\links\Sigp\AGAP001380-PA-SigP.txt","CYT")</f>
        <v>CYT</v>
      </c>
      <c r="AD247" s="2" t="s">
        <v>102</v>
      </c>
      <c r="AE247" s="2">
        <v>26.315999999999999</v>
      </c>
      <c r="AF247" s="2">
        <v>4.6100000000000003</v>
      </c>
      <c r="AG247" s="2" t="s">
        <v>102</v>
      </c>
      <c r="AH247" s="2" t="s">
        <v>102</v>
      </c>
      <c r="AI247" s="2" t="s">
        <v>2727</v>
      </c>
      <c r="AJ247" s="13">
        <v>0</v>
      </c>
      <c r="AK247" s="2" t="s">
        <v>102</v>
      </c>
      <c r="AL247" s="2" t="s">
        <v>102</v>
      </c>
      <c r="AM247" s="2" t="s">
        <v>102</v>
      </c>
      <c r="AN247" s="13" t="str">
        <f>HYPERLINK(".\links\gpi\AGAP001380-PA-gpi.txt","N")</f>
        <v>N</v>
      </c>
      <c r="AO247" s="14" t="str">
        <f>HYPERLINK(".\links\netoglyc\AGAP001380-PA-netoglyc.txt","0")</f>
        <v>0</v>
      </c>
      <c r="AP247" s="13">
        <v>15.1</v>
      </c>
      <c r="AQ247" s="2">
        <v>6.5</v>
      </c>
      <c r="AR247" s="2">
        <v>3.3</v>
      </c>
      <c r="AS247" s="2" t="s">
        <v>104</v>
      </c>
      <c r="AT247" s="9" t="str">
        <f>HYPERLINK(".\links\NR-LIGHT\AGAP001380-PA-NR-LIGHT.txt","AGAP001380-PA")</f>
        <v>AGAP001380-PA</v>
      </c>
      <c r="AU247" s="2" t="str">
        <f>HYPERLINK("http://www.ncbi.nlm.nih.gov/sutils/blink.cgi?pid=XP_321758.5","1E-133")</f>
        <v>1E-133</v>
      </c>
      <c r="AV247" s="2" t="str">
        <f>HYPERLINK("http://www.ncbi.nlm.nih.gov/protein/XP_321758.5","XP_321758.5")</f>
        <v>XP_321758.5</v>
      </c>
      <c r="AW247" s="2">
        <v>100</v>
      </c>
      <c r="AX247" s="2">
        <v>100</v>
      </c>
      <c r="AY247" s="2">
        <v>100</v>
      </c>
      <c r="AZ247" s="2" t="s">
        <v>105</v>
      </c>
      <c r="BA247" s="9" t="str">
        <f>HYPERLINK(".\links\REFSEQ-INVERTEBRATE\AGAP001380-PA-REFSEQ-INVERTEBRATE.txt","AGAP001380-PA")</f>
        <v>AGAP001380-PA</v>
      </c>
      <c r="BB247" s="2" t="str">
        <f>HYPERLINK("http://www.ncbi.nlm.nih.gov/sutils/blink.cgi?pid=XP_321758.5","1E-133")</f>
        <v>1E-133</v>
      </c>
      <c r="BC247" s="2" t="str">
        <f>HYPERLINK("http://www.ncbi.nlm.nih.gov/protein/XP_321758.5","XP_321758.5")</f>
        <v>XP_321758.5</v>
      </c>
      <c r="BD247" s="2">
        <v>100</v>
      </c>
      <c r="BE247" s="2">
        <v>100</v>
      </c>
      <c r="BF247" s="2">
        <v>100</v>
      </c>
      <c r="BG247" s="2" t="s">
        <v>105</v>
      </c>
      <c r="BH247" s="9" t="str">
        <f>HYPERLINK(".\links\REFSEQ-PROTOZOA\AGAP001380-PA-REFSEQ-PROTOZOA.txt","eukaryotic translation initiation factor 6")</f>
        <v>eukaryotic translation initiation factor 6</v>
      </c>
      <c r="BI247" s="2" t="str">
        <f>HYPERLINK("http://www.ncbi.nlm.nih.gov/sutils/blink.cgi?pid=XP_008880835.1","1E-101")</f>
        <v>1E-101</v>
      </c>
      <c r="BJ247" s="2" t="str">
        <f>HYPERLINK("http://www.ncbi.nlm.nih.gov/protein/XP_008880835.1","XP_008880835.1")</f>
        <v>XP_008880835.1</v>
      </c>
      <c r="BK247" s="2">
        <v>72</v>
      </c>
      <c r="BL247" s="2">
        <v>87</v>
      </c>
      <c r="BM247" s="2">
        <v>100</v>
      </c>
      <c r="BN247" s="2" t="s">
        <v>1856</v>
      </c>
      <c r="BO247" s="9" t="str">
        <f>HYPERLINK(".\links\SWISSP\AGAP001380-PA-SWISSP.txt","Eukaryotic translation initiation factor 6")</f>
        <v>Eukaryotic translation initiation factor 6</v>
      </c>
      <c r="BP247" s="2" t="str">
        <f>HYPERLINK("http://www.uniprot.org/uniprot/P56538","1E-109")</f>
        <v>1E-109</v>
      </c>
      <c r="BQ247" s="2" t="str">
        <f>HYPERLINK("http://www.uniprot.org/uniprot/P56538#expression","P56538")</f>
        <v>P56538</v>
      </c>
      <c r="BR247" s="2">
        <v>78</v>
      </c>
      <c r="BS247" s="2">
        <v>91</v>
      </c>
      <c r="BT247" s="2">
        <v>100</v>
      </c>
      <c r="BU247" s="2" t="s">
        <v>107</v>
      </c>
      <c r="BV247" s="9" t="str">
        <f>HYPERLINK(".\links\FLYBASE\AGAP001380-PA-FLYBASE.txt","FBpp0072144")</f>
        <v>FBpp0072144</v>
      </c>
      <c r="BW247" s="2" t="str">
        <f>HYPERLINK("http://flybase.org/reports/FBgn0034915#alliance_summary_container","1E-148")</f>
        <v>1E-148</v>
      </c>
      <c r="BX247" s="2">
        <v>245</v>
      </c>
      <c r="BY247" s="2">
        <v>78</v>
      </c>
      <c r="BZ247" s="2">
        <v>91</v>
      </c>
      <c r="CA247" s="2">
        <v>100</v>
      </c>
      <c r="CB247" s="9" t="str">
        <f>HYPERLINK(".\links\CDD\AGAP001380-PA-CDD.txt","PTZ00136, eukaryotic translation initiation factor 6-like protein")</f>
        <v>PTZ00136, eukaryotic translation initiation factor 6-like protein</v>
      </c>
      <c r="CC247" s="15">
        <v>9.9999999999999998E-121</v>
      </c>
      <c r="CD247" s="2">
        <v>100</v>
      </c>
      <c r="CE247" s="2" t="s">
        <v>2728</v>
      </c>
      <c r="CF247" s="2" t="s">
        <v>2729</v>
      </c>
      <c r="CG247" s="9" t="str">
        <f>HYPERLINK(".\links\KOG\AGAP001380-PA-KOG.txt","Translation initiation factor 6 (eIF-6)")</f>
        <v>Translation initiation factor 6 (eIF-6)</v>
      </c>
      <c r="CH247" s="15">
        <v>1.0000000000000001E-122</v>
      </c>
      <c r="CI247" s="2">
        <v>100</v>
      </c>
      <c r="CJ247" s="2" t="s">
        <v>2730</v>
      </c>
      <c r="CK247" s="2" t="s">
        <v>678</v>
      </c>
      <c r="CL247" s="9" t="str">
        <f>HYPERLINK(".\links\PFAM\AGAP001380-PA-PFAM.txt","eIF-6, eIF-6 family")</f>
        <v>eIF-6, eIF-6 family</v>
      </c>
      <c r="CM247" s="15">
        <v>3.0000000000000001E-83</v>
      </c>
      <c r="CN247" s="2">
        <v>101.5</v>
      </c>
      <c r="CO247" s="2" t="s">
        <v>2731</v>
      </c>
      <c r="CP247" s="9" t="str">
        <f>HYPERLINK(".\links\SMART\AGAP001380-PA-SMART.txt","eIF6, translation initiation factor 6")</f>
        <v>eIF6, translation initiation factor 6</v>
      </c>
      <c r="CQ247" s="15">
        <v>4.9999999999999999E-86</v>
      </c>
      <c r="CR247" s="2">
        <v>101</v>
      </c>
      <c r="CS247" s="2" t="s">
        <v>1148</v>
      </c>
      <c r="CT247" s="2" t="s">
        <v>2726</v>
      </c>
      <c r="CU247" s="2" t="s">
        <v>2726</v>
      </c>
      <c r="CV247" s="2" t="s">
        <v>2726</v>
      </c>
      <c r="CW247" s="2" t="str">
        <f>HYPERLINK(".\links\pep\AGAP001380-PA-pep.txt","AGAP001380-PA")</f>
        <v>AGAP001380-PA</v>
      </c>
      <c r="CX247" s="2" t="s">
        <v>95</v>
      </c>
      <c r="CY247" s="2">
        <v>245</v>
      </c>
      <c r="CZ247" s="2" t="s">
        <v>113</v>
      </c>
      <c r="DA247" s="2" t="s">
        <v>2732</v>
      </c>
      <c r="DB247" s="2">
        <v>0</v>
      </c>
      <c r="DC247" s="2">
        <v>0</v>
      </c>
      <c r="DD247" s="2" t="str">
        <f>HYPERLINK("https://www.kegg.jp/kegg-bin/search_pathway_text?map=aga&amp;keyword=AGAP001380&amp;mode=1&amp;viewImage=true","AGAP001380")</f>
        <v>AGAP001380</v>
      </c>
      <c r="DE247" s="2" t="s">
        <v>2722</v>
      </c>
      <c r="DF247" s="2" t="s">
        <v>2723</v>
      </c>
      <c r="DG247" s="2" t="s">
        <v>94</v>
      </c>
      <c r="DH247" s="2" t="str">
        <f>HYPERLINK("https://vectorbase.org/vectorbase/app/record/gene/AGAP001380","AGAP001380-RA")</f>
        <v>AGAP001380-RA</v>
      </c>
      <c r="DI247" s="2" t="s">
        <v>90</v>
      </c>
      <c r="DJ247" s="2">
        <v>1334</v>
      </c>
      <c r="DK247" s="2" t="str">
        <f>HYPERLINK(".\links\netoglyc\AGAP001380-PA-netoglyc.txt","0")</f>
        <v>0</v>
      </c>
      <c r="DL247" s="2">
        <v>15.1</v>
      </c>
      <c r="DM247" s="2">
        <v>6.5</v>
      </c>
      <c r="DN247" s="2">
        <v>3.3</v>
      </c>
      <c r="DO247" s="2" t="s">
        <v>104</v>
      </c>
      <c r="DP247" s="2" t="s">
        <v>102</v>
      </c>
      <c r="DQ247" s="2" t="str">
        <f>HYPERLINK(".\links\Sigp\AGAP001380-PA-SigP.txt","CYT")</f>
        <v>CYT</v>
      </c>
      <c r="DR247" s="2" t="s">
        <v>102</v>
      </c>
      <c r="DS247" s="2">
        <v>26.315999999999999</v>
      </c>
      <c r="DT247" s="2">
        <v>4.6100000000000003</v>
      </c>
      <c r="DU247" s="2" t="s">
        <v>102</v>
      </c>
      <c r="DV247" s="2" t="s">
        <v>102</v>
      </c>
      <c r="DW247" s="2" t="s">
        <v>2727</v>
      </c>
      <c r="DX247" s="2">
        <v>245</v>
      </c>
      <c r="DY247" s="12">
        <v>0</v>
      </c>
      <c r="DZ247" s="2" t="s">
        <v>102</v>
      </c>
      <c r="EA247" s="2" t="s">
        <v>102</v>
      </c>
      <c r="EB247" s="2" t="s">
        <v>102</v>
      </c>
      <c r="EC247" s="2" t="str">
        <f>HYPERLINK(".\links\gpi\AGAP001380-PA-gpi.txt","N")</f>
        <v>N</v>
      </c>
      <c r="ED247" s="2">
        <v>0.3</v>
      </c>
      <c r="EF247" s="2">
        <v>6</v>
      </c>
      <c r="EG247" s="2" t="s">
        <v>102</v>
      </c>
      <c r="EH247" s="2" t="s">
        <v>102</v>
      </c>
      <c r="EI247" s="2">
        <v>15.1020408163265</v>
      </c>
      <c r="EJ247" s="2">
        <v>3.2653061224489801</v>
      </c>
      <c r="EK247" s="2">
        <v>6.5306122448979602</v>
      </c>
      <c r="EL247" s="2">
        <v>9.7959183673469408</v>
      </c>
      <c r="EM247" s="2" t="s">
        <v>102</v>
      </c>
      <c r="EN247" s="2" t="s">
        <v>102</v>
      </c>
      <c r="EO247" s="2" t="s">
        <v>102</v>
      </c>
      <c r="EP247" s="2" t="s">
        <v>102</v>
      </c>
      <c r="EQ247" s="2" t="s">
        <v>102</v>
      </c>
      <c r="ER247" s="2" t="s">
        <v>102</v>
      </c>
      <c r="ES247" s="2" t="s">
        <v>102</v>
      </c>
      <c r="ET247" s="2" t="str">
        <f>HYPERLINK(".\links\REFSEQ-INVERTEBRATE\AGAP001380-PA-REFSEQ-INVERTEBRATE.txt","AGAP001380-PA")</f>
        <v>AGAP001380-PA</v>
      </c>
      <c r="EU247" s="2" t="str">
        <f>HYPERLINK("http://www.ncbi.nlm.nih.gov/sutils/blink.cgi?pid=XP_321758.5","1E-178")</f>
        <v>1E-178</v>
      </c>
      <c r="EV247" s="2" t="str">
        <f>HYPERLINK("http://www.ncbi.nlm.nih.gov/protein/XP_321758.5","XP_321758.5")</f>
        <v>XP_321758.5</v>
      </c>
      <c r="EW247" s="2">
        <v>100</v>
      </c>
      <c r="EX247" s="2">
        <v>100</v>
      </c>
      <c r="EY247" s="2">
        <v>100</v>
      </c>
      <c r="EZ247" s="2" t="s">
        <v>105</v>
      </c>
    </row>
    <row r="248" spans="1:156" x14ac:dyDescent="0.25">
      <c r="A248" s="2" t="s">
        <v>2733</v>
      </c>
      <c r="B248" s="2">
        <v>0.28819448411751902</v>
      </c>
      <c r="C248" s="2">
        <f t="shared" si="3"/>
        <v>1.2211111148228928</v>
      </c>
      <c r="D248" s="2">
        <v>6.2166061075486798</v>
      </c>
      <c r="E248" s="2">
        <v>9.9559157873987107</v>
      </c>
      <c r="F248" s="2">
        <v>1.6033335043076601E-3</v>
      </c>
      <c r="G248" s="2">
        <v>3.9012040862794299E-2</v>
      </c>
      <c r="H248" s="2" t="s">
        <v>2734</v>
      </c>
      <c r="I248" s="2" t="s">
        <v>94</v>
      </c>
      <c r="J248" s="2" t="str">
        <f>HYPERLINK("https://vectorbase.org/vectorbase/app/record/gene/AGAP009931","AGAP009931-RA")</f>
        <v>AGAP009931-RA</v>
      </c>
      <c r="K248" s="2" t="str">
        <f>HYPERLINK(".\links\pep\AGAP009931-PA-pep.txt","AGAP009931-PA")</f>
        <v>AGAP009931-PA</v>
      </c>
      <c r="L248" s="12" t="s">
        <v>95</v>
      </c>
      <c r="M248" s="2">
        <v>562</v>
      </c>
      <c r="N248" s="2">
        <v>0</v>
      </c>
      <c r="O248" s="2">
        <v>1</v>
      </c>
      <c r="P248" s="2" t="s">
        <v>2735</v>
      </c>
      <c r="Q248" s="9" t="s">
        <v>2736</v>
      </c>
      <c r="R248" s="2" t="s">
        <v>771</v>
      </c>
      <c r="S248" s="2" t="str">
        <f>HYPERLINK(".\links\KOG\AGAP009931-PA-KOG.txt","KOG")</f>
        <v>KOG</v>
      </c>
      <c r="T248" s="2">
        <v>0</v>
      </c>
      <c r="U248" s="2">
        <v>101.1</v>
      </c>
      <c r="V248" s="2" t="s">
        <v>2737</v>
      </c>
      <c r="W248" s="10" t="s">
        <v>2738</v>
      </c>
      <c r="X248" s="2" t="s">
        <v>771</v>
      </c>
      <c r="Y248" s="2" t="str">
        <f>HYPERLINK(".\links\CDD\AGAP009931-PA-CDD.txt","CDD")</f>
        <v>CDD</v>
      </c>
      <c r="Z248" s="15">
        <v>0</v>
      </c>
      <c r="AA248" s="2">
        <v>102</v>
      </c>
      <c r="AB248" s="13" t="str">
        <f>HYPERLINK(".\links\pep\AGAP009931-PA-sulf.txt","1")</f>
        <v>1</v>
      </c>
      <c r="AC248" s="13" t="str">
        <f>HYPERLINK(".\links\Sigp\AGAP009931-PA-SigP.txt","CYT")</f>
        <v>CYT</v>
      </c>
      <c r="AD248" s="2" t="s">
        <v>102</v>
      </c>
      <c r="AE248" s="2">
        <v>63.183</v>
      </c>
      <c r="AF248" s="2">
        <v>6.22</v>
      </c>
      <c r="AG248" s="2" t="s">
        <v>102</v>
      </c>
      <c r="AH248" s="2" t="s">
        <v>102</v>
      </c>
      <c r="AI248" s="2" t="s">
        <v>2739</v>
      </c>
      <c r="AJ248" s="13">
        <v>0</v>
      </c>
      <c r="AK248" s="2" t="s">
        <v>102</v>
      </c>
      <c r="AL248" s="2" t="s">
        <v>102</v>
      </c>
      <c r="AM248" s="2" t="s">
        <v>102</v>
      </c>
      <c r="AN248" s="13" t="str">
        <f>HYPERLINK(".\links\gpi\AGAP009931-PA-gpi.txt","N")</f>
        <v>N</v>
      </c>
      <c r="AO248" s="14" t="str">
        <f>HYPERLINK(".\links\netoglyc\AGAP009931-PA-netoglyc.txt","2")</f>
        <v>2</v>
      </c>
      <c r="AP248" s="13">
        <v>16</v>
      </c>
      <c r="AQ248" s="2">
        <v>4.3</v>
      </c>
      <c r="AR248" s="2">
        <v>3.6</v>
      </c>
      <c r="AS248" s="2" t="s">
        <v>104</v>
      </c>
      <c r="AT248" s="9" t="str">
        <f>HYPERLINK(".\links\NR-LIGHT\AGAP009931-PA-NR-LIGHT.txt","AGAP009931-PA")</f>
        <v>AGAP009931-PA</v>
      </c>
      <c r="AU248" s="2" t="str">
        <f>HYPERLINK("http://www.ncbi.nlm.nih.gov/sutils/blink.cgi?pid=XP_319053.4","0.0")</f>
        <v>0.0</v>
      </c>
      <c r="AV248" s="2" t="str">
        <f>HYPERLINK("http://www.ncbi.nlm.nih.gov/protein/XP_319053.4","XP_319053.4")</f>
        <v>XP_319053.4</v>
      </c>
      <c r="AW248" s="2">
        <v>100</v>
      </c>
      <c r="AX248" s="2">
        <v>100</v>
      </c>
      <c r="AY248" s="2">
        <v>100</v>
      </c>
      <c r="AZ248" s="2" t="s">
        <v>105</v>
      </c>
      <c r="BA248" s="9" t="str">
        <f>HYPERLINK(".\links\REFSEQ-INVERTEBRATE\AGAP009931-PA-REFSEQ-INVERTEBRATE.txt","AGAP009931-PA")</f>
        <v>AGAP009931-PA</v>
      </c>
      <c r="BB248" s="2" t="str">
        <f>HYPERLINK("http://www.ncbi.nlm.nih.gov/sutils/blink.cgi?pid=XP_319053.4","0.0")</f>
        <v>0.0</v>
      </c>
      <c r="BC248" s="2" t="str">
        <f>HYPERLINK("http://www.ncbi.nlm.nih.gov/protein/XP_319053.4","XP_319053.4")</f>
        <v>XP_319053.4</v>
      </c>
      <c r="BD248" s="2">
        <v>100</v>
      </c>
      <c r="BE248" s="2">
        <v>100</v>
      </c>
      <c r="BF248" s="2">
        <v>100</v>
      </c>
      <c r="BG248" s="2" t="s">
        <v>105</v>
      </c>
      <c r="BH248" s="9" t="str">
        <f>HYPERLINK(".\links\REFSEQ-PROTOZOA\AGAP009931-PA-REFSEQ-PROTOZOA.txt","hypothetical protein")</f>
        <v>hypothetical protein</v>
      </c>
      <c r="BI248" s="2" t="str">
        <f>HYPERLINK("http://www.ncbi.nlm.nih.gov/sutils/blink.cgi?pid=XP_001748026.1","1E-091")</f>
        <v>1E-091</v>
      </c>
      <c r="BJ248" s="2" t="str">
        <f>HYPERLINK("http://www.ncbi.nlm.nih.gov/protein/XP_001748026.1","XP_001748026.1")</f>
        <v>XP_001748026.1</v>
      </c>
      <c r="BK248" s="2">
        <v>35</v>
      </c>
      <c r="BL248" s="2">
        <v>54</v>
      </c>
      <c r="BM248" s="2">
        <v>102</v>
      </c>
      <c r="BN248" s="2" t="s">
        <v>248</v>
      </c>
      <c r="BO248" s="9" t="str">
        <f>HYPERLINK(".\links\SWISSP\AGAP009931-PA-SWISSP.txt","Vacuolar fusion protein MON1 homolog A")</f>
        <v>Vacuolar fusion protein MON1 homolog A</v>
      </c>
      <c r="BP248" s="2" t="str">
        <f>HYPERLINK("http://www.uniprot.org/uniprot/Q5ZIH2","1E-109")</f>
        <v>1E-109</v>
      </c>
      <c r="BQ248" s="2" t="str">
        <f>HYPERLINK("http://www.uniprot.org/uniprot/Q5ZIH2#expression","Q5ZIH2")</f>
        <v>Q5ZIH2</v>
      </c>
      <c r="BR248" s="2">
        <v>48</v>
      </c>
      <c r="BS248" s="2">
        <v>69</v>
      </c>
      <c r="BT248" s="2">
        <v>77</v>
      </c>
      <c r="BU248" s="2" t="s">
        <v>483</v>
      </c>
      <c r="BV248" s="9" t="str">
        <f>HYPERLINK(".\links\FLYBASE\AGAP009931-PA-FLYBASE.txt","FBpp0077079")</f>
        <v>FBpp0077079</v>
      </c>
      <c r="BW248" s="2" t="str">
        <f>HYPERLINK("http://flybase.org/reports/FBgn0031640#alliance_summary_container","0.0")</f>
        <v>0.0</v>
      </c>
      <c r="BX248" s="2">
        <v>528</v>
      </c>
      <c r="BY248" s="2">
        <v>58</v>
      </c>
      <c r="BZ248" s="2">
        <v>72</v>
      </c>
      <c r="CA248" s="2">
        <v>100</v>
      </c>
      <c r="CB248" s="9" t="str">
        <f>HYPERLINK(".\links\CDD\AGAP009931-PA-CDD.txt","Mon1, Trafficking protein Mon1")</f>
        <v>Mon1, Trafficking protein Mon1</v>
      </c>
      <c r="CC248" s="15">
        <v>1E-165</v>
      </c>
      <c r="CD248" s="2">
        <v>102.8</v>
      </c>
      <c r="CE248" s="2" t="s">
        <v>2740</v>
      </c>
      <c r="CF248" s="2" t="s">
        <v>2741</v>
      </c>
      <c r="CG248" s="9" t="str">
        <f>HYPERLINK(".\links\KOG\AGAP009931-PA-KOG.txt","Uncharacterized conserved protein Sand")</f>
        <v>Uncharacterized conserved protein Sand</v>
      </c>
      <c r="CH248" s="15">
        <v>9.9999999999999998E-150</v>
      </c>
      <c r="CI248" s="2">
        <v>101.1</v>
      </c>
      <c r="CJ248" s="2" t="s">
        <v>2742</v>
      </c>
      <c r="CK248" s="2" t="s">
        <v>284</v>
      </c>
      <c r="CL248" s="9" t="str">
        <f>HYPERLINK(".\links\PFAM\AGAP009931-PA-PFAM.txt","Mon1, Trafficking protein Mon1")</f>
        <v>Mon1, Trafficking protein Mon1</v>
      </c>
      <c r="CM248" s="15">
        <v>1E-165</v>
      </c>
      <c r="CN248" s="2">
        <v>102.8</v>
      </c>
      <c r="CO248" s="2" t="s">
        <v>2740</v>
      </c>
      <c r="CP248" s="9" t="str">
        <f>HYPERLINK(".\links\SMART\AGAP009931-PA-SMART.txt","RIBOc, Ribonuclease III family")</f>
        <v>RIBOc, Ribonuclease III family</v>
      </c>
      <c r="CQ248" s="15">
        <v>0.15</v>
      </c>
      <c r="CR248" s="2">
        <v>62.8</v>
      </c>
      <c r="CS248" s="2" t="s">
        <v>2743</v>
      </c>
      <c r="CT248" s="2" t="s">
        <v>2737</v>
      </c>
      <c r="CU248" s="2" t="s">
        <v>2737</v>
      </c>
      <c r="CV248" s="2" t="s">
        <v>2737</v>
      </c>
      <c r="CW248" s="2" t="str">
        <f>HYPERLINK(".\links\pep\AGAP009931-PA-pep.txt","AGAP009931-PA")</f>
        <v>AGAP009931-PA</v>
      </c>
      <c r="CX248" s="2" t="s">
        <v>95</v>
      </c>
      <c r="CY248" s="2">
        <v>562</v>
      </c>
      <c r="CZ248" s="2" t="s">
        <v>113</v>
      </c>
      <c r="DA248" s="2" t="s">
        <v>2744</v>
      </c>
      <c r="DB248" s="2">
        <v>0</v>
      </c>
      <c r="DC248" s="2">
        <v>1</v>
      </c>
      <c r="DD248" s="2" t="str">
        <f>HYPERLINK("https://www.kegg.jp/kegg-bin/search_pathway_text?map=aga&amp;keyword=AGAP009931&amp;mode=1&amp;viewImage=true","AGAP009931")</f>
        <v>AGAP009931</v>
      </c>
      <c r="DE248" s="2" t="s">
        <v>2733</v>
      </c>
      <c r="DF248" s="2" t="s">
        <v>2734</v>
      </c>
      <c r="DG248" s="2" t="s">
        <v>94</v>
      </c>
      <c r="DH248" s="2" t="str">
        <f>HYPERLINK("https://vectorbase.org/vectorbase/app/record/gene/AGAP009931","AGAP009931-RA")</f>
        <v>AGAP009931-RA</v>
      </c>
      <c r="DI248" s="2" t="s">
        <v>115</v>
      </c>
      <c r="DJ248" s="2">
        <v>2524</v>
      </c>
      <c r="DK248" s="2" t="str">
        <f>HYPERLINK(".\links\netoglyc\AGAP009931-PA-netoglyc.txt","2")</f>
        <v>2</v>
      </c>
      <c r="DL248" s="2">
        <v>16</v>
      </c>
      <c r="DM248" s="2">
        <v>4.3</v>
      </c>
      <c r="DN248" s="2">
        <v>3.6</v>
      </c>
      <c r="DO248" s="2" t="s">
        <v>104</v>
      </c>
      <c r="DP248" s="2" t="s">
        <v>102</v>
      </c>
      <c r="DQ248" s="2" t="str">
        <f>HYPERLINK(".\links\Sigp\AGAP009931-PA-SigP.txt","CYT")</f>
        <v>CYT</v>
      </c>
      <c r="DR248" s="2" t="s">
        <v>102</v>
      </c>
      <c r="DS248" s="2">
        <v>63.183</v>
      </c>
      <c r="DT248" s="2">
        <v>6.22</v>
      </c>
      <c r="DU248" s="2" t="s">
        <v>102</v>
      </c>
      <c r="DV248" s="2" t="s">
        <v>102</v>
      </c>
      <c r="DW248" s="2" t="s">
        <v>2739</v>
      </c>
      <c r="DX248" s="2">
        <v>562</v>
      </c>
      <c r="DY248" s="12">
        <v>0</v>
      </c>
      <c r="DZ248" s="2" t="s">
        <v>102</v>
      </c>
      <c r="EA248" s="2" t="s">
        <v>102</v>
      </c>
      <c r="EB248" s="2" t="s">
        <v>102</v>
      </c>
      <c r="EC248" s="2" t="str">
        <f>HYPERLINK(".\links\gpi\AGAP009931-PA-gpi.txt","N")</f>
        <v>N</v>
      </c>
      <c r="ED248" s="2">
        <v>0.23</v>
      </c>
      <c r="EF248" s="2">
        <v>10</v>
      </c>
      <c r="EG248" s="2" t="str">
        <f>HYPERLINK(".\links\pep\AGAP009931-PA-sulf.txt","1")</f>
        <v>1</v>
      </c>
      <c r="EH248" s="2" t="s">
        <v>102</v>
      </c>
      <c r="EI248" s="2">
        <v>16.014234875444799</v>
      </c>
      <c r="EJ248" s="2">
        <v>3.5587188612099601</v>
      </c>
      <c r="EK248" s="2">
        <v>4.2704626334519604</v>
      </c>
      <c r="EL248" s="2">
        <v>7.8291814946619196</v>
      </c>
      <c r="EM248" s="2" t="s">
        <v>102</v>
      </c>
      <c r="EN248" s="2">
        <v>1</v>
      </c>
      <c r="EO248" s="2">
        <v>1</v>
      </c>
      <c r="EP248" s="2" t="s">
        <v>102</v>
      </c>
      <c r="EQ248" s="2" t="s">
        <v>102</v>
      </c>
      <c r="ER248" s="2" t="s">
        <v>102</v>
      </c>
      <c r="ES248" s="2" t="s">
        <v>102</v>
      </c>
      <c r="ET248" s="2" t="str">
        <f>HYPERLINK(".\links\REFSEQ-INVERTEBRATE\AGAP009931-PA-REFSEQ-INVERTEBRATE.txt","AGAP009931-PA")</f>
        <v>AGAP009931-PA</v>
      </c>
      <c r="EU248" s="2" t="str">
        <f>HYPERLINK("http://www.ncbi.nlm.nih.gov/sutils/blink.cgi?pid=XP_319053.4","0.0")</f>
        <v>0.0</v>
      </c>
      <c r="EV248" s="2" t="str">
        <f>HYPERLINK("http://www.ncbi.nlm.nih.gov/protein/XP_319053.4","XP_319053.4")</f>
        <v>XP_319053.4</v>
      </c>
      <c r="EW248" s="2">
        <v>100</v>
      </c>
      <c r="EX248" s="2">
        <v>100</v>
      </c>
      <c r="EY248" s="2">
        <v>100</v>
      </c>
      <c r="EZ248" s="2" t="s">
        <v>105</v>
      </c>
    </row>
    <row r="249" spans="1:156" x14ac:dyDescent="0.25">
      <c r="A249" s="2" t="s">
        <v>2745</v>
      </c>
      <c r="B249" s="2">
        <v>0.28806283392105098</v>
      </c>
      <c r="C249" s="2">
        <f t="shared" si="3"/>
        <v>1.2209996899001256</v>
      </c>
      <c r="D249" s="2">
        <v>6.3436854818489596</v>
      </c>
      <c r="E249" s="2">
        <v>11.067348335259799</v>
      </c>
      <c r="F249" s="2">
        <v>8.7861241580151797E-4</v>
      </c>
      <c r="G249" s="2">
        <v>3.0356607143661E-2</v>
      </c>
      <c r="H249" s="2" t="s">
        <v>2746</v>
      </c>
      <c r="I249" s="2" t="s">
        <v>94</v>
      </c>
      <c r="J249" s="2" t="str">
        <f>HYPERLINK("https://vectorbase.org/vectorbase/app/record/gene/AGAP012406","AGAP012406-RA")</f>
        <v>AGAP012406-RA</v>
      </c>
      <c r="K249" s="2" t="str">
        <f>HYPERLINK(".\links\pep\AGAP012406-PA-pep.txt","AGAP012406-PA")</f>
        <v>AGAP012406-PA</v>
      </c>
      <c r="L249" s="12" t="s">
        <v>95</v>
      </c>
      <c r="M249" s="2">
        <v>442</v>
      </c>
      <c r="N249" s="2">
        <v>0</v>
      </c>
      <c r="O249" s="2">
        <v>1</v>
      </c>
      <c r="P249" s="2" t="s">
        <v>2747</v>
      </c>
      <c r="Q249" s="9" t="s">
        <v>2748</v>
      </c>
      <c r="R249" s="2" t="s">
        <v>98</v>
      </c>
      <c r="S249" s="2" t="str">
        <f>HYPERLINK(".\links\REFSEQ-INVERTEBRATE\AGAP012406-PA-REFSEQ-INVERTEBRATE.txt","REFSEQ-INVERTEBRATE")</f>
        <v>REFSEQ-INVERTEBRATE</v>
      </c>
      <c r="T249" s="2">
        <v>0</v>
      </c>
      <c r="V249" s="2" t="s">
        <v>2749</v>
      </c>
      <c r="W249" s="10" t="s">
        <v>2750</v>
      </c>
      <c r="X249" s="2" t="s">
        <v>1079</v>
      </c>
      <c r="Y249" s="2" t="str">
        <f>HYPERLINK(".\links\UNIPROTKB\AGAP012406-PA-UNIPROTKB.txt","UNIPROTKB")</f>
        <v>UNIPROTKB</v>
      </c>
      <c r="Z249" s="15">
        <v>2.0000000000000001E-42</v>
      </c>
      <c r="AA249" s="2">
        <v>54.3</v>
      </c>
      <c r="AB249" s="13" t="s">
        <v>102</v>
      </c>
      <c r="AC249" s="13" t="str">
        <f>HYPERLINK(".\links\Sigp\AGAP012406-PA-SigP.txt","CYT")</f>
        <v>CYT</v>
      </c>
      <c r="AD249" s="2" t="s">
        <v>102</v>
      </c>
      <c r="AE249" s="2">
        <v>48.566000000000003</v>
      </c>
      <c r="AF249" s="2">
        <v>9.41</v>
      </c>
      <c r="AG249" s="2" t="s">
        <v>102</v>
      </c>
      <c r="AH249" s="2" t="s">
        <v>102</v>
      </c>
      <c r="AI249" s="2" t="s">
        <v>2751</v>
      </c>
      <c r="AJ249" s="13" t="str">
        <f>HYPERLINK(".\links\tmhmm\AGAP012406-PA-tmhmm.txt","4")</f>
        <v>4</v>
      </c>
      <c r="AK249" s="2">
        <v>18.8</v>
      </c>
      <c r="AL249" s="2">
        <v>27.6</v>
      </c>
      <c r="AM249" s="2">
        <v>53.6</v>
      </c>
      <c r="AN249" s="13" t="str">
        <f>HYPERLINK(".\links\gpi\AGAP012406-PA-gpi.txt","N")</f>
        <v>N</v>
      </c>
      <c r="AO249" s="14" t="str">
        <f>HYPERLINK(".\links\netoglyc\AGAP012406-PA-netoglyc.txt","9")</f>
        <v>9</v>
      </c>
      <c r="AP249" s="13">
        <v>16.5</v>
      </c>
      <c r="AQ249" s="2">
        <v>5.9</v>
      </c>
      <c r="AR249" s="2">
        <v>5.4</v>
      </c>
      <c r="AS249" s="2" t="s">
        <v>104</v>
      </c>
      <c r="AT249" s="9" t="str">
        <f>HYPERLINK(".\links\NR-LIGHT\AGAP012406-PA-NR-LIGHT.txt","AGAP012406-PA, partial")</f>
        <v>AGAP012406-PA, partial</v>
      </c>
      <c r="AU249" s="2" t="str">
        <f>HYPERLINK("http://www.ncbi.nlm.nih.gov/sutils/blink.cgi?pid=XP_551778.3","1E-150")</f>
        <v>1E-150</v>
      </c>
      <c r="AV249" s="2" t="str">
        <f>HYPERLINK("http://www.ncbi.nlm.nih.gov/protein/XP_551778.3","XP_551778.3")</f>
        <v>XP_551778.3</v>
      </c>
      <c r="AW249" s="2">
        <v>100</v>
      </c>
      <c r="AX249" s="2">
        <v>100</v>
      </c>
      <c r="AY249" s="2">
        <v>100</v>
      </c>
      <c r="AZ249" s="2" t="s">
        <v>105</v>
      </c>
      <c r="BA249" s="9" t="str">
        <f>HYPERLINK(".\links\REFSEQ-INVERTEBRATE\AGAP012406-PA-REFSEQ-INVERTEBRATE.txt","AGAP012406-PA, partial")</f>
        <v>AGAP012406-PA, partial</v>
      </c>
      <c r="BB249" s="2" t="str">
        <f>HYPERLINK("http://www.ncbi.nlm.nih.gov/sutils/blink.cgi?pid=XP_551778.3","1E-150")</f>
        <v>1E-150</v>
      </c>
      <c r="BC249" s="2" t="str">
        <f>HYPERLINK("http://www.ncbi.nlm.nih.gov/protein/XP_551778.3","XP_551778.3")</f>
        <v>XP_551778.3</v>
      </c>
      <c r="BD249" s="2">
        <v>100</v>
      </c>
      <c r="BE249" s="2">
        <v>100</v>
      </c>
      <c r="BF249" s="2">
        <v>100</v>
      </c>
      <c r="BG249" s="2" t="s">
        <v>105</v>
      </c>
      <c r="BH249" s="9" t="str">
        <f>HYPERLINK(".\links\REFSEQ-PROTOZOA\AGAP012406-PA-REFSEQ-PROTOZOA.txt","hypothetical protein SARC_07578")</f>
        <v>hypothetical protein SARC_07578</v>
      </c>
      <c r="BI249" s="2" t="str">
        <f>HYPERLINK("http://www.ncbi.nlm.nih.gov/sutils/blink.cgi?pid=XP_014153951.1","2E-028")</f>
        <v>2E-028</v>
      </c>
      <c r="BJ249" s="2" t="str">
        <f>HYPERLINK("http://www.ncbi.nlm.nih.gov/protein/XP_014153951.1","XP_014153951.1")</f>
        <v>XP_014153951.1</v>
      </c>
      <c r="BK249" s="2">
        <v>34</v>
      </c>
      <c r="BL249" s="2">
        <v>55</v>
      </c>
      <c r="BM249" s="2">
        <v>99</v>
      </c>
      <c r="BN249" s="2" t="s">
        <v>393</v>
      </c>
      <c r="BO249" s="9" t="str">
        <f>HYPERLINK(".\links\SWISSP\AGAP012406-PA-SWISSP.txt","Transmembrane protein 64")</f>
        <v>Transmembrane protein 64</v>
      </c>
      <c r="BP249" s="2" t="str">
        <f>HYPERLINK("http://www.uniprot.org/uniprot/Q3U145","7E-038")</f>
        <v>7E-038</v>
      </c>
      <c r="BQ249" s="2" t="str">
        <f>HYPERLINK("http://www.uniprot.org/uniprot/Q3U145#expression","Q3U145")</f>
        <v>Q3U145</v>
      </c>
      <c r="BR249" s="2">
        <v>36</v>
      </c>
      <c r="BS249" s="2">
        <v>62</v>
      </c>
      <c r="BT249" s="2">
        <v>59</v>
      </c>
      <c r="BU249" s="2" t="s">
        <v>662</v>
      </c>
      <c r="BV249" s="9" t="str">
        <f>HYPERLINK(".\links\FLYBASE\AGAP012406-PA-FLYBASE.txt","FBpp0078180")</f>
        <v>FBpp0078180</v>
      </c>
      <c r="BW249" s="2" t="str">
        <f>HYPERLINK("http://flybase.org/reports/FBgn0037185#alliance_summary_container","2E-96")</f>
        <v>2E-96</v>
      </c>
      <c r="BX249" s="2">
        <v>362</v>
      </c>
      <c r="BY249" s="2">
        <v>52</v>
      </c>
      <c r="BZ249" s="2">
        <v>71</v>
      </c>
      <c r="CA249" s="2">
        <v>78</v>
      </c>
      <c r="CB249" s="9" t="str">
        <f>HYPERLINK(".\links\CDD\AGAP012406-PA-CDD.txt","SNARE_assoc, SNARE associated Golgi protein")</f>
        <v>SNARE_assoc, SNARE associated Golgi protein</v>
      </c>
      <c r="CC249" s="15">
        <v>4.0000000000000003E-15</v>
      </c>
      <c r="CD249" s="2">
        <v>100</v>
      </c>
      <c r="CE249" s="2" t="s">
        <v>2752</v>
      </c>
      <c r="CF249" s="2" t="s">
        <v>2753</v>
      </c>
      <c r="CG249" s="9" t="str">
        <f>HYPERLINK(".\links\KOG\AGAP012406-PA-KOG.txt","Predicted membrane protein")</f>
        <v>Predicted membrane protein</v>
      </c>
      <c r="CH249" s="15">
        <v>1E-8</v>
      </c>
      <c r="CI249" s="2">
        <v>53.5</v>
      </c>
      <c r="CJ249" s="2" t="s">
        <v>2754</v>
      </c>
      <c r="CK249" s="2" t="s">
        <v>284</v>
      </c>
      <c r="CL249" s="9" t="str">
        <f>HYPERLINK(".\links\PFAM\AGAP012406-PA-PFAM.txt","SNARE_assoc, SNARE associated Golgi protein")</f>
        <v>SNARE_assoc, SNARE associated Golgi protein</v>
      </c>
      <c r="CM249" s="15">
        <v>9.0000000000000003E-16</v>
      </c>
      <c r="CN249" s="2">
        <v>100</v>
      </c>
      <c r="CO249" s="2" t="s">
        <v>2752</v>
      </c>
      <c r="CP249" s="9" t="str">
        <f>HYPERLINK(".\links\SMART\AGAP012406-PA-SMART.txt","CPSF73-100_C, This is the C-terminal conserved region of the pre-mRNA 3'-end-processing of the polyadenylation factor CPSF-73/CPSF-100 proteins")</f>
        <v>CPSF73-100_C, This is the C-terminal conserved region of the pre-mRNA 3'-end-processing of the polyadenylation factor CPSF-73/CPSF-100 proteins</v>
      </c>
      <c r="CQ249" s="15">
        <v>1.4</v>
      </c>
      <c r="CR249" s="2">
        <v>17.5</v>
      </c>
      <c r="CS249" s="2" t="s">
        <v>2755</v>
      </c>
      <c r="CT249" s="2" t="s">
        <v>2749</v>
      </c>
      <c r="CU249" s="2" t="s">
        <v>2749</v>
      </c>
      <c r="CV249" s="2" t="s">
        <v>2749</v>
      </c>
      <c r="CW249" s="2" t="str">
        <f>HYPERLINK(".\links\pep\AGAP012406-PA-pep.txt","AGAP012406-PA")</f>
        <v>AGAP012406-PA</v>
      </c>
      <c r="CX249" s="2" t="s">
        <v>95</v>
      </c>
      <c r="CY249" s="2">
        <v>442</v>
      </c>
      <c r="CZ249" s="2" t="s">
        <v>113</v>
      </c>
      <c r="DA249" s="2" t="s">
        <v>2756</v>
      </c>
      <c r="DB249" s="2">
        <v>0</v>
      </c>
      <c r="DC249" s="2">
        <v>1</v>
      </c>
      <c r="DD249" s="2" t="str">
        <f>HYPERLINK("https://www.kegg.jp/kegg-bin/search_pathway_text?map=aga&amp;keyword=AGAP012406&amp;mode=1&amp;viewImage=true","AGAP012406")</f>
        <v>AGAP012406</v>
      </c>
      <c r="DE249" s="2" t="s">
        <v>2745</v>
      </c>
      <c r="DF249" s="2" t="s">
        <v>2746</v>
      </c>
      <c r="DG249" s="2" t="s">
        <v>94</v>
      </c>
      <c r="DH249" s="2" t="str">
        <f>HYPERLINK("https://vectorbase.org/vectorbase/app/record/gene/AGAP012406","AGAP012406-RA")</f>
        <v>AGAP012406-RA</v>
      </c>
      <c r="DI249" s="2" t="s">
        <v>135</v>
      </c>
      <c r="DJ249" s="2">
        <v>2398</v>
      </c>
      <c r="DK249" s="2" t="str">
        <f>HYPERLINK(".\links\netoglyc\AGAP012406-PA-netoglyc.txt","9")</f>
        <v>9</v>
      </c>
      <c r="DL249" s="2">
        <v>16.5</v>
      </c>
      <c r="DM249" s="2">
        <v>5.9</v>
      </c>
      <c r="DN249" s="2">
        <v>5.4</v>
      </c>
      <c r="DO249" s="2" t="s">
        <v>104</v>
      </c>
      <c r="DP249" s="2" t="s">
        <v>102</v>
      </c>
      <c r="DQ249" s="2" t="str">
        <f>HYPERLINK(".\links\Sigp\AGAP012406-PA-SigP.txt","CYT")</f>
        <v>CYT</v>
      </c>
      <c r="DR249" s="2" t="s">
        <v>102</v>
      </c>
      <c r="DS249" s="2">
        <v>48.566000000000003</v>
      </c>
      <c r="DT249" s="2">
        <v>9.41</v>
      </c>
      <c r="DU249" s="2" t="s">
        <v>102</v>
      </c>
      <c r="DV249" s="2" t="s">
        <v>102</v>
      </c>
      <c r="DW249" s="2" t="s">
        <v>2751</v>
      </c>
      <c r="DX249" s="2">
        <v>442</v>
      </c>
      <c r="DY249" s="12" t="str">
        <f>HYPERLINK(".\links\tmhmm\AGAP012406-PA-tmhmm.txt","4")</f>
        <v>4</v>
      </c>
      <c r="DZ249" s="2">
        <v>18.8</v>
      </c>
      <c r="EA249" s="2">
        <v>27.6</v>
      </c>
      <c r="EB249" s="2">
        <v>53.6</v>
      </c>
      <c r="EC249" s="2" t="str">
        <f>HYPERLINK(".\links\gpi\AGAP012406-PA-gpi.txt","Y-NoSP")</f>
        <v>Y-NoSP</v>
      </c>
      <c r="ED249" s="2">
        <v>0.25</v>
      </c>
      <c r="EF249" s="2">
        <v>5</v>
      </c>
      <c r="EG249" s="2" t="s">
        <v>102</v>
      </c>
      <c r="EH249" s="2" t="s">
        <v>102</v>
      </c>
      <c r="EI249" s="2">
        <v>16.5158371040724</v>
      </c>
      <c r="EJ249" s="2">
        <v>5.4298642533936698</v>
      </c>
      <c r="EK249" s="2">
        <v>5.8823529411764701</v>
      </c>
      <c r="EL249" s="2">
        <v>11.312217194570101</v>
      </c>
      <c r="EM249" s="2" t="s">
        <v>102</v>
      </c>
      <c r="EN249" s="2">
        <v>2</v>
      </c>
      <c r="EO249" s="2">
        <v>2</v>
      </c>
      <c r="EP249" s="2" t="s">
        <v>102</v>
      </c>
      <c r="EQ249" s="2" t="s">
        <v>102</v>
      </c>
      <c r="ER249" s="2" t="s">
        <v>102</v>
      </c>
      <c r="ES249" s="2" t="s">
        <v>102</v>
      </c>
      <c r="ET249" s="2" t="str">
        <f>HYPERLINK(".\links\REFSEQ-INVERTEBRATE\AGAP012406-PA-REFSEQ-INVERTEBRATE.txt","AGAP012406-PA, partial")</f>
        <v>AGAP012406-PA, partial</v>
      </c>
      <c r="EU249" s="2" t="str">
        <f>HYPERLINK("http://www.ncbi.nlm.nih.gov/sutils/blink.cgi?pid=XP_551778.3","0.0")</f>
        <v>0.0</v>
      </c>
      <c r="EV249" s="2" t="str">
        <f>HYPERLINK("http://www.ncbi.nlm.nih.gov/protein/XP_551778.3","XP_551778.3")</f>
        <v>XP_551778.3</v>
      </c>
      <c r="EW249" s="2">
        <v>100</v>
      </c>
      <c r="EX249" s="2">
        <v>100</v>
      </c>
      <c r="EY249" s="2">
        <v>100</v>
      </c>
      <c r="EZ249" s="2" t="s">
        <v>105</v>
      </c>
    </row>
    <row r="250" spans="1:156" x14ac:dyDescent="0.25">
      <c r="A250" s="2" t="s">
        <v>2757</v>
      </c>
      <c r="B250" s="2">
        <v>0.28669010163133302</v>
      </c>
      <c r="C250" s="2">
        <f t="shared" si="3"/>
        <v>1.2198384545083596</v>
      </c>
      <c r="D250" s="2">
        <v>7.2312744340769202</v>
      </c>
      <c r="E250" s="2">
        <v>10.598164716201</v>
      </c>
      <c r="F250" s="2">
        <v>1.13199969862438E-3</v>
      </c>
      <c r="G250" s="2">
        <v>3.3908380030222798E-2</v>
      </c>
      <c r="H250" s="2" t="s">
        <v>93</v>
      </c>
      <c r="I250" s="2" t="s">
        <v>94</v>
      </c>
      <c r="J250" s="2" t="str">
        <f>HYPERLINK("https://vectorbase.org/vectorbase/app/record/gene/AGAP004841","AGAP004841-RA")</f>
        <v>AGAP004841-RA</v>
      </c>
      <c r="K250" s="2" t="str">
        <f>HYPERLINK(".\links\pep\AGAP004841-PA-pep.txt","AGAP004841-PA")</f>
        <v>AGAP004841-PA</v>
      </c>
      <c r="L250" s="12" t="s">
        <v>95</v>
      </c>
      <c r="M250" s="2">
        <v>1409</v>
      </c>
      <c r="N250" s="2">
        <v>0</v>
      </c>
      <c r="O250" s="2">
        <v>2</v>
      </c>
      <c r="P250" s="2" t="s">
        <v>102</v>
      </c>
      <c r="Q250" s="9" t="s">
        <v>2509</v>
      </c>
      <c r="R250" s="2" t="s">
        <v>358</v>
      </c>
      <c r="S250" s="2" t="str">
        <f>HYPERLINK(".\links\KOG\AGAP004841-PA-KOG.txt","KOG")</f>
        <v>KOG</v>
      </c>
      <c r="T250" s="2">
        <v>0</v>
      </c>
      <c r="U250" s="2">
        <v>100.7</v>
      </c>
      <c r="V250" s="2" t="s">
        <v>2758</v>
      </c>
      <c r="W250" s="10" t="s">
        <v>2511</v>
      </c>
      <c r="X250" s="2" t="s">
        <v>358</v>
      </c>
      <c r="Y250" s="2" t="str">
        <f>HYPERLINK(".\links\REFSEQVERTEBRATE95\AGAP004841-PA-REFSEQVERTEBRATE95.txt","REFSEQVERTEBRATE95")</f>
        <v>REFSEQVERTEBRATE95</v>
      </c>
      <c r="Z250" s="15">
        <v>0</v>
      </c>
      <c r="AA250" s="2">
        <v>80.3</v>
      </c>
      <c r="AB250" s="13" t="str">
        <f>HYPERLINK(".\links\pep\AGAP004841-PA-sulf.txt","2")</f>
        <v>2</v>
      </c>
      <c r="AC250" s="13" t="str">
        <f>HYPERLINK(".\links\Sigp\AGAP004841-PA-SigP.txt","CYT")</f>
        <v>CYT</v>
      </c>
      <c r="AD250" s="2" t="s">
        <v>102</v>
      </c>
      <c r="AE250" s="2">
        <v>154.16800000000001</v>
      </c>
      <c r="AF250" s="2">
        <v>7.61</v>
      </c>
      <c r="AG250" s="2" t="s">
        <v>102</v>
      </c>
      <c r="AH250" s="2" t="s">
        <v>102</v>
      </c>
      <c r="AI250" s="2" t="s">
        <v>2759</v>
      </c>
      <c r="AJ250" s="13">
        <v>0</v>
      </c>
      <c r="AK250" s="2" t="s">
        <v>102</v>
      </c>
      <c r="AL250" s="2" t="s">
        <v>102</v>
      </c>
      <c r="AM250" s="2" t="s">
        <v>102</v>
      </c>
      <c r="AN250" s="13" t="str">
        <f>HYPERLINK(".\links\gpi\AGAP004841-PA-gpi.txt","N")</f>
        <v>N</v>
      </c>
      <c r="AO250" s="14" t="str">
        <f>HYPERLINK(".\links\netoglyc\AGAP004841-PA-netoglyc.txt","9")</f>
        <v>9</v>
      </c>
      <c r="AP250" s="13">
        <v>18.7</v>
      </c>
      <c r="AQ250" s="2">
        <v>6.4</v>
      </c>
      <c r="AR250" s="2">
        <v>4.3</v>
      </c>
      <c r="AS250" s="2" t="s">
        <v>104</v>
      </c>
      <c r="AT250" s="9" t="str">
        <f>HYPERLINK(".\links\NR-LIGHT\AGAP004841-PA-NR-LIGHT.txt","AGAP004841-PA")</f>
        <v>AGAP004841-PA</v>
      </c>
      <c r="AU250" s="2" t="str">
        <f>HYPERLINK("http://www.ncbi.nlm.nih.gov/sutils/blink.cgi?pid=XP_314353.3","0.0")</f>
        <v>0.0</v>
      </c>
      <c r="AV250" s="2" t="str">
        <f>HYPERLINK("http://www.ncbi.nlm.nih.gov/protein/XP_314353.3","XP_314353.3")</f>
        <v>XP_314353.3</v>
      </c>
      <c r="AW250" s="2">
        <v>98</v>
      </c>
      <c r="AX250" s="2">
        <v>98</v>
      </c>
      <c r="AY250" s="2">
        <v>101</v>
      </c>
      <c r="AZ250" s="2" t="s">
        <v>105</v>
      </c>
      <c r="BA250" s="9" t="str">
        <f>HYPERLINK(".\links\REFSEQ-INVERTEBRATE\AGAP004841-PA-REFSEQ-INVERTEBRATE.txt","AGAP004841-PA")</f>
        <v>AGAP004841-PA</v>
      </c>
      <c r="BB250" s="2" t="str">
        <f>HYPERLINK("http://www.ncbi.nlm.nih.gov/sutils/blink.cgi?pid=XP_314353.3","0.0")</f>
        <v>0.0</v>
      </c>
      <c r="BC250" s="2" t="str">
        <f>HYPERLINK("http://www.ncbi.nlm.nih.gov/protein/XP_314353.3","XP_314353.3")</f>
        <v>XP_314353.3</v>
      </c>
      <c r="BD250" s="2">
        <v>98</v>
      </c>
      <c r="BE250" s="2">
        <v>98</v>
      </c>
      <c r="BF250" s="2">
        <v>101</v>
      </c>
      <c r="BG250" s="2" t="s">
        <v>105</v>
      </c>
      <c r="BH250" s="9" t="str">
        <f>HYPERLINK(".\links\REFSEQ-PROTOZOA\AGAP004841-PA-REFSEQ-PROTOZOA.txt","leucine rich repeat containing protein 16A")</f>
        <v>leucine rich repeat containing protein 16A</v>
      </c>
      <c r="BI250" s="2" t="str">
        <f>HYPERLINK("http://www.ncbi.nlm.nih.gov/sutils/blink.cgi?pid=XP_004365138.2","6E-095")</f>
        <v>6E-095</v>
      </c>
      <c r="BJ250" s="2" t="str">
        <f>HYPERLINK("http://www.ncbi.nlm.nih.gov/protein/XP_004365138.2","XP_004365138.2")</f>
        <v>XP_004365138.2</v>
      </c>
      <c r="BK250" s="2">
        <v>28</v>
      </c>
      <c r="BL250" s="2">
        <v>50</v>
      </c>
      <c r="BM250" s="2">
        <v>45</v>
      </c>
      <c r="BN250" s="2" t="s">
        <v>106</v>
      </c>
      <c r="BO250" s="9" t="str">
        <f>HYPERLINK(".\links\SWISSP\AGAP004841-PA-SWISSP.txt","F-actin-uncapping protein LRRC16A")</f>
        <v>F-actin-uncapping protein LRRC16A</v>
      </c>
      <c r="BP250" s="2" t="str">
        <f>HYPERLINK("http://www.uniprot.org/uniprot/Q5VZK9","0.0")</f>
        <v>0.0</v>
      </c>
      <c r="BQ250" s="2" t="str">
        <f>HYPERLINK("http://www.uniprot.org/uniprot/Q5VZK9#expression","Q5VZK9")</f>
        <v>Q5VZK9</v>
      </c>
      <c r="BR250" s="2">
        <v>38</v>
      </c>
      <c r="BS250" s="2">
        <v>57</v>
      </c>
      <c r="BT250" s="2">
        <v>77</v>
      </c>
      <c r="BU250" s="2" t="s">
        <v>127</v>
      </c>
      <c r="BV250" s="9" t="str">
        <f>HYPERLINK(".\links\FLYBASE\AGAP004841-PA-FLYBASE.txt","FBpp0305131")</f>
        <v>FBpp0305131</v>
      </c>
      <c r="BW250" s="2" t="str">
        <f>HYPERLINK("http://flybase.org/reports/FBgn0033212#alliance_summary_container","0.0")</f>
        <v>0.0</v>
      </c>
      <c r="BX250" s="2">
        <v>1486</v>
      </c>
      <c r="BY250" s="2">
        <v>66</v>
      </c>
      <c r="BZ250" s="2">
        <v>78</v>
      </c>
      <c r="CA250" s="2">
        <v>90</v>
      </c>
      <c r="CB250" s="9" t="str">
        <f>HYPERLINK(".\links\CDD\AGAP004841-PA-CDD.txt","CARMIL_C, CARMIL C-terminus")</f>
        <v>CARMIL_C, CARMIL C-terminus</v>
      </c>
      <c r="CC250" s="15">
        <v>1.9999999999999999E-60</v>
      </c>
      <c r="CD250" s="2">
        <v>110.5</v>
      </c>
      <c r="CE250" s="2" t="s">
        <v>2513</v>
      </c>
      <c r="CF250" s="2" t="s">
        <v>2760</v>
      </c>
      <c r="CG250" s="9" t="str">
        <f>HYPERLINK(".\links\KOG\AGAP004841-PA-KOG.txt","Predicted myosin-I-binding protein")</f>
        <v>Predicted myosin-I-binding protein</v>
      </c>
      <c r="CH250" s="15">
        <v>1E-141</v>
      </c>
      <c r="CI250" s="2">
        <v>100.7</v>
      </c>
      <c r="CJ250" s="2" t="s">
        <v>2515</v>
      </c>
      <c r="CK250" s="2" t="s">
        <v>2516</v>
      </c>
      <c r="CL250" s="9" t="str">
        <f>HYPERLINK(".\links\PFAM\AGAP004841-PA-PFAM.txt","CARMIL_C, CARMIL C-terminus")</f>
        <v>CARMIL_C, CARMIL C-terminus</v>
      </c>
      <c r="CM250" s="15">
        <v>3.0000000000000001E-61</v>
      </c>
      <c r="CN250" s="2">
        <v>110.5</v>
      </c>
      <c r="CO250" s="2" t="s">
        <v>2513</v>
      </c>
      <c r="CP250" s="9" t="str">
        <f>HYPERLINK(".\links\SMART\AGAP004841-PA-SMART.txt","LRR_RI, Leucine rich repeat, ribonuclease inhibitor type")</f>
        <v>LRR_RI, Leucine rich repeat, ribonuclease inhibitor type</v>
      </c>
      <c r="CQ250" s="15">
        <v>5.1999999999999998E-2</v>
      </c>
      <c r="CR250" s="2">
        <v>96.4</v>
      </c>
      <c r="CS250" s="2" t="s">
        <v>2517</v>
      </c>
      <c r="CT250" s="2" t="s">
        <v>2758</v>
      </c>
      <c r="CU250" s="2" t="s">
        <v>2758</v>
      </c>
      <c r="CV250" s="2" t="s">
        <v>2758</v>
      </c>
      <c r="CW250" s="2" t="str">
        <f>HYPERLINK(".\links\pep\AGAP004841-PA-pep.txt","AGAP004841-PA")</f>
        <v>AGAP004841-PA</v>
      </c>
      <c r="CX250" s="2" t="s">
        <v>95</v>
      </c>
      <c r="CY250" s="2">
        <v>1409</v>
      </c>
      <c r="CZ250" s="2" t="s">
        <v>113</v>
      </c>
      <c r="DA250" s="2" t="s">
        <v>2761</v>
      </c>
      <c r="DB250" s="2">
        <v>0</v>
      </c>
      <c r="DC250" s="2">
        <v>2</v>
      </c>
      <c r="DD250" s="2" t="str">
        <f>HYPERLINK("https://www.kegg.jp/kegg-bin/search_pathway_text?map=aga&amp;keyword=AGAP004841&amp;mode=1&amp;viewImage=true","AGAP004841")</f>
        <v>AGAP004841</v>
      </c>
      <c r="DE250" s="2" t="s">
        <v>2757</v>
      </c>
      <c r="DF250" s="2" t="s">
        <v>93</v>
      </c>
      <c r="DG250" s="2" t="s">
        <v>94</v>
      </c>
      <c r="DH250" s="2" t="str">
        <f>HYPERLINK("https://vectorbase.org/vectorbase/app/record/gene/AGAP004841","AGAP004841-RA")</f>
        <v>AGAP004841-RA</v>
      </c>
      <c r="DI250" s="2" t="s">
        <v>90</v>
      </c>
      <c r="DJ250" s="2">
        <v>5807</v>
      </c>
      <c r="DK250" s="2" t="str">
        <f>HYPERLINK(".\links\netoglyc\AGAP004841-PA-netoglyc.txt","9")</f>
        <v>9</v>
      </c>
      <c r="DL250" s="2">
        <v>18.7</v>
      </c>
      <c r="DM250" s="2">
        <v>6.4</v>
      </c>
      <c r="DN250" s="2">
        <v>4.3</v>
      </c>
      <c r="DO250" s="2" t="s">
        <v>104</v>
      </c>
      <c r="DP250" s="2" t="s">
        <v>2762</v>
      </c>
      <c r="DQ250" s="2" t="str">
        <f>HYPERLINK(".\links\Sigp\AGAP004841-PA-SigP.txt","CYT")</f>
        <v>CYT</v>
      </c>
      <c r="DR250" s="2" t="s">
        <v>102</v>
      </c>
      <c r="DS250" s="2">
        <v>154.16800000000001</v>
      </c>
      <c r="DT250" s="2">
        <v>7.61</v>
      </c>
      <c r="DU250" s="2" t="s">
        <v>102</v>
      </c>
      <c r="DV250" s="2" t="s">
        <v>102</v>
      </c>
      <c r="DW250" s="2" t="s">
        <v>2759</v>
      </c>
      <c r="DX250" s="2">
        <v>1409</v>
      </c>
      <c r="DY250" s="12">
        <v>0</v>
      </c>
      <c r="DZ250" s="2" t="s">
        <v>102</v>
      </c>
      <c r="EA250" s="2" t="s">
        <v>102</v>
      </c>
      <c r="EB250" s="2" t="s">
        <v>102</v>
      </c>
      <c r="EC250" s="2" t="str">
        <f>HYPERLINK(".\links\gpi\AGAP004841-PA-gpi.txt","Y-NoSP")</f>
        <v>Y-NoSP</v>
      </c>
      <c r="ED250" s="2">
        <v>0.2</v>
      </c>
      <c r="EF250" s="2">
        <v>20</v>
      </c>
      <c r="EG250" s="2" t="str">
        <f>HYPERLINK(".\links\pep\AGAP004841-PA-sulf.txt","2")</f>
        <v>2</v>
      </c>
      <c r="EH250" s="2" t="s">
        <v>102</v>
      </c>
      <c r="EI250" s="2">
        <v>18.736692689851001</v>
      </c>
      <c r="EJ250" s="2">
        <v>4.3293115684882899</v>
      </c>
      <c r="EK250" s="2">
        <v>6.3875088715401001</v>
      </c>
      <c r="EL250" s="2">
        <v>10.7168204400284</v>
      </c>
      <c r="EM250" s="2" t="s">
        <v>102</v>
      </c>
      <c r="EN250" s="2">
        <v>8</v>
      </c>
      <c r="EO250" s="2">
        <v>11</v>
      </c>
      <c r="EP250" s="2" t="s">
        <v>102</v>
      </c>
      <c r="EQ250" s="2" t="s">
        <v>102</v>
      </c>
      <c r="ER250" s="2" t="s">
        <v>102</v>
      </c>
      <c r="ES250" s="2" t="s">
        <v>102</v>
      </c>
      <c r="ET250" s="2" t="str">
        <f>HYPERLINK(".\links\REFSEQ-INVERTEBRATE\AGAP004841-PA-REFSEQ-INVERTEBRATE.txt","F-actin-uncapping protein LRRC16A isoform X3")</f>
        <v>F-actin-uncapping protein LRRC16A isoform X3</v>
      </c>
      <c r="EU250" s="2" t="str">
        <f>HYPERLINK("http://www.ncbi.nlm.nih.gov/sutils/blink.cgi?pid=XP_035912268.1","0.0")</f>
        <v>0.0</v>
      </c>
      <c r="EV250" s="2" t="str">
        <f>HYPERLINK("http://www.ncbi.nlm.nih.gov/protein/XP_035912268.1","XP_035912268.1")</f>
        <v>XP_035912268.1</v>
      </c>
      <c r="EW250" s="2">
        <v>93</v>
      </c>
      <c r="EX250" s="2">
        <v>95</v>
      </c>
      <c r="EY250" s="2">
        <v>101</v>
      </c>
      <c r="EZ250" s="2" t="s">
        <v>370</v>
      </c>
    </row>
    <row r="251" spans="1:156" x14ac:dyDescent="0.25">
      <c r="A251" s="2" t="s">
        <v>2763</v>
      </c>
      <c r="B251" s="2">
        <v>0.28606848556417902</v>
      </c>
      <c r="C251" s="2">
        <f t="shared" si="3"/>
        <v>1.2193129741913586</v>
      </c>
      <c r="D251" s="2">
        <v>5.8586878477042603</v>
      </c>
      <c r="E251" s="2">
        <v>9.6288062912895604</v>
      </c>
      <c r="F251" s="2">
        <v>1.91549063146749E-3</v>
      </c>
      <c r="G251" s="2">
        <v>4.26678687740982E-2</v>
      </c>
      <c r="H251" s="2" t="s">
        <v>2764</v>
      </c>
      <c r="I251" s="2" t="s">
        <v>94</v>
      </c>
      <c r="J251" s="2" t="str">
        <f>HYPERLINK("https://vectorbase.org/vectorbase/app/record/gene/AGAP004938","AGAP004938-RB")</f>
        <v>AGAP004938-RB</v>
      </c>
      <c r="K251" s="2" t="str">
        <f>HYPERLINK(".\links\pep\AGAP004938-PB-pep.txt","AGAP004938-PB")</f>
        <v>AGAP004938-PB</v>
      </c>
      <c r="L251" s="12" t="s">
        <v>95</v>
      </c>
      <c r="M251" s="2">
        <v>319</v>
      </c>
      <c r="N251" s="2">
        <v>0</v>
      </c>
      <c r="O251" s="2">
        <v>0</v>
      </c>
      <c r="P251" s="2" t="s">
        <v>2765</v>
      </c>
      <c r="Q251" s="9" t="s">
        <v>2766</v>
      </c>
      <c r="R251" s="2" t="s">
        <v>2767</v>
      </c>
      <c r="S251" s="2" t="str">
        <f>HYPERLINK(".\links\REFSEQ-INVERTEBRATE\AGAP004938-PB-REFSEQ-INVERTEBRATE.txt","REFSEQ-INVERTEBRATE")</f>
        <v>REFSEQ-INVERTEBRATE</v>
      </c>
      <c r="T251" s="2">
        <v>0</v>
      </c>
      <c r="U251" s="2">
        <v>76.099999999999994</v>
      </c>
      <c r="V251" s="2" t="s">
        <v>2768</v>
      </c>
      <c r="W251" s="10" t="s">
        <v>2769</v>
      </c>
      <c r="X251" s="2" t="s">
        <v>2767</v>
      </c>
      <c r="Y251" s="2" t="str">
        <f>HYPERLINK(".\links\REFSEQVERTEBRATE95\AGAP004938-PB-REFSEQVERTEBRATE95.txt","REFSEQVERTEBRATE95")</f>
        <v>REFSEQVERTEBRATE95</v>
      </c>
      <c r="Z251" s="15">
        <v>0</v>
      </c>
      <c r="AA251" s="2">
        <v>79.2</v>
      </c>
      <c r="AB251" s="13" t="s">
        <v>102</v>
      </c>
      <c r="AC251" s="13" t="str">
        <f>HYPERLINK(".\links\Sigp\AGAP004938-PB-SigP.txt","CYT")</f>
        <v>CYT</v>
      </c>
      <c r="AD251" s="2" t="s">
        <v>102</v>
      </c>
      <c r="AE251" s="2">
        <v>37.276000000000003</v>
      </c>
      <c r="AF251" s="2">
        <v>8.51</v>
      </c>
      <c r="AG251" s="2" t="s">
        <v>102</v>
      </c>
      <c r="AH251" s="2" t="s">
        <v>102</v>
      </c>
      <c r="AI251" s="2" t="s">
        <v>2770</v>
      </c>
      <c r="AJ251" s="13" t="str">
        <f>HYPERLINK(".\links\tmhmm\AGAP004938-PB-tmhmm.txt","4")</f>
        <v>4</v>
      </c>
      <c r="AK251" s="2">
        <v>26.6</v>
      </c>
      <c r="AL251" s="2">
        <v>7.8</v>
      </c>
      <c r="AM251" s="2">
        <v>65.5</v>
      </c>
      <c r="AN251" s="13" t="str">
        <f>HYPERLINK(".\links\gpi\AGAP004938-PB-gpi.txt","N")</f>
        <v>N</v>
      </c>
      <c r="AO251" s="14" t="str">
        <f>HYPERLINK(".\links\netoglyc\AGAP004938-PB-netoglyc.txt","0")</f>
        <v>0</v>
      </c>
      <c r="AP251" s="13">
        <v>11</v>
      </c>
      <c r="AQ251" s="2">
        <v>5.3</v>
      </c>
      <c r="AR251" s="2">
        <v>4.0999999999999996</v>
      </c>
      <c r="AS251" s="2" t="s">
        <v>104</v>
      </c>
      <c r="AT251" s="9" t="str">
        <f>HYPERLINK(".\links\NR-LIGHT\AGAP004938-PB-NR-LIGHT.txt","AGAP004938-PA")</f>
        <v>AGAP004938-PA</v>
      </c>
      <c r="AU251" s="2" t="str">
        <f>HYPERLINK("http://www.ncbi.nlm.nih.gov/sutils/blink.cgi?pid=XP_315027.4","0.0")</f>
        <v>0.0</v>
      </c>
      <c r="AV251" s="2" t="str">
        <f>HYPERLINK("http://www.ncbi.nlm.nih.gov/protein/XP_315027.4","XP_315027.4")</f>
        <v>XP_315027.4</v>
      </c>
      <c r="AW251" s="2">
        <v>100</v>
      </c>
      <c r="AX251" s="2">
        <v>100</v>
      </c>
      <c r="AY251" s="2">
        <v>100</v>
      </c>
      <c r="AZ251" s="2" t="s">
        <v>105</v>
      </c>
      <c r="BA251" s="9" t="str">
        <f>HYPERLINK(".\links\REFSEQ-INVERTEBRATE\AGAP004938-PB-REFSEQ-INVERTEBRATE.txt","AGAP004938-PA")</f>
        <v>AGAP004938-PA</v>
      </c>
      <c r="BB251" s="2" t="str">
        <f>HYPERLINK("http://www.ncbi.nlm.nih.gov/sutils/blink.cgi?pid=XP_315027.4","0.0")</f>
        <v>0.0</v>
      </c>
      <c r="BC251" s="2" t="str">
        <f>HYPERLINK("http://www.ncbi.nlm.nih.gov/protein/XP_315027.4","XP_315027.4")</f>
        <v>XP_315027.4</v>
      </c>
      <c r="BD251" s="2">
        <v>100</v>
      </c>
      <c r="BE251" s="2">
        <v>100</v>
      </c>
      <c r="BF251" s="2">
        <v>100</v>
      </c>
      <c r="BG251" s="2" t="s">
        <v>105</v>
      </c>
      <c r="BH251" s="9" t="str">
        <f>HYPERLINK(".\links\REFSEQ-PROTOZOA\AGAP004938-PB-REFSEQ-PROTOZOA.txt","hypothetical protein CAOG_07314")</f>
        <v>hypothetical protein CAOG_07314</v>
      </c>
      <c r="BI251" s="2" t="str">
        <f>HYPERLINK("http://www.ncbi.nlm.nih.gov/sutils/blink.cgi?pid=XP_004343173.1","6E-056")</f>
        <v>6E-056</v>
      </c>
      <c r="BJ251" s="2" t="str">
        <f>HYPERLINK("http://www.ncbi.nlm.nih.gov/protein/XP_004343173.1","XP_004343173.1")</f>
        <v>XP_004343173.1</v>
      </c>
      <c r="BK251" s="2">
        <v>38</v>
      </c>
      <c r="BL251" s="2">
        <v>57</v>
      </c>
      <c r="BM251" s="2">
        <v>79</v>
      </c>
      <c r="BN251" s="2" t="s">
        <v>106</v>
      </c>
      <c r="BO251" s="9" t="str">
        <f>HYPERLINK(".\links\SWISSP\AGAP004938-PB-SWISSP.txt","Palmitoyltransferase ZDHHC15")</f>
        <v>Palmitoyltransferase ZDHHC15</v>
      </c>
      <c r="BP251" s="2" t="str">
        <f>HYPERLINK("http://www.uniprot.org/uniprot/Q5FWL7","1E-092")</f>
        <v>1E-092</v>
      </c>
      <c r="BQ251" s="2" t="str">
        <f>HYPERLINK("http://www.uniprot.org/uniprot/Q5FWL7#expression","Q5FWL7")</f>
        <v>Q5FWL7</v>
      </c>
      <c r="BR251" s="2">
        <v>51</v>
      </c>
      <c r="BS251" s="2">
        <v>71</v>
      </c>
      <c r="BT251" s="2">
        <v>84</v>
      </c>
      <c r="BU251" s="2" t="s">
        <v>625</v>
      </c>
      <c r="BV251" s="9" t="str">
        <f>HYPERLINK(".\links\FLYBASE\AGAP004938-PB-FLYBASE.txt","FBpp0308506")</f>
        <v>FBpp0308506</v>
      </c>
      <c r="BW251" s="2" t="str">
        <f>HYPERLINK("http://flybase.org/reports/FBgn0033474#alliance_summary_container","1E-135")</f>
        <v>1E-135</v>
      </c>
      <c r="BX251" s="2">
        <v>440</v>
      </c>
      <c r="BY251" s="2">
        <v>59</v>
      </c>
      <c r="BZ251" s="2">
        <v>75</v>
      </c>
      <c r="CA251" s="2">
        <v>68</v>
      </c>
      <c r="CB251" s="9" t="str">
        <f>HYPERLINK(".\links\CDD\AGAP004938-PB-CDD.txt","COG5273, Uncharacterized protein containing DHHC-type Zn finger")</f>
        <v>COG5273, Uncharacterized protein containing DHHC-type Zn finger</v>
      </c>
      <c r="CC251" s="15">
        <v>2.9999999999999999E-30</v>
      </c>
      <c r="CD251" s="2">
        <v>93.5</v>
      </c>
      <c r="CE251" s="2" t="s">
        <v>2771</v>
      </c>
      <c r="CF251" s="2" t="s">
        <v>2772</v>
      </c>
      <c r="CG251" s="9" t="str">
        <f>HYPERLINK(".\links\KOG\AGAP004938-PB-KOG.txt","Predicted DHHC-type Zn-finger protein")</f>
        <v>Predicted DHHC-type Zn-finger protein</v>
      </c>
      <c r="CH251" s="15">
        <v>1E-79</v>
      </c>
      <c r="CI251" s="2">
        <v>95.8</v>
      </c>
      <c r="CJ251" s="2" t="s">
        <v>2773</v>
      </c>
      <c r="CK251" s="2" t="s">
        <v>191</v>
      </c>
      <c r="CL251" s="9" t="str">
        <f>HYPERLINK(".\links\PFAM\AGAP004938-PB-PFAM.txt","zf-DHHC, DHHC palmitoyltransferase")</f>
        <v>zf-DHHC, DHHC palmitoyltransferase</v>
      </c>
      <c r="CM251" s="15">
        <v>3.9999999999999998E-29</v>
      </c>
      <c r="CN251" s="2">
        <v>92.4</v>
      </c>
      <c r="CO251" s="2" t="s">
        <v>2774</v>
      </c>
      <c r="CP251" s="9" t="str">
        <f>HYPERLINK(".\links\SMART\AGAP004938-PB-SMART.txt","PepX_N, X-Prolyl dipeptidyl aminopeptidase PepX, N-terminal")</f>
        <v>PepX_N, X-Prolyl dipeptidyl aminopeptidase PepX, N-terminal</v>
      </c>
      <c r="CQ251" s="15">
        <v>1.1000000000000001</v>
      </c>
      <c r="CR251" s="2">
        <v>23.1</v>
      </c>
      <c r="CS251" s="2" t="s">
        <v>2775</v>
      </c>
      <c r="CT251" s="2" t="s">
        <v>2768</v>
      </c>
      <c r="CU251" s="2" t="s">
        <v>2768</v>
      </c>
      <c r="CV251" s="2" t="s">
        <v>2768</v>
      </c>
      <c r="CW251" s="2" t="str">
        <f>HYPERLINK(".\links\pep\AGAP004938-PB-pep.txt","AGAP004938-PB")</f>
        <v>AGAP004938-PB</v>
      </c>
      <c r="CX251" s="2" t="s">
        <v>95</v>
      </c>
      <c r="CY251" s="2">
        <v>319</v>
      </c>
      <c r="CZ251" s="2" t="s">
        <v>113</v>
      </c>
      <c r="DA251" s="2" t="s">
        <v>2776</v>
      </c>
      <c r="DB251" s="2">
        <v>0</v>
      </c>
      <c r="DC251" s="2">
        <v>0</v>
      </c>
      <c r="DD251" s="2" t="str">
        <f>HYPERLINK("https://www.kegg.jp/kegg-bin/search_pathway_text?map=aga&amp;keyword=AGAP004938&amp;mode=1&amp;viewImage=true","AGAP004938")</f>
        <v>AGAP004938</v>
      </c>
      <c r="DE251" s="2" t="s">
        <v>2763</v>
      </c>
      <c r="DF251" s="2" t="s">
        <v>2764</v>
      </c>
      <c r="DG251" s="2" t="s">
        <v>94</v>
      </c>
      <c r="DH251" s="2" t="str">
        <f>HYPERLINK("https://vectorbase.org/vectorbase/app/record/gene/AGAP004938","AGAP004938-RB")</f>
        <v>AGAP004938-RB</v>
      </c>
      <c r="DI251" s="2" t="s">
        <v>118</v>
      </c>
      <c r="DJ251" s="2">
        <v>2080</v>
      </c>
      <c r="DK251" s="2" t="str">
        <f>HYPERLINK(".\links\netoglyc\AGAP004938-PB-netoglyc.txt","0")</f>
        <v>0</v>
      </c>
      <c r="DL251" s="2">
        <v>11</v>
      </c>
      <c r="DM251" s="2">
        <v>5.3</v>
      </c>
      <c r="DN251" s="2">
        <v>4.0999999999999996</v>
      </c>
      <c r="DO251" s="2" t="s">
        <v>104</v>
      </c>
      <c r="DP251" s="2" t="s">
        <v>102</v>
      </c>
      <c r="DQ251" s="2" t="str">
        <f>HYPERLINK(".\links\Sigp\AGAP004938-PB-SigP.txt","CYT")</f>
        <v>CYT</v>
      </c>
      <c r="DR251" s="2" t="s">
        <v>102</v>
      </c>
      <c r="DS251" s="2">
        <v>37.276000000000003</v>
      </c>
      <c r="DT251" s="2">
        <v>8.51</v>
      </c>
      <c r="DU251" s="2" t="s">
        <v>102</v>
      </c>
      <c r="DV251" s="2" t="s">
        <v>102</v>
      </c>
      <c r="DW251" s="2" t="s">
        <v>2770</v>
      </c>
      <c r="DX251" s="2">
        <v>319</v>
      </c>
      <c r="DY251" s="12" t="str">
        <f>HYPERLINK(".\links\tmhmm\AGAP004938-PB-tmhmm.txt","4")</f>
        <v>4</v>
      </c>
      <c r="DZ251" s="2">
        <v>26.6</v>
      </c>
      <c r="EA251" s="2">
        <v>7.8</v>
      </c>
      <c r="EB251" s="2">
        <v>65.5</v>
      </c>
      <c r="EC251" s="2" t="str">
        <f>HYPERLINK(".\links\gpi\AGAP004938-PB-gpi.txt","N")</f>
        <v>N</v>
      </c>
      <c r="ED251" s="2">
        <v>0.38</v>
      </c>
      <c r="EF251" s="2">
        <v>13</v>
      </c>
      <c r="EG251" s="2" t="s">
        <v>102</v>
      </c>
      <c r="EH251" s="2" t="s">
        <v>102</v>
      </c>
      <c r="EI251" s="2">
        <v>10.9717868338558</v>
      </c>
      <c r="EJ251" s="2">
        <v>4.0752351097178696</v>
      </c>
      <c r="EK251" s="2">
        <v>5.3291536050156703</v>
      </c>
      <c r="EL251" s="2">
        <v>9.4043887147335408</v>
      </c>
      <c r="EM251" s="2" t="s">
        <v>102</v>
      </c>
      <c r="EN251" s="2" t="s">
        <v>102</v>
      </c>
      <c r="EO251" s="2" t="s">
        <v>102</v>
      </c>
      <c r="EP251" s="2" t="s">
        <v>102</v>
      </c>
      <c r="EQ251" s="2" t="s">
        <v>102</v>
      </c>
      <c r="ER251" s="2" t="s">
        <v>102</v>
      </c>
      <c r="ES251" s="2" t="s">
        <v>102</v>
      </c>
      <c r="ET251" s="2" t="str">
        <f>HYPERLINK(".\links\REFSEQ-INVERTEBRATE\AGAP004938-PB-REFSEQ-INVERTEBRATE.txt","AGAP004938-PA")</f>
        <v>AGAP004938-PA</v>
      </c>
      <c r="EU251" s="2" t="str">
        <f>HYPERLINK("http://www.ncbi.nlm.nih.gov/sutils/blink.cgi?pid=XP_315027.4","0.0")</f>
        <v>0.0</v>
      </c>
      <c r="EV251" s="2" t="str">
        <f>HYPERLINK("http://www.ncbi.nlm.nih.gov/protein/XP_315027.4","XP_315027.4")</f>
        <v>XP_315027.4</v>
      </c>
      <c r="EW251" s="2">
        <v>100</v>
      </c>
      <c r="EX251" s="2">
        <v>100</v>
      </c>
      <c r="EY251" s="2">
        <v>100</v>
      </c>
      <c r="EZ251" s="2" t="s">
        <v>105</v>
      </c>
    </row>
    <row r="252" spans="1:156" x14ac:dyDescent="0.25">
      <c r="A252" s="2" t="s">
        <v>2777</v>
      </c>
      <c r="B252" s="2">
        <v>0.28554742164041402</v>
      </c>
      <c r="C252" s="2">
        <f t="shared" si="3"/>
        <v>1.2188726695779122</v>
      </c>
      <c r="D252" s="2">
        <v>7.4284959186331596</v>
      </c>
      <c r="E252" s="2">
        <v>13.751550522958899</v>
      </c>
      <c r="F252" s="2">
        <v>2.08648521098128E-4</v>
      </c>
      <c r="G252" s="2">
        <v>1.6190796656866499E-2</v>
      </c>
      <c r="H252" s="2" t="s">
        <v>2778</v>
      </c>
      <c r="I252" s="2" t="s">
        <v>94</v>
      </c>
      <c r="J252" s="2" t="str">
        <f>HYPERLINK("https://vectorbase.org/vectorbase/app/record/gene/AGAP003598","AGAP003598-RA")</f>
        <v>AGAP003598-RA</v>
      </c>
      <c r="K252" s="2" t="str">
        <f>HYPERLINK(".\links\pep\AGAP003598-PA-pep.txt","AGAP003598-PA")</f>
        <v>AGAP003598-PA</v>
      </c>
      <c r="L252" s="12" t="s">
        <v>95</v>
      </c>
      <c r="M252" s="2">
        <v>250</v>
      </c>
      <c r="N252" s="2">
        <v>0</v>
      </c>
      <c r="O252" s="2">
        <v>1</v>
      </c>
      <c r="P252" s="2" t="s">
        <v>2779</v>
      </c>
      <c r="Q252" s="9" t="s">
        <v>2780</v>
      </c>
      <c r="R252" s="2" t="s">
        <v>388</v>
      </c>
      <c r="S252" s="2" t="str">
        <f>HYPERLINK(".\links\KOG\AGAP003598-PA-KOG.txt","KOG")</f>
        <v>KOG</v>
      </c>
      <c r="T252" s="2">
        <v>3E-51</v>
      </c>
      <c r="U252" s="2">
        <v>90.7</v>
      </c>
      <c r="V252" s="2" t="s">
        <v>2781</v>
      </c>
      <c r="W252" s="10" t="s">
        <v>2782</v>
      </c>
      <c r="X252" s="2" t="s">
        <v>2783</v>
      </c>
      <c r="Y252" s="2" t="str">
        <f>HYPERLINK(".\links\UNIPROTKB\AGAP003598-PA-UNIPROTKB.txt","UNIPROTKB")</f>
        <v>UNIPROTKB</v>
      </c>
      <c r="Z252" s="15">
        <v>9.0000000000000006E-80</v>
      </c>
      <c r="AA252" s="2">
        <v>68.2</v>
      </c>
      <c r="AB252" s="13" t="s">
        <v>102</v>
      </c>
      <c r="AC252" s="13" t="str">
        <f>HYPERLINK(".\links\Sigp\AGAP003598-PA-SigP.txt","CYT")</f>
        <v>CYT</v>
      </c>
      <c r="AD252" s="2" t="s">
        <v>102</v>
      </c>
      <c r="AE252" s="2">
        <v>29.202000000000002</v>
      </c>
      <c r="AF252" s="2">
        <v>4.3099999999999996</v>
      </c>
      <c r="AG252" s="2" t="s">
        <v>102</v>
      </c>
      <c r="AH252" s="2" t="s">
        <v>102</v>
      </c>
      <c r="AI252" s="2" t="s">
        <v>555</v>
      </c>
      <c r="AJ252" s="13">
        <v>0</v>
      </c>
      <c r="AK252" s="2" t="s">
        <v>102</v>
      </c>
      <c r="AL252" s="2" t="s">
        <v>102</v>
      </c>
      <c r="AM252" s="2" t="s">
        <v>102</v>
      </c>
      <c r="AN252" s="13" t="str">
        <f>HYPERLINK(".\links\gpi\AGAP003598-PA-gpi.txt","N")</f>
        <v>N</v>
      </c>
      <c r="AO252" s="14" t="str">
        <f>HYPERLINK(".\links\netoglyc\AGAP003598-PA-netoglyc.txt","4")</f>
        <v>4</v>
      </c>
      <c r="AP252" s="13">
        <v>8.8000000000000007</v>
      </c>
      <c r="AQ252" s="2">
        <v>4</v>
      </c>
      <c r="AR252" s="2">
        <v>5.6</v>
      </c>
      <c r="AS252" s="2" t="s">
        <v>104</v>
      </c>
      <c r="AT252" s="9" t="str">
        <f>HYPERLINK(".\links\NR-LIGHT\AGAP003598-PA-NR-LIGHT.txt","AGAP003598-PA")</f>
        <v>AGAP003598-PA</v>
      </c>
      <c r="AU252" s="2" t="str">
        <f>HYPERLINK("http://www.ncbi.nlm.nih.gov/sutils/blink.cgi?pid=XP_313356.4","1E-144")</f>
        <v>1E-144</v>
      </c>
      <c r="AV252" s="2" t="str">
        <f>HYPERLINK("http://www.ncbi.nlm.nih.gov/protein/XP_313356.4","XP_313356.4")</f>
        <v>XP_313356.4</v>
      </c>
      <c r="AW252" s="2">
        <v>100</v>
      </c>
      <c r="AX252" s="2">
        <v>100</v>
      </c>
      <c r="AY252" s="2">
        <v>100</v>
      </c>
      <c r="AZ252" s="2" t="s">
        <v>105</v>
      </c>
      <c r="BA252" s="9" t="str">
        <f>HYPERLINK(".\links\REFSEQ-INVERTEBRATE\AGAP003598-PA-REFSEQ-INVERTEBRATE.txt","AGAP003598-PA")</f>
        <v>AGAP003598-PA</v>
      </c>
      <c r="BB252" s="2" t="str">
        <f>HYPERLINK("http://www.ncbi.nlm.nih.gov/sutils/blink.cgi?pid=XP_313356.4","1E-144")</f>
        <v>1E-144</v>
      </c>
      <c r="BC252" s="2" t="str">
        <f>HYPERLINK("http://www.ncbi.nlm.nih.gov/protein/XP_313356.4","XP_313356.4")</f>
        <v>XP_313356.4</v>
      </c>
      <c r="BD252" s="2">
        <v>100</v>
      </c>
      <c r="BE252" s="2">
        <v>100</v>
      </c>
      <c r="BF252" s="2">
        <v>100</v>
      </c>
      <c r="BG252" s="2" t="s">
        <v>105</v>
      </c>
      <c r="BH252" s="9" t="str">
        <f>HYPERLINK(".\links\REFSEQ-PROTOZOA\AGAP003598-PA-REFSEQ-PROTOZOA.txt","hypothetical protein PHYSODRAFT_350583")</f>
        <v>hypothetical protein PHYSODRAFT_350583</v>
      </c>
      <c r="BI252" s="2" t="str">
        <f>HYPERLINK("http://www.ncbi.nlm.nih.gov/sutils/blink.cgi?pid=XP_009523265.1","2E-033")</f>
        <v>2E-033</v>
      </c>
      <c r="BJ252" s="2" t="str">
        <f>HYPERLINK("http://www.ncbi.nlm.nih.gov/protein/XP_009523265.1","XP_009523265.1")</f>
        <v>XP_009523265.1</v>
      </c>
      <c r="BK252" s="2">
        <v>34</v>
      </c>
      <c r="BL252" s="2">
        <v>55</v>
      </c>
      <c r="BM252" s="2">
        <v>102</v>
      </c>
      <c r="BN252" s="2" t="s">
        <v>718</v>
      </c>
      <c r="BO252" s="9" t="str">
        <f>HYPERLINK(".\links\SWISSP\AGAP003598-PA-SWISSP.txt","Protein SET")</f>
        <v>Protein SET</v>
      </c>
      <c r="BP252" s="2" t="str">
        <f>HYPERLINK("http://www.uniprot.org/uniprot/P53997","3E-093")</f>
        <v>3E-093</v>
      </c>
      <c r="BQ252" s="2" t="str">
        <f>HYPERLINK("http://www.uniprot.org/uniprot/P53997#expression","P53997")</f>
        <v>P53997</v>
      </c>
      <c r="BR252" s="2">
        <v>67</v>
      </c>
      <c r="BS252" s="2">
        <v>81</v>
      </c>
      <c r="BT252" s="2">
        <v>90</v>
      </c>
      <c r="BU252" s="2" t="s">
        <v>107</v>
      </c>
      <c r="BV252" s="9" t="str">
        <f>HYPERLINK(".\links\FLYBASE\AGAP003598-PA-FLYBASE.txt","FBpp0082521")</f>
        <v>FBpp0082521</v>
      </c>
      <c r="BW252" s="2" t="str">
        <f>HYPERLINK("http://flybase.org/reports/FBgn0014879#alliance_summary_container","1E-99")</f>
        <v>1E-99</v>
      </c>
      <c r="BX252" s="2">
        <v>269</v>
      </c>
      <c r="BY252" s="2">
        <v>66</v>
      </c>
      <c r="BZ252" s="2">
        <v>77</v>
      </c>
      <c r="CA252" s="2">
        <v>85</v>
      </c>
      <c r="CB252" s="9" t="str">
        <f>HYPERLINK(".\links\CDD\AGAP003598-PA-CDD.txt","NAP, Nucleosome assembly protein (NAP)")</f>
        <v>NAP, Nucleosome assembly protein (NAP)</v>
      </c>
      <c r="CC252" s="15">
        <v>9.9999999999999994E-30</v>
      </c>
      <c r="CD252" s="2">
        <v>100</v>
      </c>
      <c r="CE252" s="2" t="s">
        <v>2784</v>
      </c>
      <c r="CF252" s="2" t="s">
        <v>2785</v>
      </c>
      <c r="CG252" s="9" t="str">
        <f>HYPERLINK(".\links\KOG\AGAP003598-PA-KOG.txt","DNA replication factor/protein phosphatase inhibitor SET/SPR-2")</f>
        <v>DNA replication factor/protein phosphatase inhibitor SET/SPR-2</v>
      </c>
      <c r="CH252" s="15">
        <v>3E-51</v>
      </c>
      <c r="CI252" s="2">
        <v>90.8</v>
      </c>
      <c r="CJ252" s="2" t="s">
        <v>2786</v>
      </c>
      <c r="CK252" s="2" t="s">
        <v>427</v>
      </c>
      <c r="CL252" s="9" t="str">
        <f>HYPERLINK(".\links\PFAM\AGAP003598-PA-PFAM.txt","NAP, Nucleosome assembly protein (NAP)")</f>
        <v>NAP, Nucleosome assembly protein (NAP)</v>
      </c>
      <c r="CM252" s="15">
        <v>2.9999999999999999E-30</v>
      </c>
      <c r="CN252" s="2">
        <v>100</v>
      </c>
      <c r="CO252" s="2" t="s">
        <v>2784</v>
      </c>
      <c r="CP252" s="9" t="str">
        <f>HYPERLINK(".\links\SMART\AGAP003598-PA-SMART.txt","BAR, BAR domain")</f>
        <v>BAR, BAR domain</v>
      </c>
      <c r="CQ252" s="15">
        <v>0.06</v>
      </c>
      <c r="CR252" s="2">
        <v>18.399999999999999</v>
      </c>
      <c r="CS252" s="2" t="s">
        <v>2787</v>
      </c>
      <c r="CT252" s="2" t="s">
        <v>2781</v>
      </c>
      <c r="CU252" s="2" t="s">
        <v>2781</v>
      </c>
      <c r="CV252" s="2" t="s">
        <v>2781</v>
      </c>
      <c r="CW252" s="2" t="str">
        <f>HYPERLINK(".\links\pep\AGAP003598-PA-pep.txt","AGAP003598-PA")</f>
        <v>AGAP003598-PA</v>
      </c>
      <c r="CX252" s="2" t="s">
        <v>95</v>
      </c>
      <c r="CY252" s="2">
        <v>250</v>
      </c>
      <c r="CZ252" s="2" t="s">
        <v>113</v>
      </c>
      <c r="DA252" s="2" t="s">
        <v>2788</v>
      </c>
      <c r="DB252" s="2">
        <v>0</v>
      </c>
      <c r="DC252" s="2">
        <v>1</v>
      </c>
      <c r="DD252" s="2" t="str">
        <f>HYPERLINK("https://www.kegg.jp/kegg-bin/search_pathway_text?map=aga&amp;keyword=AGAP003598&amp;mode=1&amp;viewImage=true","AGAP003598")</f>
        <v>AGAP003598</v>
      </c>
      <c r="DE252" s="2" t="s">
        <v>2777</v>
      </c>
      <c r="DF252" s="2" t="s">
        <v>2778</v>
      </c>
      <c r="DG252" s="2" t="s">
        <v>94</v>
      </c>
      <c r="DH252" s="2" t="str">
        <f>HYPERLINK("https://vectorbase.org/vectorbase/app/record/gene/AGAP003598","AGAP003598-RA")</f>
        <v>AGAP003598-RA</v>
      </c>
      <c r="DI252" s="2" t="s">
        <v>135</v>
      </c>
      <c r="DJ252" s="2">
        <v>1617</v>
      </c>
      <c r="DK252" s="2" t="str">
        <f>HYPERLINK(".\links\netoglyc\AGAP003598-PA-netoglyc.txt","4")</f>
        <v>4</v>
      </c>
      <c r="DL252" s="2">
        <v>8.8000000000000007</v>
      </c>
      <c r="DM252" s="2">
        <v>4</v>
      </c>
      <c r="DN252" s="2">
        <v>5.6</v>
      </c>
      <c r="DO252" s="2" t="s">
        <v>104</v>
      </c>
      <c r="DP252" s="2" t="s">
        <v>2789</v>
      </c>
      <c r="DQ252" s="2" t="str">
        <f>HYPERLINK(".\links\Sigp\AGAP003598-PA-SigP.txt","CYT")</f>
        <v>CYT</v>
      </c>
      <c r="DR252" s="2" t="s">
        <v>102</v>
      </c>
      <c r="DS252" s="2">
        <v>29.202000000000002</v>
      </c>
      <c r="DT252" s="2">
        <v>4.3099999999999996</v>
      </c>
      <c r="DU252" s="2" t="s">
        <v>102</v>
      </c>
      <c r="DV252" s="2" t="s">
        <v>102</v>
      </c>
      <c r="DW252" s="2" t="s">
        <v>555</v>
      </c>
      <c r="DX252" s="2">
        <v>250</v>
      </c>
      <c r="DY252" s="12">
        <v>0</v>
      </c>
      <c r="DZ252" s="2" t="s">
        <v>102</v>
      </c>
      <c r="EA252" s="2" t="s">
        <v>102</v>
      </c>
      <c r="EB252" s="2" t="s">
        <v>102</v>
      </c>
      <c r="EC252" s="2" t="str">
        <f>HYPERLINK(".\links\gpi\AGAP003598-PA-gpi.txt","Y-NoSP")</f>
        <v>Y-NoSP</v>
      </c>
      <c r="ED252" s="2">
        <v>0.46</v>
      </c>
      <c r="EF252" s="2">
        <v>2</v>
      </c>
      <c r="EG252" s="2" t="s">
        <v>102</v>
      </c>
      <c r="EH252" s="2" t="s">
        <v>102</v>
      </c>
      <c r="EI252" s="2">
        <v>8.8000000000000007</v>
      </c>
      <c r="EJ252" s="2">
        <v>5.6</v>
      </c>
      <c r="EK252" s="2">
        <v>4</v>
      </c>
      <c r="EL252" s="2">
        <v>9.6</v>
      </c>
      <c r="EM252" s="2" t="s">
        <v>102</v>
      </c>
      <c r="EN252" s="2" t="s">
        <v>102</v>
      </c>
      <c r="EO252" s="2" t="s">
        <v>102</v>
      </c>
      <c r="EP252" s="2" t="s">
        <v>102</v>
      </c>
      <c r="EQ252" s="2" t="s">
        <v>102</v>
      </c>
      <c r="ER252" s="2" t="s">
        <v>102</v>
      </c>
      <c r="ES252" s="2" t="s">
        <v>576</v>
      </c>
      <c r="ET252" s="2" t="str">
        <f>HYPERLINK(".\links\REFSEQ-INVERTEBRATE\AGAP003598-PA-REFSEQ-INVERTEBRATE.txt","AGAP003598-PA")</f>
        <v>AGAP003598-PA</v>
      </c>
      <c r="EU252" s="2" t="str">
        <f>HYPERLINK("http://www.ncbi.nlm.nih.gov/sutils/blink.cgi?pid=XP_313356.4","0.0")</f>
        <v>0.0</v>
      </c>
      <c r="EV252" s="2" t="str">
        <f>HYPERLINK("http://www.ncbi.nlm.nih.gov/protein/XP_313356.4","XP_313356.4")</f>
        <v>XP_313356.4</v>
      </c>
      <c r="EW252" s="2">
        <v>100</v>
      </c>
      <c r="EX252" s="2">
        <v>100</v>
      </c>
      <c r="EY252" s="2">
        <v>100</v>
      </c>
      <c r="EZ252" s="2" t="s">
        <v>105</v>
      </c>
    </row>
    <row r="253" spans="1:156" x14ac:dyDescent="0.25">
      <c r="A253" s="2" t="s">
        <v>2790</v>
      </c>
      <c r="B253" s="2">
        <v>0.28542620321443202</v>
      </c>
      <c r="C253" s="2">
        <f t="shared" si="3"/>
        <v>1.2187702615045968</v>
      </c>
      <c r="D253" s="2">
        <v>6.7388981544377202</v>
      </c>
      <c r="E253" s="2">
        <v>10.5758189279844</v>
      </c>
      <c r="F253" s="2">
        <v>1.1457650130963901E-3</v>
      </c>
      <c r="G253" s="2">
        <v>3.4090553191424698E-2</v>
      </c>
      <c r="H253" s="2" t="s">
        <v>93</v>
      </c>
      <c r="I253" s="2" t="s">
        <v>94</v>
      </c>
      <c r="J253" s="2" t="str">
        <f>HYPERLINK("https://vectorbase.org/vectorbase/app/record/gene/AGAP007965","AGAP007965-RA")</f>
        <v>AGAP007965-RA</v>
      </c>
      <c r="K253" s="2" t="str">
        <f>HYPERLINK(".\links\pep\AGAP007965-PA-pep.txt","AGAP007965-PA")</f>
        <v>AGAP007965-PA</v>
      </c>
      <c r="L253" s="12" t="s">
        <v>95</v>
      </c>
      <c r="M253" s="2">
        <v>470</v>
      </c>
      <c r="N253" s="2">
        <v>0</v>
      </c>
      <c r="O253" s="2">
        <v>0</v>
      </c>
      <c r="P253" s="2" t="s">
        <v>102</v>
      </c>
      <c r="Q253" s="9" t="s">
        <v>2791</v>
      </c>
      <c r="R253" s="2" t="s">
        <v>196</v>
      </c>
      <c r="S253" s="2" t="str">
        <f>HYPERLINK(".\links\REFSEQ-INVERTEBRATE\AGAP007965-PA-REFSEQ-INVERTEBRATE.txt","REFSEQ-INVERTEBRATE")</f>
        <v>REFSEQ-INVERTEBRATE</v>
      </c>
      <c r="T253" s="2">
        <v>0</v>
      </c>
      <c r="U253" s="2">
        <v>100</v>
      </c>
      <c r="V253" s="2" t="s">
        <v>2791</v>
      </c>
      <c r="W253" s="10" t="s">
        <v>2792</v>
      </c>
      <c r="X253" s="2" t="s">
        <v>444</v>
      </c>
      <c r="Y253" s="2" t="str">
        <f>HYPERLINK(".\links\CDD\AGAP007965-PA-CDD.txt","CDD")</f>
        <v>CDD</v>
      </c>
      <c r="Z253" s="2">
        <v>2.9999999999999998E-15</v>
      </c>
      <c r="AA253" s="2">
        <v>101.1</v>
      </c>
      <c r="AB253" s="13" t="s">
        <v>102</v>
      </c>
      <c r="AC253" s="13" t="str">
        <f>HYPERLINK(".\links\Sigp\AGAP007965-PA-SigP.txt","CYT")</f>
        <v>CYT</v>
      </c>
      <c r="AD253" s="2" t="s">
        <v>102</v>
      </c>
      <c r="AE253" s="2">
        <v>52.572000000000003</v>
      </c>
      <c r="AF253" s="2">
        <v>8.98</v>
      </c>
      <c r="AG253" s="2" t="s">
        <v>102</v>
      </c>
      <c r="AH253" s="2" t="s">
        <v>102</v>
      </c>
      <c r="AI253" s="2" t="s">
        <v>2793</v>
      </c>
      <c r="AJ253" s="13">
        <v>0</v>
      </c>
      <c r="AK253" s="2" t="s">
        <v>102</v>
      </c>
      <c r="AL253" s="2" t="s">
        <v>102</v>
      </c>
      <c r="AM253" s="2" t="s">
        <v>102</v>
      </c>
      <c r="AN253" s="13" t="str">
        <f>HYPERLINK(".\links\gpi\AGAP007965-PA-gpi.txt","N")</f>
        <v>N</v>
      </c>
      <c r="AO253" s="14" t="str">
        <f>HYPERLINK(".\links\netoglyc\AGAP007965-PA-netoglyc.txt","0")</f>
        <v>0</v>
      </c>
      <c r="AP253" s="13">
        <v>13.4</v>
      </c>
      <c r="AQ253" s="2">
        <v>4.3</v>
      </c>
      <c r="AR253" s="2">
        <v>6.4</v>
      </c>
      <c r="AS253" s="2" t="s">
        <v>104</v>
      </c>
      <c r="AT253" s="9" t="str">
        <f>HYPERLINK(".\links\NR-LIGHT\AGAP007965-PA-NR-LIGHT.txt","AGAP007965-PA")</f>
        <v>AGAP007965-PA</v>
      </c>
      <c r="AU253" s="2" t="str">
        <f>HYPERLINK("http://www.ncbi.nlm.nih.gov/sutils/blink.cgi?pid=XP_317505.2","0.0")</f>
        <v>0.0</v>
      </c>
      <c r="AV253" s="2" t="str">
        <f>HYPERLINK("http://www.ncbi.nlm.nih.gov/protein/XP_317505.2","XP_317505.2")</f>
        <v>XP_317505.2</v>
      </c>
      <c r="AW253" s="2">
        <v>100</v>
      </c>
      <c r="AX253" s="2">
        <v>100</v>
      </c>
      <c r="AY253" s="2">
        <v>100</v>
      </c>
      <c r="AZ253" s="2" t="s">
        <v>105</v>
      </c>
      <c r="BA253" s="9" t="str">
        <f>HYPERLINK(".\links\REFSEQ-INVERTEBRATE\AGAP007965-PA-REFSEQ-INVERTEBRATE.txt","AGAP007965-PA")</f>
        <v>AGAP007965-PA</v>
      </c>
      <c r="BB253" s="2" t="str">
        <f>HYPERLINK("http://www.ncbi.nlm.nih.gov/sutils/blink.cgi?pid=XP_317505.2","0.0")</f>
        <v>0.0</v>
      </c>
      <c r="BC253" s="2" t="str">
        <f>HYPERLINK("http://www.ncbi.nlm.nih.gov/protein/XP_317505.2","XP_317505.2")</f>
        <v>XP_317505.2</v>
      </c>
      <c r="BD253" s="2">
        <v>100</v>
      </c>
      <c r="BE253" s="2">
        <v>100</v>
      </c>
      <c r="BF253" s="2">
        <v>100</v>
      </c>
      <c r="BG253" s="2" t="s">
        <v>105</v>
      </c>
      <c r="BH253" s="9" t="str">
        <f>HYPERLINK(".\links\REFSEQ-PROTOZOA\AGAP007965-PA-REFSEQ-PROTOZOA.txt","hypothetical protein (macronuclear)")</f>
        <v>hypothetical protein (macronuclear)</v>
      </c>
      <c r="BI253" s="2" t="str">
        <f>HYPERLINK("http://www.ncbi.nlm.nih.gov/sutils/blink.cgi?pid=XP_001440389.1","2E-006")</f>
        <v>2E-006</v>
      </c>
      <c r="BJ253" s="2" t="str">
        <f>HYPERLINK("http://www.ncbi.nlm.nih.gov/protein/XP_001440389.1","XP_001440389.1")</f>
        <v>XP_001440389.1</v>
      </c>
      <c r="BK253" s="2">
        <v>42</v>
      </c>
      <c r="BL253" s="2">
        <v>61</v>
      </c>
      <c r="BM253" s="2">
        <v>13</v>
      </c>
      <c r="BN253" s="2" t="s">
        <v>347</v>
      </c>
      <c r="BO253" s="9" t="str">
        <f>HYPERLINK(".\links\SWISSP\AGAP007965-PA-SWISSP.txt","Tudor domain-containing protein 15")</f>
        <v>Tudor domain-containing protein 15</v>
      </c>
      <c r="BP253" s="2" t="str">
        <f>HYPERLINK("http://www.uniprot.org/uniprot/B5MCY1","1E-010")</f>
        <v>1E-010</v>
      </c>
      <c r="BQ253" s="2" t="str">
        <f>HYPERLINK("http://www.uniprot.org/uniprot/B5MCY1#expression","B5MCY1")</f>
        <v>B5MCY1</v>
      </c>
      <c r="BR253" s="2">
        <v>23</v>
      </c>
      <c r="BS253" s="2">
        <v>47</v>
      </c>
      <c r="BT253" s="2">
        <v>10</v>
      </c>
      <c r="BU253" s="2" t="s">
        <v>127</v>
      </c>
      <c r="BV253" s="9" t="str">
        <f>HYPERLINK(".\links\FLYBASE\AGAP007965-PA-FLYBASE.txt","FBpp0086689")</f>
        <v>FBpp0086689</v>
      </c>
      <c r="BW253" s="2" t="str">
        <f>HYPERLINK("http://flybase.org/reports/FBgn0033921#alliance_summary_container","2E-12")</f>
        <v>2E-12</v>
      </c>
      <c r="BX253" s="2">
        <v>559</v>
      </c>
      <c r="BY253" s="2">
        <v>37</v>
      </c>
      <c r="BZ253" s="2">
        <v>62</v>
      </c>
      <c r="CA253" s="2">
        <v>17</v>
      </c>
      <c r="CB253" s="9" t="str">
        <f>HYPERLINK(".\links\CDD\AGAP007965-PA-CDD.txt","LOTUS_TDRD_OSKAR, The first LOTUS domain in Oskar and Tudor-containing proteins 5 and 7")</f>
        <v>LOTUS_TDRD_OSKAR, The first LOTUS domain in Oskar and Tudor-containing proteins 5 and 7</v>
      </c>
      <c r="CC253" s="15">
        <v>7.0000000000000003E-27</v>
      </c>
      <c r="CD253" s="2">
        <v>101.1</v>
      </c>
      <c r="CE253" s="2" t="s">
        <v>2794</v>
      </c>
      <c r="CF253" s="2" t="s">
        <v>2795</v>
      </c>
      <c r="CG253" s="9" t="str">
        <f>HYPERLINK(".\links\KOG\AGAP007965-PA-KOG.txt","Transcriptional coactivator p100")</f>
        <v>Transcriptional coactivator p100</v>
      </c>
      <c r="CH253" s="15">
        <v>3.9999999999999998E-11</v>
      </c>
      <c r="CI253" s="2">
        <v>21</v>
      </c>
      <c r="CJ253" s="2" t="s">
        <v>2557</v>
      </c>
      <c r="CK253" s="2" t="s">
        <v>309</v>
      </c>
      <c r="CL253" s="9" t="str">
        <f>HYPERLINK(".\links\PFAM\AGAP007965-PA-PFAM.txt","TUDOR, Tudor domain")</f>
        <v>TUDOR, Tudor domain</v>
      </c>
      <c r="CM253" s="15">
        <v>6.0000000000000001E-17</v>
      </c>
      <c r="CN253" s="2">
        <v>103.3</v>
      </c>
      <c r="CO253" s="2" t="s">
        <v>2555</v>
      </c>
      <c r="CP253" s="9" t="str">
        <f>HYPERLINK(".\links\SMART\AGAP007965-PA-SMART.txt","TUDOR, Tudor domain")</f>
        <v>TUDOR, Tudor domain</v>
      </c>
      <c r="CQ253" s="15">
        <v>1E-8</v>
      </c>
      <c r="CR253" s="2">
        <v>94.7</v>
      </c>
      <c r="CS253" s="2" t="s">
        <v>1923</v>
      </c>
      <c r="CT253" s="2" t="s">
        <v>2791</v>
      </c>
      <c r="CU253" s="2" t="s">
        <v>2791</v>
      </c>
      <c r="CV253" s="2" t="s">
        <v>2791</v>
      </c>
      <c r="CW253" s="2" t="str">
        <f>HYPERLINK(".\links\pep\AGAP007965-PA-pep.txt","AGAP007965-PA")</f>
        <v>AGAP007965-PA</v>
      </c>
      <c r="CX253" s="2" t="s">
        <v>95</v>
      </c>
      <c r="CY253" s="2">
        <v>470</v>
      </c>
      <c r="CZ253" s="2" t="s">
        <v>113</v>
      </c>
      <c r="DA253" s="2" t="s">
        <v>2796</v>
      </c>
      <c r="DB253" s="2">
        <v>0</v>
      </c>
      <c r="DC253" s="2">
        <v>0</v>
      </c>
      <c r="DD253" s="2" t="str">
        <f>HYPERLINK("https://www.kegg.jp/kegg-bin/search_pathway_text?map=aga&amp;keyword=AGAP007965&amp;mode=1&amp;viewImage=true","AGAP007965")</f>
        <v>AGAP007965</v>
      </c>
      <c r="DE253" s="2" t="s">
        <v>2790</v>
      </c>
      <c r="DF253" s="2" t="s">
        <v>93</v>
      </c>
      <c r="DG253" s="2" t="s">
        <v>94</v>
      </c>
      <c r="DH253" s="2" t="str">
        <f>HYPERLINK("https://vectorbase.org/vectorbase/app/record/gene/AGAP007965","AGAP007965-RA")</f>
        <v>AGAP007965-RA</v>
      </c>
      <c r="DI253" s="2" t="s">
        <v>135</v>
      </c>
      <c r="DJ253" s="2">
        <v>1691</v>
      </c>
      <c r="DK253" s="2" t="str">
        <f>HYPERLINK(".\links\netoglyc\AGAP007965-PA-netoglyc.txt","0")</f>
        <v>0</v>
      </c>
      <c r="DL253" s="2">
        <v>13.4</v>
      </c>
      <c r="DM253" s="2">
        <v>4.3</v>
      </c>
      <c r="DN253" s="2">
        <v>6.4</v>
      </c>
      <c r="DO253" s="2" t="s">
        <v>104</v>
      </c>
      <c r="DP253" s="2" t="s">
        <v>102</v>
      </c>
      <c r="DQ253" s="2" t="str">
        <f>HYPERLINK(".\links\Sigp\AGAP007965-PA-SigP.txt","CYT")</f>
        <v>CYT</v>
      </c>
      <c r="DR253" s="2" t="s">
        <v>102</v>
      </c>
      <c r="DS253" s="2">
        <v>52.572000000000003</v>
      </c>
      <c r="DT253" s="2">
        <v>8.98</v>
      </c>
      <c r="DU253" s="2" t="s">
        <v>102</v>
      </c>
      <c r="DV253" s="2" t="s">
        <v>102</v>
      </c>
      <c r="DW253" s="2" t="s">
        <v>2793</v>
      </c>
      <c r="DX253" s="2">
        <v>470</v>
      </c>
      <c r="DY253" s="12">
        <v>0</v>
      </c>
      <c r="DZ253" s="2" t="s">
        <v>102</v>
      </c>
      <c r="EA253" s="2" t="s">
        <v>102</v>
      </c>
      <c r="EB253" s="2" t="s">
        <v>102</v>
      </c>
      <c r="EC253" s="2" t="str">
        <f>HYPERLINK(".\links\gpi\AGAP007965-PA-gpi.txt","Y-NoSP")</f>
        <v>Y-NoSP</v>
      </c>
      <c r="ED253" s="2">
        <v>0.18</v>
      </c>
      <c r="EF253" s="2">
        <v>6</v>
      </c>
      <c r="EG253" s="2" t="s">
        <v>102</v>
      </c>
      <c r="EH253" s="2" t="s">
        <v>102</v>
      </c>
      <c r="EI253" s="2">
        <v>13.4042553191489</v>
      </c>
      <c r="EJ253" s="2">
        <v>6.3829787234042596</v>
      </c>
      <c r="EK253" s="2">
        <v>4.2553191489361701</v>
      </c>
      <c r="EL253" s="2">
        <v>10.6382978723404</v>
      </c>
      <c r="EM253" s="2" t="s">
        <v>102</v>
      </c>
      <c r="EN253" s="2">
        <v>1</v>
      </c>
      <c r="EO253" s="2">
        <v>1</v>
      </c>
      <c r="EP253" s="2" t="s">
        <v>102</v>
      </c>
      <c r="EQ253" s="2" t="s">
        <v>102</v>
      </c>
      <c r="ER253" s="2" t="s">
        <v>102</v>
      </c>
      <c r="ES253" s="2" t="s">
        <v>102</v>
      </c>
      <c r="ET253" s="2" t="str">
        <f>HYPERLINK(".\links\REFSEQ-INVERTEBRATE\AGAP007965-PA-REFSEQ-INVERTEBRATE.txt","AGAP007965-PA")</f>
        <v>AGAP007965-PA</v>
      </c>
      <c r="EU253" s="2" t="str">
        <f>HYPERLINK("http://www.ncbi.nlm.nih.gov/sutils/blink.cgi?pid=XP_317505.2","0.0")</f>
        <v>0.0</v>
      </c>
      <c r="EV253" s="2" t="str">
        <f>HYPERLINK("http://www.ncbi.nlm.nih.gov/protein/XP_317505.2","XP_317505.2")</f>
        <v>XP_317505.2</v>
      </c>
      <c r="EW253" s="2">
        <v>100</v>
      </c>
      <c r="EX253" s="2">
        <v>100</v>
      </c>
      <c r="EY253" s="2">
        <v>100</v>
      </c>
      <c r="EZ253" s="2" t="s">
        <v>105</v>
      </c>
    </row>
    <row r="254" spans="1:156" x14ac:dyDescent="0.25">
      <c r="A254" s="2" t="s">
        <v>2797</v>
      </c>
      <c r="B254" s="2">
        <v>0.284077461855195</v>
      </c>
      <c r="C254" s="2">
        <f t="shared" si="3"/>
        <v>1.2176313945407709</v>
      </c>
      <c r="D254" s="2">
        <v>5.7041598368157302</v>
      </c>
      <c r="E254" s="2">
        <v>9.2678542178637606</v>
      </c>
      <c r="F254" s="2">
        <v>2.3321076352159202E-3</v>
      </c>
      <c r="G254" s="2">
        <v>4.58876742400747E-2</v>
      </c>
      <c r="H254" s="2" t="s">
        <v>2798</v>
      </c>
      <c r="I254" s="2" t="s">
        <v>94</v>
      </c>
      <c r="J254" s="2" t="str">
        <f>HYPERLINK("https://vectorbase.org/vectorbase/app/record/gene/AGAP003731","AGAP003731-RA")</f>
        <v>AGAP003731-RA</v>
      </c>
      <c r="K254" s="2" t="str">
        <f>HYPERLINK(".\links\pep\AGAP003731-PA-pep.txt","AGAP003731-PA")</f>
        <v>AGAP003731-PA</v>
      </c>
      <c r="L254" s="12" t="s">
        <v>95</v>
      </c>
      <c r="M254" s="2">
        <v>230</v>
      </c>
      <c r="N254" s="2">
        <v>0</v>
      </c>
      <c r="O254" s="2">
        <v>0</v>
      </c>
      <c r="P254" s="2" t="s">
        <v>2799</v>
      </c>
      <c r="Q254" s="9" t="s">
        <v>2800</v>
      </c>
      <c r="R254" s="2" t="s">
        <v>771</v>
      </c>
      <c r="S254" s="2" t="str">
        <f>HYPERLINK(".\links\NR-LIGHT\AGAP003731-PA-NR-LIGHT.txt","NR-LIGHT")</f>
        <v>NR-LIGHT</v>
      </c>
      <c r="T254" s="2">
        <v>2E-73</v>
      </c>
      <c r="U254" s="2">
        <v>99.5</v>
      </c>
      <c r="V254" s="2" t="s">
        <v>2801</v>
      </c>
      <c r="W254" s="10" t="s">
        <v>1026</v>
      </c>
      <c r="X254" s="2" t="s">
        <v>771</v>
      </c>
      <c r="Y254" s="2" t="str">
        <f>HYPERLINK(".\links\REFSEQ-INVERTEBRATE\AGAP003731-PA-REFSEQ-INVERTEBRATE.txt","REFSEQ-INVERTEBRATE")</f>
        <v>REFSEQ-INVERTEBRATE</v>
      </c>
      <c r="Z254" s="2">
        <v>0</v>
      </c>
      <c r="AA254" s="2">
        <v>100</v>
      </c>
      <c r="AB254" s="13" t="s">
        <v>102</v>
      </c>
      <c r="AC254" s="13" t="str">
        <f>HYPERLINK(".\links\Sigp\AGAP003731-PA-SigP.txt","CYT")</f>
        <v>CYT</v>
      </c>
      <c r="AD254" s="2" t="s">
        <v>102</v>
      </c>
      <c r="AE254" s="2">
        <v>25.896999999999998</v>
      </c>
      <c r="AF254" s="2">
        <v>4.97</v>
      </c>
      <c r="AG254" s="2" t="s">
        <v>102</v>
      </c>
      <c r="AH254" s="2" t="s">
        <v>102</v>
      </c>
      <c r="AI254" s="2" t="s">
        <v>2739</v>
      </c>
      <c r="AJ254" s="13">
        <v>0</v>
      </c>
      <c r="AK254" s="2" t="s">
        <v>102</v>
      </c>
      <c r="AL254" s="2" t="s">
        <v>102</v>
      </c>
      <c r="AM254" s="2" t="s">
        <v>102</v>
      </c>
      <c r="AN254" s="13" t="str">
        <f>HYPERLINK(".\links\gpi\AGAP003731-PA-gpi.txt","N")</f>
        <v>N</v>
      </c>
      <c r="AO254" s="14" t="str">
        <f>HYPERLINK(".\links\netoglyc\AGAP003731-PA-netoglyc.txt","6")</f>
        <v>6</v>
      </c>
      <c r="AP254" s="13">
        <v>15.7</v>
      </c>
      <c r="AQ254" s="2">
        <v>3</v>
      </c>
      <c r="AR254" s="2">
        <v>7.4</v>
      </c>
      <c r="AS254" s="2" t="s">
        <v>104</v>
      </c>
      <c r="AT254" s="9" t="str">
        <f>HYPERLINK(".\links\NR-LIGHT\AGAP003731-PA-NR-LIGHT.txt","AGAP003731-PA")</f>
        <v>AGAP003731-PA</v>
      </c>
      <c r="AU254" s="2" t="str">
        <f>HYPERLINK("http://www.ncbi.nlm.nih.gov/sutils/blink.cgi?pid=XP_310262.5","1E-124")</f>
        <v>1E-124</v>
      </c>
      <c r="AV254" s="2" t="str">
        <f>HYPERLINK("http://www.ncbi.nlm.nih.gov/protein/XP_310262.5","XP_310262.5")</f>
        <v>XP_310262.5</v>
      </c>
      <c r="AW254" s="2">
        <v>100</v>
      </c>
      <c r="AX254" s="2">
        <v>100</v>
      </c>
      <c r="AY254" s="2">
        <v>100</v>
      </c>
      <c r="AZ254" s="2" t="s">
        <v>105</v>
      </c>
      <c r="BA254" s="9" t="str">
        <f>HYPERLINK(".\links\REFSEQ-INVERTEBRATE\AGAP003731-PA-REFSEQ-INVERTEBRATE.txt","AGAP003731-PA")</f>
        <v>AGAP003731-PA</v>
      </c>
      <c r="BB254" s="2" t="str">
        <f>HYPERLINK("http://www.ncbi.nlm.nih.gov/sutils/blink.cgi?pid=XP_310262.5","1E-124")</f>
        <v>1E-124</v>
      </c>
      <c r="BC254" s="2" t="str">
        <f>HYPERLINK("http://www.ncbi.nlm.nih.gov/protein/XP_310262.5","XP_310262.5")</f>
        <v>XP_310262.5</v>
      </c>
      <c r="BD254" s="2">
        <v>100</v>
      </c>
      <c r="BE254" s="2">
        <v>100</v>
      </c>
      <c r="BF254" s="2">
        <v>100</v>
      </c>
      <c r="BG254" s="2" t="s">
        <v>105</v>
      </c>
      <c r="BH254" s="9" t="str">
        <f>HYPERLINK(".\links\REFSEQ-PROTOZOA\AGAP003731-PA-REFSEQ-PROTOZOA.txt","hypothetical protein, variant 2")</f>
        <v>hypothetical protein, variant 2</v>
      </c>
      <c r="BI254" s="2" t="str">
        <f>HYPERLINK("http://www.ncbi.nlm.nih.gov/sutils/blink.cgi?pid=XP_009824795.1","1E-014")</f>
        <v>1E-014</v>
      </c>
      <c r="BJ254" s="2" t="str">
        <f>HYPERLINK("http://www.ncbi.nlm.nih.gov/protein/XP_009824795.1","XP_009824795.1")</f>
        <v>XP_009824795.1</v>
      </c>
      <c r="BK254" s="2">
        <v>30</v>
      </c>
      <c r="BL254" s="2">
        <v>53</v>
      </c>
      <c r="BM254" s="2">
        <v>53</v>
      </c>
      <c r="BN254" s="2" t="s">
        <v>362</v>
      </c>
      <c r="BO254" s="9" t="str">
        <f>HYPERLINK(".\links\SWISSP\AGAP003731-PA-SWISSP.txt","Vacuolar protein sorting-associated protein 37B")</f>
        <v>Vacuolar protein sorting-associated protein 37B</v>
      </c>
      <c r="BP254" s="2" t="str">
        <f>HYPERLINK("http://www.uniprot.org/uniprot/Q9H9H4","6E-027")</f>
        <v>6E-027</v>
      </c>
      <c r="BQ254" s="2" t="str">
        <f>HYPERLINK("http://www.uniprot.org/uniprot/Q9H9H4#expression","Q9H9H4")</f>
        <v>Q9H9H4</v>
      </c>
      <c r="BR254" s="2">
        <v>33</v>
      </c>
      <c r="BS254" s="2">
        <v>55</v>
      </c>
      <c r="BT254" s="2">
        <v>75</v>
      </c>
      <c r="BU254" s="2" t="s">
        <v>127</v>
      </c>
      <c r="BV254" s="9" t="str">
        <f>HYPERLINK(".\links\FLYBASE\AGAP003731-PA-FLYBASE.txt","FBpp0293539")</f>
        <v>FBpp0293539</v>
      </c>
      <c r="BW254" s="2" t="str">
        <f>HYPERLINK("http://flybase.org/reports/FBgn0037299#alliance_summary_container","6E-50")</f>
        <v>6E-50</v>
      </c>
      <c r="BX254" s="2">
        <v>214</v>
      </c>
      <c r="BY254" s="2">
        <v>44</v>
      </c>
      <c r="BZ254" s="2">
        <v>66</v>
      </c>
      <c r="CA254" s="2">
        <v>96</v>
      </c>
      <c r="CB254" s="9" t="str">
        <f>HYPERLINK(".\links\CDD\AGAP003731-PA-CDD.txt","Mod_r, Modifier of rudimentary (Mod(r)) protein")</f>
        <v>Mod_r, Modifier of rudimentary (Mod(r)) protein</v>
      </c>
      <c r="CC254" s="15">
        <v>1.9999999999999999E-34</v>
      </c>
      <c r="CD254" s="2">
        <v>100</v>
      </c>
      <c r="CE254" s="2" t="s">
        <v>2802</v>
      </c>
      <c r="CF254" s="2" t="s">
        <v>2803</v>
      </c>
      <c r="CG254" s="9" t="str">
        <f>HYPERLINK(".\links\KOG\AGAP003731-PA-KOG.txt","Uncharacterized conserved protein")</f>
        <v>Uncharacterized conserved protein</v>
      </c>
      <c r="CH254" s="15">
        <v>2.9999999999999997E-8</v>
      </c>
      <c r="CI254" s="2">
        <v>86.5</v>
      </c>
      <c r="CJ254" s="2" t="s">
        <v>2804</v>
      </c>
      <c r="CK254" s="2" t="s">
        <v>284</v>
      </c>
      <c r="CL254" s="9" t="str">
        <f>HYPERLINK(".\links\PFAM\AGAP003731-PA-PFAM.txt","Mod_r, Modifier of rudimentary (Mod(r)) protein")</f>
        <v>Mod_r, Modifier of rudimentary (Mod(r)) protein</v>
      </c>
      <c r="CM254" s="15">
        <v>2.9999999999999999E-35</v>
      </c>
      <c r="CN254" s="2">
        <v>100</v>
      </c>
      <c r="CO254" s="2" t="s">
        <v>2802</v>
      </c>
      <c r="CP254" s="9" t="str">
        <f>HYPERLINK(".\links\SMART\AGAP003731-PA-SMART.txt","PolyA, C-terminal domain of Poly(A)-binding protein")</f>
        <v>PolyA, C-terminal domain of Poly(A)-binding protein</v>
      </c>
      <c r="CQ254" s="15">
        <v>5.2999999999999999E-2</v>
      </c>
      <c r="CR254" s="2">
        <v>40.6</v>
      </c>
      <c r="CS254" s="2" t="s">
        <v>2805</v>
      </c>
      <c r="CT254" s="2" t="s">
        <v>2801</v>
      </c>
      <c r="CU254" s="2" t="s">
        <v>2801</v>
      </c>
      <c r="CV254" s="2" t="s">
        <v>2801</v>
      </c>
      <c r="CW254" s="2" t="str">
        <f>HYPERLINK(".\links\pep\AGAP003731-PA-pep.txt","AGAP003731-PA")</f>
        <v>AGAP003731-PA</v>
      </c>
      <c r="CX254" s="2" t="s">
        <v>95</v>
      </c>
      <c r="CY254" s="2">
        <v>230</v>
      </c>
      <c r="CZ254" s="2" t="s">
        <v>113</v>
      </c>
      <c r="DA254" s="2" t="s">
        <v>2806</v>
      </c>
      <c r="DB254" s="2">
        <v>0</v>
      </c>
      <c r="DC254" s="2">
        <v>0</v>
      </c>
      <c r="DD254" s="2" t="str">
        <f>HYPERLINK("https://www.kegg.jp/kegg-bin/search_pathway_text?map=aga&amp;keyword=AGAP003731&amp;mode=1&amp;viewImage=true","AGAP003731")</f>
        <v>AGAP003731</v>
      </c>
      <c r="DE254" s="2" t="s">
        <v>2797</v>
      </c>
      <c r="DF254" s="2" t="s">
        <v>2798</v>
      </c>
      <c r="DG254" s="2" t="s">
        <v>94</v>
      </c>
      <c r="DH254" s="2" t="str">
        <f>HYPERLINK("https://vectorbase.org/vectorbase/app/record/gene/AGAP003731","AGAP003731-RA")</f>
        <v>AGAP003731-RA</v>
      </c>
      <c r="DI254" s="2" t="s">
        <v>135</v>
      </c>
      <c r="DJ254" s="2">
        <v>1194</v>
      </c>
      <c r="DK254" s="2" t="str">
        <f>HYPERLINK(".\links\netoglyc\AGAP003731-PA-netoglyc.txt","6")</f>
        <v>6</v>
      </c>
      <c r="DL254" s="2">
        <v>15.7</v>
      </c>
      <c r="DM254" s="2">
        <v>3</v>
      </c>
      <c r="DN254" s="2">
        <v>7.4</v>
      </c>
      <c r="DO254" s="2" t="s">
        <v>104</v>
      </c>
      <c r="DP254" s="2" t="s">
        <v>102</v>
      </c>
      <c r="DQ254" s="2" t="str">
        <f>HYPERLINK(".\links\Sigp\AGAP003731-PA-SigP.txt","CYT")</f>
        <v>CYT</v>
      </c>
      <c r="DR254" s="2" t="s">
        <v>102</v>
      </c>
      <c r="DS254" s="2">
        <v>25.896999999999998</v>
      </c>
      <c r="DT254" s="2">
        <v>4.97</v>
      </c>
      <c r="DU254" s="2" t="s">
        <v>102</v>
      </c>
      <c r="DV254" s="2" t="s">
        <v>102</v>
      </c>
      <c r="DW254" s="2" t="s">
        <v>2739</v>
      </c>
      <c r="DX254" s="2">
        <v>230</v>
      </c>
      <c r="DY254" s="12">
        <v>0</v>
      </c>
      <c r="DZ254" s="2" t="s">
        <v>102</v>
      </c>
      <c r="EA254" s="2" t="s">
        <v>102</v>
      </c>
      <c r="EB254" s="2" t="s">
        <v>102</v>
      </c>
      <c r="EC254" s="2" t="str">
        <f>HYPERLINK(".\links\gpi\AGAP003731-PA-gpi.txt","Y-NoSP")</f>
        <v>Y-NoSP</v>
      </c>
      <c r="ED254" s="2">
        <v>0.34</v>
      </c>
      <c r="EF254" s="2">
        <v>1</v>
      </c>
      <c r="EG254" s="2" t="s">
        <v>102</v>
      </c>
      <c r="EH254" s="2" t="s">
        <v>102</v>
      </c>
      <c r="EI254" s="2">
        <v>15.6521739130435</v>
      </c>
      <c r="EJ254" s="2">
        <v>7.3913043478260896</v>
      </c>
      <c r="EK254" s="2">
        <v>3.0434782608695699</v>
      </c>
      <c r="EL254" s="2">
        <v>10.4347826086957</v>
      </c>
      <c r="EM254" s="2">
        <v>1</v>
      </c>
      <c r="EN254" s="2" t="s">
        <v>102</v>
      </c>
      <c r="EO254" s="2">
        <v>2</v>
      </c>
      <c r="EP254" s="2" t="s">
        <v>102</v>
      </c>
      <c r="EQ254" s="2" t="s">
        <v>102</v>
      </c>
      <c r="ER254" s="2" t="s">
        <v>102</v>
      </c>
      <c r="ES254" s="2" t="s">
        <v>102</v>
      </c>
      <c r="ET254" s="2" t="str">
        <f>HYPERLINK(".\links\REFSEQ-INVERTEBRATE\AGAP003731-PA-REFSEQ-INVERTEBRATE.txt","AGAP003731-PA")</f>
        <v>AGAP003731-PA</v>
      </c>
      <c r="EU254" s="2" t="str">
        <f>HYPERLINK("http://www.ncbi.nlm.nih.gov/sutils/blink.cgi?pid=XP_310262.5","1E-167")</f>
        <v>1E-167</v>
      </c>
      <c r="EV254" s="2" t="str">
        <f>HYPERLINK("http://www.ncbi.nlm.nih.gov/protein/XP_310262.5","XP_310262.5")</f>
        <v>XP_310262.5</v>
      </c>
      <c r="EW254" s="2">
        <v>100</v>
      </c>
      <c r="EX254" s="2">
        <v>100</v>
      </c>
      <c r="EY254" s="2">
        <v>100</v>
      </c>
      <c r="EZ254" s="2" t="s">
        <v>105</v>
      </c>
    </row>
    <row r="255" spans="1:156" x14ac:dyDescent="0.25">
      <c r="A255" s="2" t="s">
        <v>2807</v>
      </c>
      <c r="B255" s="2">
        <v>0.28320517722202898</v>
      </c>
      <c r="C255" s="2">
        <f t="shared" si="3"/>
        <v>1.2168954107755163</v>
      </c>
      <c r="D255" s="2">
        <v>5.8839046471805299</v>
      </c>
      <c r="E255" s="2">
        <v>10.4009810848583</v>
      </c>
      <c r="F255" s="2">
        <v>1.2594837897081199E-3</v>
      </c>
      <c r="G255" s="2">
        <v>3.57998806440471E-2</v>
      </c>
      <c r="H255" s="2" t="s">
        <v>93</v>
      </c>
      <c r="I255" s="2" t="s">
        <v>94</v>
      </c>
      <c r="J255" s="2" t="str">
        <f>HYPERLINK("https://vectorbase.org/vectorbase/app/record/gene/AGAP005272","AGAP005272-RA")</f>
        <v>AGAP005272-RA</v>
      </c>
      <c r="K255" s="2" t="str">
        <f>HYPERLINK(".\links\pep\AGAP005272-PA-pep.txt","AGAP005272-PA")</f>
        <v>AGAP005272-PA</v>
      </c>
      <c r="L255" s="12" t="s">
        <v>95</v>
      </c>
      <c r="M255" s="2">
        <v>462</v>
      </c>
      <c r="N255" s="2">
        <v>0</v>
      </c>
      <c r="O255" s="2">
        <v>1</v>
      </c>
      <c r="P255" s="2" t="s">
        <v>102</v>
      </c>
      <c r="Q255" s="9" t="s">
        <v>2808</v>
      </c>
      <c r="R255" s="2" t="s">
        <v>196</v>
      </c>
      <c r="S255" s="2" t="str">
        <f>HYPERLINK(".\links\REFSEQ-INVERTEBRATE\AGAP005272-PA-REFSEQ-INVERTEBRATE.txt","REFSEQ-INVERTEBRATE")</f>
        <v>REFSEQ-INVERTEBRATE</v>
      </c>
      <c r="T255" s="2">
        <v>0</v>
      </c>
      <c r="U255" s="2">
        <v>100</v>
      </c>
      <c r="V255" s="2" t="s">
        <v>2808</v>
      </c>
      <c r="W255" s="10" t="s">
        <v>2809</v>
      </c>
      <c r="X255" s="2" t="s">
        <v>822</v>
      </c>
      <c r="Y255" s="2" t="str">
        <f>HYPERLINK(".\links\ARTHORPODA\AGAP005272-PA-ARTHORPODA.txt","ARTHORPODA")</f>
        <v>ARTHORPODA</v>
      </c>
      <c r="Z255" s="2">
        <v>0</v>
      </c>
      <c r="AA255" s="2">
        <v>106.2</v>
      </c>
      <c r="AB255" s="13" t="str">
        <f>HYPERLINK(".\links\pep\AGAP005272-PA-sulf.txt","1")</f>
        <v>1</v>
      </c>
      <c r="AC255" s="13" t="str">
        <f>HYPERLINK(".\links\Sigp\AGAP005272-PA-SigP.txt","CYT")</f>
        <v>CYT</v>
      </c>
      <c r="AD255" s="2" t="s">
        <v>102</v>
      </c>
      <c r="AE255" s="2">
        <v>51.128999999999998</v>
      </c>
      <c r="AF255" s="2">
        <v>5.85</v>
      </c>
      <c r="AG255" s="2" t="s">
        <v>102</v>
      </c>
      <c r="AH255" s="2" t="s">
        <v>102</v>
      </c>
      <c r="AI255" s="2" t="s">
        <v>211</v>
      </c>
      <c r="AJ255" s="13">
        <v>0</v>
      </c>
      <c r="AK255" s="2" t="s">
        <v>102</v>
      </c>
      <c r="AL255" s="2" t="s">
        <v>102</v>
      </c>
      <c r="AM255" s="2" t="s">
        <v>102</v>
      </c>
      <c r="AN255" s="13" t="str">
        <f>HYPERLINK(".\links\gpi\AGAP005272-PA-gpi.txt","N")</f>
        <v>N</v>
      </c>
      <c r="AO255" s="14" t="str">
        <f>HYPERLINK(".\links\netoglyc\AGAP005272-PA-netoglyc.txt","8")</f>
        <v>8</v>
      </c>
      <c r="AP255" s="13">
        <v>16.7</v>
      </c>
      <c r="AQ255" s="2">
        <v>5</v>
      </c>
      <c r="AR255" s="2">
        <v>5.4</v>
      </c>
      <c r="AS255" s="2" t="s">
        <v>104</v>
      </c>
      <c r="AT255" s="9" t="str">
        <f>HYPERLINK(".\links\NR-LIGHT\AGAP005272-PA-NR-LIGHT.txt","AGAP005272-PA")</f>
        <v>AGAP005272-PA</v>
      </c>
      <c r="AU255" s="2" t="str">
        <f>HYPERLINK("http://www.ncbi.nlm.nih.gov/sutils/blink.cgi?pid=XP_309060.3","1E-166")</f>
        <v>1E-166</v>
      </c>
      <c r="AV255" s="2" t="str">
        <f>HYPERLINK("http://www.ncbi.nlm.nih.gov/protein/XP_309060.3","XP_309060.3")</f>
        <v>XP_309060.3</v>
      </c>
      <c r="AW255" s="2">
        <v>100</v>
      </c>
      <c r="AX255" s="2">
        <v>100</v>
      </c>
      <c r="AY255" s="2">
        <v>100</v>
      </c>
      <c r="AZ255" s="2" t="s">
        <v>105</v>
      </c>
      <c r="BA255" s="9" t="str">
        <f>HYPERLINK(".\links\REFSEQ-INVERTEBRATE\AGAP005272-PA-REFSEQ-INVERTEBRATE.txt","AGAP005272-PA")</f>
        <v>AGAP005272-PA</v>
      </c>
      <c r="BB255" s="2" t="str">
        <f>HYPERLINK("http://www.ncbi.nlm.nih.gov/sutils/blink.cgi?pid=XP_309060.3","1E-166")</f>
        <v>1E-166</v>
      </c>
      <c r="BC255" s="2" t="str">
        <f>HYPERLINK("http://www.ncbi.nlm.nih.gov/protein/XP_309060.3","XP_309060.3")</f>
        <v>XP_309060.3</v>
      </c>
      <c r="BD255" s="2">
        <v>100</v>
      </c>
      <c r="BE255" s="2">
        <v>100</v>
      </c>
      <c r="BF255" s="2">
        <v>100</v>
      </c>
      <c r="BG255" s="2" t="s">
        <v>105</v>
      </c>
      <c r="BH255" s="9" t="str">
        <f>HYPERLINK(".\links\REFSEQ-PROTOZOA\AGAP005272-PA-REFSEQ-PROTOZOA.txt","predicted protein")</f>
        <v>predicted protein</v>
      </c>
      <c r="BI255" s="2" t="str">
        <f>HYPERLINK("http://www.ncbi.nlm.nih.gov/sutils/blink.cgi?pid=XP_002676040.1","4E-004")</f>
        <v>4E-004</v>
      </c>
      <c r="BJ255" s="2" t="str">
        <f>HYPERLINK("http://www.ncbi.nlm.nih.gov/protein/XP_002676040.1","XP_002676040.1")</f>
        <v>XP_002676040.1</v>
      </c>
      <c r="BK255" s="2">
        <v>23</v>
      </c>
      <c r="BL255" s="2">
        <v>43</v>
      </c>
      <c r="BM255" s="2">
        <v>41</v>
      </c>
      <c r="BN255" s="2" t="s">
        <v>1212</v>
      </c>
      <c r="BO255" s="9" t="str">
        <f>HYPERLINK(".\links\SWISSP\AGAP005272-PA-SWISSP.txt","Uncharacterized protein CG4449")</f>
        <v>Uncharacterized protein CG4449</v>
      </c>
      <c r="BP255" s="2" t="str">
        <f>HYPERLINK("http://www.uniprot.org/uniprot/Q9VCP1","2E-023")</f>
        <v>2E-023</v>
      </c>
      <c r="BQ255" s="2" t="str">
        <f>HYPERLINK("http://www.uniprot.org/uniprot/Q9VCP1#expression","Q9VCP1")</f>
        <v>Q9VCP1</v>
      </c>
      <c r="BR255" s="2">
        <v>31</v>
      </c>
      <c r="BS255" s="2">
        <v>53</v>
      </c>
      <c r="BT255" s="2">
        <v>47</v>
      </c>
      <c r="BU255" s="2" t="s">
        <v>107</v>
      </c>
      <c r="BV255" s="9" t="str">
        <f>HYPERLINK(".\links\FLYBASE\AGAP005272-PA-FLYBASE.txt","FBpp0306566")</f>
        <v>FBpp0306566</v>
      </c>
      <c r="BW255" s="2" t="str">
        <f>HYPERLINK("http://flybase.org/reports/FBgn0039065#alliance_summary_container","2E-26")</f>
        <v>2E-26</v>
      </c>
      <c r="BX255" s="2">
        <v>422</v>
      </c>
      <c r="BY255" s="2">
        <v>29</v>
      </c>
      <c r="BZ255" s="2">
        <v>50</v>
      </c>
      <c r="CA255" s="2">
        <v>51</v>
      </c>
      <c r="CB255" s="9" t="str">
        <f>HYPERLINK(".\links\CDD\AGAP005272-PA-CDD.txt","Rad60-SLD, Ubiquitin-2 like Rad60 SUMO-like")</f>
        <v>Rad60-SLD, Ubiquitin-2 like Rad60 SUMO-like</v>
      </c>
      <c r="CC255" s="15">
        <v>5.9999999999999995E-4</v>
      </c>
      <c r="CD255" s="2">
        <v>100</v>
      </c>
      <c r="CE255" s="2" t="s">
        <v>2810</v>
      </c>
      <c r="CF255" s="2" t="s">
        <v>2811</v>
      </c>
      <c r="CG255" s="9" t="str">
        <f>HYPERLINK(".\links\KOG\AGAP005272-PA-KOG.txt","Nucleotide excision repair protein RAD16")</f>
        <v>Nucleotide excision repair protein RAD16</v>
      </c>
      <c r="CH255" s="15">
        <v>0.18</v>
      </c>
      <c r="CI255" s="2">
        <v>16.8</v>
      </c>
      <c r="CJ255" s="2" t="s">
        <v>2812</v>
      </c>
      <c r="CK255" s="2" t="s">
        <v>427</v>
      </c>
      <c r="CL255" s="9" t="str">
        <f>HYPERLINK(".\links\PFAM\AGAP005272-PA-PFAM.txt","Rad60-SLD, Ubiquitin-2 like Rad60 SUMO-like")</f>
        <v>Rad60-SLD, Ubiquitin-2 like Rad60 SUMO-like</v>
      </c>
      <c r="CM255" s="15">
        <v>1E-4</v>
      </c>
      <c r="CN255" s="2">
        <v>100</v>
      </c>
      <c r="CO255" s="2" t="s">
        <v>2810</v>
      </c>
      <c r="CP255" s="9" t="str">
        <f>HYPERLINK(".\links\SMART\AGAP005272-PA-SMART.txt","UBQ, Ubiquitin homologues")</f>
        <v>UBQ, Ubiquitin homologues</v>
      </c>
      <c r="CQ255" s="15">
        <v>3.0000000000000001E-3</v>
      </c>
      <c r="CR255" s="2">
        <v>95.8</v>
      </c>
      <c r="CS255" s="2" t="s">
        <v>2813</v>
      </c>
      <c r="CT255" s="2" t="s">
        <v>2808</v>
      </c>
      <c r="CU255" s="2" t="s">
        <v>2808</v>
      </c>
      <c r="CV255" s="2" t="s">
        <v>2808</v>
      </c>
      <c r="CW255" s="2" t="str">
        <f>HYPERLINK(".\links\pep\AGAP005272-PA-pep.txt","AGAP005272-PA")</f>
        <v>AGAP005272-PA</v>
      </c>
      <c r="CX255" s="2" t="s">
        <v>95</v>
      </c>
      <c r="CY255" s="2">
        <v>462</v>
      </c>
      <c r="CZ255" s="2" t="s">
        <v>113</v>
      </c>
      <c r="DA255" s="2" t="s">
        <v>2814</v>
      </c>
      <c r="DB255" s="2">
        <v>0</v>
      </c>
      <c r="DC255" s="2">
        <v>1</v>
      </c>
      <c r="DD255" s="2" t="str">
        <f>HYPERLINK("https://www.kegg.jp/kegg-bin/search_pathway_text?map=aga&amp;keyword=AGAP005272&amp;mode=1&amp;viewImage=true","AGAP005272")</f>
        <v>AGAP005272</v>
      </c>
      <c r="DE255" s="2" t="s">
        <v>2807</v>
      </c>
      <c r="DF255" s="2" t="s">
        <v>93</v>
      </c>
      <c r="DG255" s="2" t="s">
        <v>94</v>
      </c>
      <c r="DH255" s="2" t="str">
        <f>HYPERLINK("https://vectorbase.org/vectorbase/app/record/gene/AGAP005272","AGAP005272-RA")</f>
        <v>AGAP005272-RA</v>
      </c>
      <c r="DI255" s="2" t="s">
        <v>135</v>
      </c>
      <c r="DJ255" s="2">
        <v>1475</v>
      </c>
      <c r="DK255" s="2" t="str">
        <f>HYPERLINK(".\links\netoglyc\AGAP005272-PA-netoglyc.txt","8")</f>
        <v>8</v>
      </c>
      <c r="DL255" s="2">
        <v>16.7</v>
      </c>
      <c r="DM255" s="2">
        <v>5</v>
      </c>
      <c r="DN255" s="2">
        <v>5.4</v>
      </c>
      <c r="DO255" s="2" t="s">
        <v>104</v>
      </c>
      <c r="DP255" s="2" t="s">
        <v>2815</v>
      </c>
      <c r="DQ255" s="2" t="str">
        <f>HYPERLINK(".\links\Sigp\AGAP005272-PA-SigP.txt","CYT")</f>
        <v>CYT</v>
      </c>
      <c r="DR255" s="2" t="s">
        <v>102</v>
      </c>
      <c r="DS255" s="2">
        <v>51.128999999999998</v>
      </c>
      <c r="DT255" s="2">
        <v>5.85</v>
      </c>
      <c r="DU255" s="2" t="s">
        <v>102</v>
      </c>
      <c r="DV255" s="2" t="s">
        <v>102</v>
      </c>
      <c r="DW255" s="2" t="s">
        <v>211</v>
      </c>
      <c r="DX255" s="2">
        <v>462</v>
      </c>
      <c r="DY255" s="12">
        <v>0</v>
      </c>
      <c r="DZ255" s="2" t="s">
        <v>102</v>
      </c>
      <c r="EA255" s="2" t="s">
        <v>102</v>
      </c>
      <c r="EB255" s="2" t="s">
        <v>102</v>
      </c>
      <c r="EC255" s="2" t="str">
        <f>HYPERLINK(".\links\gpi\AGAP005272-PA-gpi.txt","N")</f>
        <v>N</v>
      </c>
      <c r="ED255" s="2">
        <v>0.21</v>
      </c>
      <c r="EF255" s="2">
        <v>6</v>
      </c>
      <c r="EG255" s="2" t="str">
        <f>HYPERLINK(".\links\pep\AGAP005272-PA-sulf.txt","1")</f>
        <v>1</v>
      </c>
      <c r="EH255" s="2" t="s">
        <v>102</v>
      </c>
      <c r="EI255" s="2">
        <v>16.6666666666667</v>
      </c>
      <c r="EJ255" s="2">
        <v>5.4112554112554099</v>
      </c>
      <c r="EK255" s="2">
        <v>4.9783549783549796</v>
      </c>
      <c r="EL255" s="2">
        <v>10.3896103896104</v>
      </c>
      <c r="EM255" s="2" t="s">
        <v>102</v>
      </c>
      <c r="EN255" s="2" t="s">
        <v>102</v>
      </c>
      <c r="EO255" s="2" t="s">
        <v>102</v>
      </c>
      <c r="EP255" s="2" t="s">
        <v>102</v>
      </c>
      <c r="EQ255" s="2" t="s">
        <v>102</v>
      </c>
      <c r="ER255" s="2" t="s">
        <v>102</v>
      </c>
      <c r="ES255" s="2" t="s">
        <v>102</v>
      </c>
      <c r="ET255" s="2" t="str">
        <f>HYPERLINK(".\links\REFSEQ-INVERTEBRATE\AGAP005272-PA-REFSEQ-INVERTEBRATE.txt","AGAP005272-PA")</f>
        <v>AGAP005272-PA</v>
      </c>
      <c r="EU255" s="2" t="str">
        <f>HYPERLINK("http://www.ncbi.nlm.nih.gov/sutils/blink.cgi?pid=XP_309060.3","0.0")</f>
        <v>0.0</v>
      </c>
      <c r="EV255" s="2" t="str">
        <f>HYPERLINK("http://www.ncbi.nlm.nih.gov/protein/XP_309060.3","XP_309060.3")</f>
        <v>XP_309060.3</v>
      </c>
      <c r="EW255" s="2">
        <v>100</v>
      </c>
      <c r="EX255" s="2">
        <v>100</v>
      </c>
      <c r="EY255" s="2">
        <v>100</v>
      </c>
      <c r="EZ255" s="2" t="s">
        <v>105</v>
      </c>
    </row>
    <row r="256" spans="1:156" x14ac:dyDescent="0.25">
      <c r="A256" s="2" t="s">
        <v>2816</v>
      </c>
      <c r="B256" s="2">
        <v>0.28312374499942899</v>
      </c>
      <c r="C256" s="2">
        <f t="shared" si="3"/>
        <v>1.2168267256421064</v>
      </c>
      <c r="D256" s="2">
        <v>6.2511707203989397</v>
      </c>
      <c r="E256" s="2">
        <v>9.1522146112640392</v>
      </c>
      <c r="F256" s="2">
        <v>2.48417228040236E-3</v>
      </c>
      <c r="G256" s="2">
        <v>4.66650700727822E-2</v>
      </c>
      <c r="H256" s="2" t="s">
        <v>2817</v>
      </c>
      <c r="I256" s="2" t="s">
        <v>94</v>
      </c>
      <c r="J256" s="2" t="str">
        <f>HYPERLINK("https://vectorbase.org/vectorbase/app/record/gene/AGAP001139","AGAP001139-RA")</f>
        <v>AGAP001139-RA</v>
      </c>
      <c r="K256" s="2" t="str">
        <f>HYPERLINK(".\links\pep\AGAP001139-PA-pep.txt","AGAP001139-PA")</f>
        <v>AGAP001139-PA</v>
      </c>
      <c r="L256" s="12" t="s">
        <v>95</v>
      </c>
      <c r="M256" s="2">
        <v>310</v>
      </c>
      <c r="N256" s="2">
        <v>0</v>
      </c>
      <c r="O256" s="2">
        <v>3</v>
      </c>
      <c r="P256" s="2" t="s">
        <v>2818</v>
      </c>
      <c r="Q256" s="9" t="s">
        <v>2819</v>
      </c>
      <c r="R256" s="2" t="s">
        <v>672</v>
      </c>
      <c r="S256" s="2" t="str">
        <f>HYPERLINK(".\links\KOG\AGAP001139-PA-KOG.txt","KOG")</f>
        <v>KOG</v>
      </c>
      <c r="T256" s="2">
        <v>2E-51</v>
      </c>
      <c r="U256" s="2">
        <v>82</v>
      </c>
      <c r="V256" s="2" t="s">
        <v>2820</v>
      </c>
      <c r="W256" s="10" t="s">
        <v>2821</v>
      </c>
      <c r="X256" s="2" t="s">
        <v>672</v>
      </c>
      <c r="Y256" s="2" t="str">
        <f>HYPERLINK(".\links\ELEGANS\AGAP001139-PA-ELEGANS.txt","ELEGANS")</f>
        <v>ELEGANS</v>
      </c>
      <c r="Z256" s="15">
        <v>3.0000000000000001E-74</v>
      </c>
      <c r="AA256" s="2">
        <v>94.7</v>
      </c>
      <c r="AB256" s="13" t="str">
        <f>HYPERLINK(".\links\pep\AGAP001139-PA-sulf.txt","1")</f>
        <v>1</v>
      </c>
      <c r="AC256" s="13" t="str">
        <f>HYPERLINK(".\links\Sigp\AGAP001139-PA-SigP.txt","CYT")</f>
        <v>CYT</v>
      </c>
      <c r="AD256" s="2" t="s">
        <v>102</v>
      </c>
      <c r="AE256" s="2">
        <v>36.030999999999999</v>
      </c>
      <c r="AF256" s="2">
        <v>9.2200000000000006</v>
      </c>
      <c r="AG256" s="2" t="s">
        <v>102</v>
      </c>
      <c r="AH256" s="2" t="s">
        <v>102</v>
      </c>
      <c r="AI256" s="2" t="s">
        <v>198</v>
      </c>
      <c r="AJ256" s="13">
        <v>0</v>
      </c>
      <c r="AK256" s="2" t="s">
        <v>102</v>
      </c>
      <c r="AL256" s="2" t="s">
        <v>102</v>
      </c>
      <c r="AM256" s="2" t="s">
        <v>102</v>
      </c>
      <c r="AN256" s="13" t="str">
        <f>HYPERLINK(".\links\gpi\AGAP001139-PA-gpi.txt","N")</f>
        <v>N</v>
      </c>
      <c r="AO256" s="14" t="str">
        <f>HYPERLINK(".\links\netoglyc\AGAP001139-PA-netoglyc.txt","4")</f>
        <v>4</v>
      </c>
      <c r="AP256" s="13">
        <v>11.6</v>
      </c>
      <c r="AQ256" s="2">
        <v>2.6</v>
      </c>
      <c r="AR256" s="2">
        <v>6.1</v>
      </c>
      <c r="AS256" s="2" t="s">
        <v>104</v>
      </c>
      <c r="AT256" s="9" t="str">
        <f>HYPERLINK(".\links\NR-LIGHT\AGAP001139-PA-NR-LIGHT.txt","AGAP001139-PA")</f>
        <v>AGAP001139-PA</v>
      </c>
      <c r="AU256" s="2" t="str">
        <f>HYPERLINK("http://www.ncbi.nlm.nih.gov/sutils/blink.cgi?pid=XP_322023.2","1E-177")</f>
        <v>1E-177</v>
      </c>
      <c r="AV256" s="2" t="str">
        <f>HYPERLINK("http://www.ncbi.nlm.nih.gov/protein/XP_322023.2","XP_322023.2")</f>
        <v>XP_322023.2</v>
      </c>
      <c r="AW256" s="2">
        <v>100</v>
      </c>
      <c r="AX256" s="2">
        <v>100</v>
      </c>
      <c r="AY256" s="2">
        <v>100</v>
      </c>
      <c r="AZ256" s="2" t="s">
        <v>105</v>
      </c>
      <c r="BA256" s="9" t="str">
        <f>HYPERLINK(".\links\REFSEQ-INVERTEBRATE\AGAP001139-PA-REFSEQ-INVERTEBRATE.txt","AGAP001139-PA")</f>
        <v>AGAP001139-PA</v>
      </c>
      <c r="BB256" s="2" t="str">
        <f>HYPERLINK("http://www.ncbi.nlm.nih.gov/sutils/blink.cgi?pid=XP_322023.2","1E-177")</f>
        <v>1E-177</v>
      </c>
      <c r="BC256" s="2" t="str">
        <f>HYPERLINK("http://www.ncbi.nlm.nih.gov/protein/XP_322023.2","XP_322023.2")</f>
        <v>XP_322023.2</v>
      </c>
      <c r="BD256" s="2">
        <v>100</v>
      </c>
      <c r="BE256" s="2">
        <v>100</v>
      </c>
      <c r="BF256" s="2">
        <v>100</v>
      </c>
      <c r="BG256" s="2" t="s">
        <v>105</v>
      </c>
      <c r="BH256" s="9" t="str">
        <f>HYPERLINK(".\links\REFSEQ-PROTOZOA\AGAP001139-PA-REFSEQ-PROTOZOA.txt","hypothetical protein PTSG_02766")</f>
        <v>hypothetical protein PTSG_02766</v>
      </c>
      <c r="BI256" s="2" t="str">
        <f>HYPERLINK("http://www.ncbi.nlm.nih.gov/sutils/blink.cgi?pid=XP_004996269.1","5E-016")</f>
        <v>5E-016</v>
      </c>
      <c r="BJ256" s="2" t="str">
        <f>HYPERLINK("http://www.ncbi.nlm.nih.gov/protein/XP_004996269.1","XP_004996269.1")</f>
        <v>XP_004996269.1</v>
      </c>
      <c r="BK256" s="2">
        <v>33</v>
      </c>
      <c r="BL256" s="2">
        <v>49</v>
      </c>
      <c r="BM256" s="2">
        <v>55</v>
      </c>
      <c r="BN256" s="2" t="s">
        <v>435</v>
      </c>
      <c r="BO256" s="9" t="str">
        <f>HYPERLINK(".\links\SWISSP\AGAP001139-PA-SWISSP.txt","39S ribosomal protein L19, mitochondrial")</f>
        <v>39S ribosomal protein L19, mitochondrial</v>
      </c>
      <c r="BP256" s="2" t="str">
        <f>HYPERLINK("http://www.uniprot.org/uniprot/Q9VHN6","1E-111")</f>
        <v>1E-111</v>
      </c>
      <c r="BQ256" s="2" t="str">
        <f>HYPERLINK("http://www.uniprot.org/uniprot/Q9VHN6#expression","Q9VHN6")</f>
        <v>Q9VHN6</v>
      </c>
      <c r="BR256" s="2">
        <v>71</v>
      </c>
      <c r="BS256" s="2">
        <v>84</v>
      </c>
      <c r="BT256" s="2">
        <v>87</v>
      </c>
      <c r="BU256" s="2" t="s">
        <v>107</v>
      </c>
      <c r="BV256" s="9" t="str">
        <f>HYPERLINK(".\links\FLYBASE\AGAP001139-PA-FLYBASE.txt","FBpp0081384")</f>
        <v>FBpp0081384</v>
      </c>
      <c r="BW256" s="2" t="str">
        <f>HYPERLINK("http://flybase.org/reports/FBgn0037608#alliance_summary_container","1E-143")</f>
        <v>1E-143</v>
      </c>
      <c r="BX256" s="2">
        <v>306</v>
      </c>
      <c r="BY256" s="2">
        <v>71</v>
      </c>
      <c r="BZ256" s="2">
        <v>84</v>
      </c>
      <c r="CA256" s="2">
        <v>87</v>
      </c>
      <c r="CB256" s="9" t="str">
        <f>HYPERLINK(".\links\CDD\AGAP001139-PA-CDD.txt","Ribosomal_L19, Ribosomal protein L19")</f>
        <v>Ribosomal_L19, Ribosomal protein L19</v>
      </c>
      <c r="CC256" s="15">
        <v>6.9999999999999998E-9</v>
      </c>
      <c r="CD256" s="2">
        <v>80.2</v>
      </c>
      <c r="CE256" s="2" t="s">
        <v>2822</v>
      </c>
      <c r="CF256" s="2" t="s">
        <v>2823</v>
      </c>
      <c r="CG256" s="9" t="str">
        <f>HYPERLINK(".\links\KOG\AGAP001139-PA-KOG.txt","Mitochondrial/chloroplast ribosomal protein L19")</f>
        <v>Mitochondrial/chloroplast ribosomal protein L19</v>
      </c>
      <c r="CH256" s="15">
        <v>2E-51</v>
      </c>
      <c r="CI256" s="2">
        <v>82.1</v>
      </c>
      <c r="CJ256" s="2" t="s">
        <v>2824</v>
      </c>
      <c r="CK256" s="2" t="s">
        <v>678</v>
      </c>
      <c r="CL256" s="9" t="str">
        <f>HYPERLINK(".\links\PFAM\AGAP001139-PA-PFAM.txt","Ribosomal_L19, Ribosomal protein L19")</f>
        <v>Ribosomal_L19, Ribosomal protein L19</v>
      </c>
      <c r="CM256" s="15">
        <v>1.0000000000000001E-9</v>
      </c>
      <c r="CN256" s="2">
        <v>80.2</v>
      </c>
      <c r="CO256" s="2" t="s">
        <v>2822</v>
      </c>
      <c r="CP256" s="9" t="str">
        <f>HYPERLINK(".\links\SMART\AGAP001139-PA-SMART.txt","HECTc, Domain Homologous to E6-AP Carboxyl Terminus with")</f>
        <v>HECTc, Domain Homologous to E6-AP Carboxyl Terminus with</v>
      </c>
      <c r="CQ256" s="15">
        <v>5.8000000000000003E-2</v>
      </c>
      <c r="CR256" s="2">
        <v>29</v>
      </c>
      <c r="CS256" s="2" t="s">
        <v>2825</v>
      </c>
      <c r="CT256" s="2" t="s">
        <v>2820</v>
      </c>
      <c r="CU256" s="2" t="s">
        <v>2820</v>
      </c>
      <c r="CV256" s="2" t="s">
        <v>2820</v>
      </c>
      <c r="CW256" s="2" t="str">
        <f>HYPERLINK(".\links\pep\AGAP001139-PA-pep.txt","AGAP001139-PA")</f>
        <v>AGAP001139-PA</v>
      </c>
      <c r="CX256" s="2" t="s">
        <v>95</v>
      </c>
      <c r="CY256" s="2">
        <v>310</v>
      </c>
      <c r="CZ256" s="2" t="s">
        <v>113</v>
      </c>
      <c r="DA256" s="2" t="s">
        <v>2826</v>
      </c>
      <c r="DB256" s="2">
        <v>0</v>
      </c>
      <c r="DC256" s="2">
        <v>3</v>
      </c>
      <c r="DD256" s="2" t="str">
        <f>HYPERLINK("https://www.kegg.jp/kegg-bin/search_pathway_text?map=aga&amp;keyword=AGAP001139&amp;mode=1&amp;viewImage=true","AGAP001139")</f>
        <v>AGAP001139</v>
      </c>
      <c r="DE256" s="2" t="s">
        <v>2816</v>
      </c>
      <c r="DF256" s="2" t="s">
        <v>2817</v>
      </c>
      <c r="DG256" s="2" t="s">
        <v>94</v>
      </c>
      <c r="DH256" s="2" t="str">
        <f>HYPERLINK("https://vectorbase.org/vectorbase/app/record/gene/AGAP001139","AGAP001139-RA")</f>
        <v>AGAP001139-RA</v>
      </c>
      <c r="DI256" s="2" t="s">
        <v>115</v>
      </c>
      <c r="DJ256" s="2">
        <v>1690</v>
      </c>
      <c r="DK256" s="2" t="str">
        <f>HYPERLINK(".\links\netoglyc\AGAP001139-PA-netoglyc.txt","4")</f>
        <v>4</v>
      </c>
      <c r="DL256" s="2">
        <v>11.6</v>
      </c>
      <c r="DM256" s="2">
        <v>2.6</v>
      </c>
      <c r="DN256" s="2">
        <v>6.1</v>
      </c>
      <c r="DO256" s="2" t="s">
        <v>104</v>
      </c>
      <c r="DP256" s="2" t="s">
        <v>2827</v>
      </c>
      <c r="DQ256" s="2" t="str">
        <f>HYPERLINK(".\links\Sigp\AGAP001139-PA-SigP.txt","CYT")</f>
        <v>CYT</v>
      </c>
      <c r="DR256" s="2" t="s">
        <v>102</v>
      </c>
      <c r="DS256" s="2">
        <v>36.030999999999999</v>
      </c>
      <c r="DT256" s="2">
        <v>9.2200000000000006</v>
      </c>
      <c r="DU256" s="2" t="s">
        <v>102</v>
      </c>
      <c r="DV256" s="2" t="s">
        <v>102</v>
      </c>
      <c r="DW256" s="2" t="s">
        <v>198</v>
      </c>
      <c r="DX256" s="2">
        <v>310</v>
      </c>
      <c r="DY256" s="12">
        <v>0</v>
      </c>
      <c r="DZ256" s="2" t="s">
        <v>102</v>
      </c>
      <c r="EA256" s="2" t="s">
        <v>102</v>
      </c>
      <c r="EB256" s="2" t="s">
        <v>102</v>
      </c>
      <c r="EC256" s="2" t="str">
        <f>HYPERLINK(".\links\gpi\AGAP001139-PA-gpi.txt","N")</f>
        <v>N</v>
      </c>
      <c r="ED256" s="2">
        <v>0.27</v>
      </c>
      <c r="EF256" s="2">
        <v>4</v>
      </c>
      <c r="EG256" s="2" t="str">
        <f>HYPERLINK(".\links\pep\AGAP001139-PA-sulf.txt","1")</f>
        <v>1</v>
      </c>
      <c r="EH256" s="2" t="s">
        <v>102</v>
      </c>
      <c r="EI256" s="2">
        <v>11.6129032258065</v>
      </c>
      <c r="EJ256" s="2">
        <v>6.1290322580645196</v>
      </c>
      <c r="EK256" s="2">
        <v>2.5806451612903198</v>
      </c>
      <c r="EL256" s="2">
        <v>8.7096774193548399</v>
      </c>
      <c r="EM256" s="2" t="s">
        <v>102</v>
      </c>
      <c r="EN256" s="2" t="s">
        <v>102</v>
      </c>
      <c r="EO256" s="2" t="s">
        <v>102</v>
      </c>
      <c r="EP256" s="2" t="s">
        <v>102</v>
      </c>
      <c r="EQ256" s="2" t="s">
        <v>102</v>
      </c>
      <c r="ER256" s="2" t="s">
        <v>102</v>
      </c>
      <c r="ES256" s="2" t="s">
        <v>102</v>
      </c>
      <c r="ET256" s="2" t="str">
        <f>HYPERLINK(".\links\REFSEQ-INVERTEBRATE\AGAP001139-PA-REFSEQ-INVERTEBRATE.txt","AGAP001139-PA")</f>
        <v>AGAP001139-PA</v>
      </c>
      <c r="EU256" s="2" t="str">
        <f>HYPERLINK("http://www.ncbi.nlm.nih.gov/sutils/blink.cgi?pid=XP_322023.2","0.0")</f>
        <v>0.0</v>
      </c>
      <c r="EV256" s="2" t="str">
        <f>HYPERLINK("http://www.ncbi.nlm.nih.gov/protein/XP_322023.2","XP_322023.2")</f>
        <v>XP_322023.2</v>
      </c>
      <c r="EW256" s="2">
        <v>100</v>
      </c>
      <c r="EX256" s="2">
        <v>100</v>
      </c>
      <c r="EY256" s="2">
        <v>100</v>
      </c>
      <c r="EZ256" s="2" t="s">
        <v>105</v>
      </c>
    </row>
    <row r="257" spans="1:156" x14ac:dyDescent="0.25">
      <c r="A257" s="2" t="s">
        <v>2828</v>
      </c>
      <c r="B257" s="2">
        <v>0.28165318231776898</v>
      </c>
      <c r="C257" s="2">
        <f t="shared" si="3"/>
        <v>1.2155870261634674</v>
      </c>
      <c r="D257" s="2">
        <v>6.4568190659525699</v>
      </c>
      <c r="E257" s="2">
        <v>13.254655994536799</v>
      </c>
      <c r="F257" s="2">
        <v>2.7190367760878E-4</v>
      </c>
      <c r="G257" s="2">
        <v>1.86084079363509E-2</v>
      </c>
      <c r="H257" s="2" t="s">
        <v>2829</v>
      </c>
      <c r="I257" s="2" t="s">
        <v>94</v>
      </c>
      <c r="J257" s="2" t="str">
        <f>HYPERLINK("https://vectorbase.org/vectorbase/app/record/gene/AGAP010459","AGAP010459-RA")</f>
        <v>AGAP010459-RA</v>
      </c>
      <c r="K257" s="2" t="str">
        <f>HYPERLINK(".\links\pep\AGAP010459-PA-pep.txt","AGAP010459-PA")</f>
        <v>AGAP010459-PA</v>
      </c>
      <c r="L257" s="12" t="s">
        <v>95</v>
      </c>
      <c r="M257" s="2">
        <v>500</v>
      </c>
      <c r="N257" s="2">
        <v>0</v>
      </c>
      <c r="O257" s="2">
        <v>0</v>
      </c>
      <c r="P257" s="2" t="s">
        <v>2830</v>
      </c>
      <c r="Q257" s="9" t="s">
        <v>2831</v>
      </c>
      <c r="R257" s="2" t="s">
        <v>388</v>
      </c>
      <c r="S257" s="2" t="str">
        <f>HYPERLINK(".\links\KOG\AGAP010459-PA-KOG.txt","KOG")</f>
        <v>KOG</v>
      </c>
      <c r="T257" s="2">
        <v>3.0000000000000003E-67</v>
      </c>
      <c r="U257" s="2">
        <v>97.6</v>
      </c>
      <c r="V257" s="2" t="s">
        <v>2832</v>
      </c>
      <c r="W257" s="10" t="s">
        <v>2833</v>
      </c>
      <c r="X257" s="2" t="s">
        <v>420</v>
      </c>
      <c r="Y257" s="2" t="str">
        <f>HYPERLINK(".\links\REFSEQVERTEBRATE95\AGAP010459-PA-REFSEQVERTEBRATE95.txt","REFSEQVERTEBRATE95")</f>
        <v>REFSEQVERTEBRATE95</v>
      </c>
      <c r="Z257" s="15">
        <v>8.0000000000000002E-59</v>
      </c>
      <c r="AA257" s="2">
        <v>100.6</v>
      </c>
      <c r="AB257" s="13" t="s">
        <v>102</v>
      </c>
      <c r="AC257" s="13" t="str">
        <f>HYPERLINK(".\links\Sigp\AGAP010459-PA-SigP.txt","CYT")</f>
        <v>CYT</v>
      </c>
      <c r="AD257" s="2" t="s">
        <v>102</v>
      </c>
      <c r="AE257" s="2">
        <v>55.313000000000002</v>
      </c>
      <c r="AF257" s="2">
        <v>6.89</v>
      </c>
      <c r="AG257" s="2" t="s">
        <v>102</v>
      </c>
      <c r="AH257" s="2" t="s">
        <v>102</v>
      </c>
      <c r="AI257" s="2" t="s">
        <v>211</v>
      </c>
      <c r="AJ257" s="13">
        <v>0</v>
      </c>
      <c r="AK257" s="2" t="s">
        <v>102</v>
      </c>
      <c r="AL257" s="2" t="s">
        <v>102</v>
      </c>
      <c r="AM257" s="2" t="s">
        <v>102</v>
      </c>
      <c r="AN257" s="13" t="str">
        <f>HYPERLINK(".\links\gpi\AGAP010459-PA-gpi.txt","N")</f>
        <v>N</v>
      </c>
      <c r="AO257" s="14" t="str">
        <f>HYPERLINK(".\links\netoglyc\AGAP010459-PA-netoglyc.txt","8")</f>
        <v>8</v>
      </c>
      <c r="AP257" s="13">
        <v>15.6</v>
      </c>
      <c r="AQ257" s="2">
        <v>4.8</v>
      </c>
      <c r="AR257" s="2">
        <v>7.8</v>
      </c>
      <c r="AS257" s="2" t="s">
        <v>104</v>
      </c>
      <c r="AT257" s="9" t="str">
        <f>HYPERLINK(".\links\NR-LIGHT\AGAP010459-PA-NR-LIGHT.txt","AGAP010459-PA")</f>
        <v>AGAP010459-PA</v>
      </c>
      <c r="AU257" s="2" t="str">
        <f>HYPERLINK("http://www.ncbi.nlm.nih.gov/sutils/blink.cgi?pid=XP_311489.4","0.0")</f>
        <v>0.0</v>
      </c>
      <c r="AV257" s="2" t="str">
        <f>HYPERLINK("http://www.ncbi.nlm.nih.gov/protein/XP_311489.4","XP_311489.4")</f>
        <v>XP_311489.4</v>
      </c>
      <c r="AW257" s="2">
        <v>100</v>
      </c>
      <c r="AX257" s="2">
        <v>100</v>
      </c>
      <c r="AY257" s="2">
        <v>100</v>
      </c>
      <c r="AZ257" s="2" t="s">
        <v>105</v>
      </c>
      <c r="BA257" s="9" t="str">
        <f>HYPERLINK(".\links\REFSEQ-INVERTEBRATE\AGAP010459-PA-REFSEQ-INVERTEBRATE.txt","AGAP010459-PA")</f>
        <v>AGAP010459-PA</v>
      </c>
      <c r="BB257" s="2" t="str">
        <f>HYPERLINK("http://www.ncbi.nlm.nih.gov/sutils/blink.cgi?pid=XP_311489.4","0.0")</f>
        <v>0.0</v>
      </c>
      <c r="BC257" s="2" t="str">
        <f>HYPERLINK("http://www.ncbi.nlm.nih.gov/protein/XP_311489.4","XP_311489.4")</f>
        <v>XP_311489.4</v>
      </c>
      <c r="BD257" s="2">
        <v>100</v>
      </c>
      <c r="BE257" s="2">
        <v>100</v>
      </c>
      <c r="BF257" s="2">
        <v>100</v>
      </c>
      <c r="BG257" s="2" t="s">
        <v>105</v>
      </c>
      <c r="BH257" s="9" t="str">
        <f>HYPERLINK(".\links\REFSEQ-PROTOZOA\AGAP010459-PA-REFSEQ-PROTOZOA.txt","hypothetical protein DFA_10833")</f>
        <v>hypothetical protein DFA_10833</v>
      </c>
      <c r="BI257" s="2" t="str">
        <f>HYPERLINK("http://www.ncbi.nlm.nih.gov/sutils/blink.cgi?pid=XP_004351475.1","2E-011")</f>
        <v>2E-011</v>
      </c>
      <c r="BJ257" s="2" t="str">
        <f>HYPERLINK("http://www.ncbi.nlm.nih.gov/protein/XP_004351475.1","XP_004351475.1")</f>
        <v>XP_004351475.1</v>
      </c>
      <c r="BK257" s="2">
        <v>24</v>
      </c>
      <c r="BL257" s="2">
        <v>41</v>
      </c>
      <c r="BM257" s="2">
        <v>39</v>
      </c>
      <c r="BN257" s="2" t="s">
        <v>212</v>
      </c>
      <c r="BO257" s="9" t="str">
        <f>HYPERLINK(".\links\SWISSP\AGAP010459-PA-SWISSP.txt","Transcriptional adapter 3")</f>
        <v>Transcriptional adapter 3</v>
      </c>
      <c r="BP257" s="2" t="str">
        <f>HYPERLINK("http://www.uniprot.org/uniprot/O75528","8E-060")</f>
        <v>8E-060</v>
      </c>
      <c r="BQ257" s="2" t="str">
        <f>HYPERLINK("http://www.uniprot.org/uniprot/O75528#expression","O75528")</f>
        <v>O75528</v>
      </c>
      <c r="BR257" s="2">
        <v>34</v>
      </c>
      <c r="BS257" s="2">
        <v>53</v>
      </c>
      <c r="BT257" s="2">
        <v>107</v>
      </c>
      <c r="BU257" s="2" t="s">
        <v>127</v>
      </c>
      <c r="BV257" s="9" t="str">
        <f>HYPERLINK(".\links\FLYBASE\AGAP010459-PA-FLYBASE.txt","FBpp0074284")</f>
        <v>FBpp0074284</v>
      </c>
      <c r="BW257" s="2" t="str">
        <f>HYPERLINK("http://flybase.org/reports/FBgn0030891#alliance_summary_container","1E-96")</f>
        <v>1E-96</v>
      </c>
      <c r="BX257" s="2">
        <v>556</v>
      </c>
      <c r="BY257" s="2">
        <v>40</v>
      </c>
      <c r="BZ257" s="2">
        <v>57</v>
      </c>
      <c r="CA257" s="2">
        <v>98</v>
      </c>
      <c r="CB257" s="9" t="str">
        <f>HYPERLINK(".\links\CDD\AGAP010459-PA-CDD.txt","Ada3, Histone acetyltransferases subunit 3")</f>
        <v>Ada3, Histone acetyltransferases subunit 3</v>
      </c>
      <c r="CC257" s="15">
        <v>8.0000000000000003E-26</v>
      </c>
      <c r="CD257" s="2">
        <v>90.2</v>
      </c>
      <c r="CE257" s="2" t="s">
        <v>2834</v>
      </c>
      <c r="CF257" s="2" t="s">
        <v>2835</v>
      </c>
      <c r="CG257" s="9" t="str">
        <f>HYPERLINK(".\links\KOG\AGAP010459-PA-KOG.txt","subunit TADA3L/NGG1")</f>
        <v>subunit TADA3L/NGG1</v>
      </c>
      <c r="CH257" s="15">
        <v>3.0000000000000003E-67</v>
      </c>
      <c r="CI257" s="2">
        <v>97.7</v>
      </c>
      <c r="CJ257" s="2" t="s">
        <v>2836</v>
      </c>
      <c r="CK257" s="2" t="s">
        <v>398</v>
      </c>
      <c r="CL257" s="9" t="str">
        <f>HYPERLINK(".\links\PFAM\AGAP010459-PA-PFAM.txt","Ada3, Histone acetyltransferases subunit 3")</f>
        <v>Ada3, Histone acetyltransferases subunit 3</v>
      </c>
      <c r="CM257" s="15">
        <v>2.0000000000000001E-26</v>
      </c>
      <c r="CN257" s="2">
        <v>90.2</v>
      </c>
      <c r="CO257" s="2" t="s">
        <v>2834</v>
      </c>
      <c r="CP257" s="9" t="str">
        <f>HYPERLINK(".\links\SMART\AGAP010459-PA-SMART.txt","Spc7, Spc7 kinetochore protein")</f>
        <v>Spc7, Spc7 kinetochore protein</v>
      </c>
      <c r="CQ257" s="15">
        <v>0.6</v>
      </c>
      <c r="CR257" s="2">
        <v>26.9</v>
      </c>
      <c r="CS257" s="2" t="s">
        <v>1061</v>
      </c>
      <c r="CT257" s="2" t="s">
        <v>2832</v>
      </c>
      <c r="CU257" s="2" t="s">
        <v>2832</v>
      </c>
      <c r="CV257" s="2" t="s">
        <v>2832</v>
      </c>
      <c r="CW257" s="2" t="str">
        <f>HYPERLINK(".\links\pep\AGAP010459-PA-pep.txt","AGAP010459-PA")</f>
        <v>AGAP010459-PA</v>
      </c>
      <c r="CX257" s="2" t="s">
        <v>95</v>
      </c>
      <c r="CY257" s="2">
        <v>500</v>
      </c>
      <c r="CZ257" s="2" t="s">
        <v>113</v>
      </c>
      <c r="DA257" s="2" t="s">
        <v>2837</v>
      </c>
      <c r="DB257" s="2">
        <v>0</v>
      </c>
      <c r="DC257" s="2">
        <v>0</v>
      </c>
      <c r="DD257" s="2" t="str">
        <f>HYPERLINK("https://www.kegg.jp/kegg-bin/search_pathway_text?map=aga&amp;keyword=AGAP010459&amp;mode=1&amp;viewImage=true","AGAP010459")</f>
        <v>AGAP010459</v>
      </c>
      <c r="DE257" s="2" t="s">
        <v>2828</v>
      </c>
      <c r="DF257" s="2" t="s">
        <v>2829</v>
      </c>
      <c r="DG257" s="2" t="s">
        <v>94</v>
      </c>
      <c r="DH257" s="2" t="str">
        <f>HYPERLINK("https://vectorbase.org/vectorbase/app/record/gene/AGAP010459","AGAP010459-RA")</f>
        <v>AGAP010459-RA</v>
      </c>
      <c r="DI257" s="2" t="s">
        <v>118</v>
      </c>
      <c r="DJ257" s="2">
        <v>1952</v>
      </c>
      <c r="DK257" s="2" t="str">
        <f>HYPERLINK(".\links\netoglyc\AGAP010459-PA-netoglyc.txt","8")</f>
        <v>8</v>
      </c>
      <c r="DL257" s="2">
        <v>15.6</v>
      </c>
      <c r="DM257" s="2">
        <v>4.8</v>
      </c>
      <c r="DN257" s="2">
        <v>7.8</v>
      </c>
      <c r="DO257" s="2" t="s">
        <v>104</v>
      </c>
      <c r="DP257" s="2" t="s">
        <v>102</v>
      </c>
      <c r="DQ257" s="2" t="str">
        <f>HYPERLINK(".\links\Sigp\AGAP010459-PA-SigP.txt","CYT")</f>
        <v>CYT</v>
      </c>
      <c r="DR257" s="2" t="s">
        <v>102</v>
      </c>
      <c r="DS257" s="2">
        <v>55.313000000000002</v>
      </c>
      <c r="DT257" s="2">
        <v>6.89</v>
      </c>
      <c r="DU257" s="2" t="s">
        <v>102</v>
      </c>
      <c r="DV257" s="2" t="s">
        <v>102</v>
      </c>
      <c r="DW257" s="2" t="s">
        <v>211</v>
      </c>
      <c r="DX257" s="2">
        <v>500</v>
      </c>
      <c r="DY257" s="12">
        <v>0</v>
      </c>
      <c r="DZ257" s="2" t="s">
        <v>102</v>
      </c>
      <c r="EA257" s="2" t="s">
        <v>102</v>
      </c>
      <c r="EB257" s="2" t="s">
        <v>102</v>
      </c>
      <c r="EC257" s="2" t="str">
        <f>HYPERLINK(".\links\gpi\AGAP010459-PA-gpi.txt","N")</f>
        <v>N</v>
      </c>
      <c r="ED257" s="2">
        <v>0.28000000000000003</v>
      </c>
      <c r="EF257" s="2">
        <v>3</v>
      </c>
      <c r="EG257" s="2" t="s">
        <v>102</v>
      </c>
      <c r="EH257" s="2" t="s">
        <v>102</v>
      </c>
      <c r="EI257" s="2">
        <v>15.6</v>
      </c>
      <c r="EJ257" s="2">
        <v>7.8</v>
      </c>
      <c r="EK257" s="2">
        <v>4.8</v>
      </c>
      <c r="EL257" s="2">
        <v>12.6</v>
      </c>
      <c r="EM257" s="2">
        <v>1</v>
      </c>
      <c r="EN257" s="2">
        <v>2</v>
      </c>
      <c r="EO257" s="2">
        <v>3</v>
      </c>
      <c r="EP257" s="2" t="s">
        <v>102</v>
      </c>
      <c r="EQ257" s="2" t="s">
        <v>102</v>
      </c>
      <c r="ER257" s="2" t="s">
        <v>102</v>
      </c>
      <c r="ES257" s="2" t="s">
        <v>102</v>
      </c>
      <c r="ET257" s="2" t="str">
        <f>HYPERLINK(".\links\REFSEQ-INVERTEBRATE\AGAP010459-PA-REFSEQ-INVERTEBRATE.txt","AGAP010459-PA")</f>
        <v>AGAP010459-PA</v>
      </c>
      <c r="EU257" s="2" t="str">
        <f>HYPERLINK("http://www.ncbi.nlm.nih.gov/sutils/blink.cgi?pid=XP_311489.4","0.0")</f>
        <v>0.0</v>
      </c>
      <c r="EV257" s="2" t="str">
        <f>HYPERLINK("http://www.ncbi.nlm.nih.gov/protein/XP_311489.4","XP_311489.4")</f>
        <v>XP_311489.4</v>
      </c>
      <c r="EW257" s="2">
        <v>100</v>
      </c>
      <c r="EX257" s="2">
        <v>100</v>
      </c>
      <c r="EY257" s="2">
        <v>100</v>
      </c>
      <c r="EZ257" s="2" t="s">
        <v>105</v>
      </c>
    </row>
    <row r="258" spans="1:156" x14ac:dyDescent="0.25">
      <c r="A258" s="2" t="s">
        <v>2838</v>
      </c>
      <c r="B258" s="2">
        <v>0.28081472072449298</v>
      </c>
      <c r="C258" s="2">
        <f t="shared" ref="C258:C321" si="4">2^B258</f>
        <v>1.2148807598434399</v>
      </c>
      <c r="D258" s="2">
        <v>6.3869515090234001</v>
      </c>
      <c r="E258" s="2">
        <v>13.6981840804446</v>
      </c>
      <c r="F258" s="2">
        <v>2.14661949456436E-4</v>
      </c>
      <c r="G258" s="2">
        <v>1.6420216319375E-2</v>
      </c>
      <c r="H258" s="2" t="s">
        <v>2839</v>
      </c>
      <c r="I258" s="2" t="s">
        <v>94</v>
      </c>
      <c r="J258" s="2" t="str">
        <f>HYPERLINK("https://vectorbase.org/vectorbase/app/record/gene/AGAP001420","AGAP001420-RA")</f>
        <v>AGAP001420-RA</v>
      </c>
      <c r="K258" s="2" t="str">
        <f>HYPERLINK(".\links\pep\AGAP001420-PA-pep.txt","AGAP001420-PA")</f>
        <v>AGAP001420-PA</v>
      </c>
      <c r="L258" s="12" t="s">
        <v>95</v>
      </c>
      <c r="M258" s="2">
        <v>255</v>
      </c>
      <c r="N258" s="2">
        <v>0</v>
      </c>
      <c r="O258" s="2">
        <v>1</v>
      </c>
      <c r="P258" s="2" t="s">
        <v>2840</v>
      </c>
      <c r="Q258" s="9" t="s">
        <v>2841</v>
      </c>
      <c r="R258" s="2" t="s">
        <v>2281</v>
      </c>
      <c r="S258" s="2" t="str">
        <f>HYPERLINK(".\links\KOG\AGAP001420-PA-KOG.txt","KOG")</f>
        <v>KOG</v>
      </c>
      <c r="T258" s="2">
        <v>9.9999999999999996E-76</v>
      </c>
      <c r="U258" s="2">
        <v>111.2</v>
      </c>
      <c r="V258" s="2" t="s">
        <v>2842</v>
      </c>
      <c r="W258" s="10" t="s">
        <v>2843</v>
      </c>
      <c r="X258" s="2" t="s">
        <v>2281</v>
      </c>
      <c r="Y258" s="2" t="str">
        <f>HYPERLINK(".\links\COG\AGAP001420-PA-COG.txt","COG")</f>
        <v>COG</v>
      </c>
      <c r="Z258" s="15">
        <v>3.9999999999999996E-96</v>
      </c>
      <c r="AA258" s="2">
        <v>100.4</v>
      </c>
      <c r="AB258" s="13" t="str">
        <f>HYPERLINK(".\links\pep\AGAP001420-PA-sulf.txt","2")</f>
        <v>2</v>
      </c>
      <c r="AC258" s="13" t="str">
        <f>HYPERLINK(".\links\Sigp\AGAP001420-PA-SigP.txt","CYT")</f>
        <v>CYT</v>
      </c>
      <c r="AD258" s="2" t="s">
        <v>102</v>
      </c>
      <c r="AE258" s="2">
        <v>28.768999999999998</v>
      </c>
      <c r="AF258" s="2">
        <v>6.34</v>
      </c>
      <c r="AG258" s="2" t="s">
        <v>102</v>
      </c>
      <c r="AH258" s="2" t="s">
        <v>102</v>
      </c>
      <c r="AI258" s="2" t="s">
        <v>211</v>
      </c>
      <c r="AJ258" s="13">
        <v>0</v>
      </c>
      <c r="AK258" s="2" t="s">
        <v>102</v>
      </c>
      <c r="AL258" s="2" t="s">
        <v>102</v>
      </c>
      <c r="AM258" s="2" t="s">
        <v>102</v>
      </c>
      <c r="AN258" s="13" t="str">
        <f>HYPERLINK(".\links\gpi\AGAP001420-PA-gpi.txt","N")</f>
        <v>N</v>
      </c>
      <c r="AO258" s="14" t="str">
        <f>HYPERLINK(".\links\netoglyc\AGAP001420-PA-netoglyc.txt","0")</f>
        <v>0</v>
      </c>
      <c r="AP258" s="13">
        <v>9.4</v>
      </c>
      <c r="AQ258" s="2">
        <v>6.7</v>
      </c>
      <c r="AR258" s="2">
        <v>5.0999999999999996</v>
      </c>
      <c r="AS258" s="2" t="s">
        <v>104</v>
      </c>
      <c r="AT258" s="9" t="str">
        <f>HYPERLINK(".\links\NR-LIGHT\AGAP001420-PA-NR-LIGHT.txt","AGAP001420-PA")</f>
        <v>AGAP001420-PA</v>
      </c>
      <c r="AU258" s="2" t="str">
        <f>HYPERLINK("http://www.ncbi.nlm.nih.gov/sutils/blink.cgi?pid=XP_321710.2","1E-145")</f>
        <v>1E-145</v>
      </c>
      <c r="AV258" s="2" t="str">
        <f>HYPERLINK("http://www.ncbi.nlm.nih.gov/protein/XP_321710.2","XP_321710.2")</f>
        <v>XP_321710.2</v>
      </c>
      <c r="AW258" s="2">
        <v>100</v>
      </c>
      <c r="AX258" s="2">
        <v>100</v>
      </c>
      <c r="AY258" s="2">
        <v>100</v>
      </c>
      <c r="AZ258" s="2" t="s">
        <v>105</v>
      </c>
      <c r="BA258" s="9" t="str">
        <f>HYPERLINK(".\links\REFSEQ-INVERTEBRATE\AGAP001420-PA-REFSEQ-INVERTEBRATE.txt","AGAP001420-PA")</f>
        <v>AGAP001420-PA</v>
      </c>
      <c r="BB258" s="2" t="str">
        <f>HYPERLINK("http://www.ncbi.nlm.nih.gov/sutils/blink.cgi?pid=XP_321710.2","1E-145")</f>
        <v>1E-145</v>
      </c>
      <c r="BC258" s="2" t="str">
        <f>HYPERLINK("http://www.ncbi.nlm.nih.gov/protein/XP_321710.2","XP_321710.2")</f>
        <v>XP_321710.2</v>
      </c>
      <c r="BD258" s="2">
        <v>100</v>
      </c>
      <c r="BE258" s="2">
        <v>100</v>
      </c>
      <c r="BF258" s="2">
        <v>100</v>
      </c>
      <c r="BG258" s="2" t="s">
        <v>105</v>
      </c>
      <c r="BH258" s="9" t="str">
        <f>HYPERLINK(".\links\REFSEQ-PROTOZOA\AGAP001420-PA-REFSEQ-PROTOZOA.txt","hypothetical protein PPTG_16444")</f>
        <v>hypothetical protein PPTG_16444</v>
      </c>
      <c r="BI258" s="2" t="str">
        <f>HYPERLINK("http://www.ncbi.nlm.nih.gov/sutils/blink.cgi?pid=XP_008912226.1","3E-078")</f>
        <v>3E-078</v>
      </c>
      <c r="BJ258" s="2" t="str">
        <f>HYPERLINK("http://www.ncbi.nlm.nih.gov/protein/XP_008912226.1","XP_008912226.1")</f>
        <v>XP_008912226.1</v>
      </c>
      <c r="BK258" s="2">
        <v>55</v>
      </c>
      <c r="BL258" s="2">
        <v>70</v>
      </c>
      <c r="BM258" s="2">
        <v>101</v>
      </c>
      <c r="BN258" s="2" t="s">
        <v>556</v>
      </c>
      <c r="BO258" s="9" t="str">
        <f>HYPERLINK(".\links\SWISSP\AGAP001420-PA-SWISSP.txt","Phosphoglycerate mutase 2")</f>
        <v>Phosphoglycerate mutase 2</v>
      </c>
      <c r="BP258" s="2" t="str">
        <f>HYPERLINK("http://www.uniprot.org/uniprot/P15259","1E-094")</f>
        <v>1E-094</v>
      </c>
      <c r="BQ258" s="2" t="str">
        <f>HYPERLINK("http://www.uniprot.org/uniprot/P15259#expression","P15259")</f>
        <v>P15259</v>
      </c>
      <c r="BR258" s="2">
        <v>66</v>
      </c>
      <c r="BS258" s="2">
        <v>80</v>
      </c>
      <c r="BT258" s="2">
        <v>100</v>
      </c>
      <c r="BU258" s="2" t="s">
        <v>127</v>
      </c>
      <c r="BV258" s="9" t="str">
        <f>HYPERLINK(".\links\FLYBASE\AGAP001420-PA-FLYBASE.txt","FBpp0099920")</f>
        <v>FBpp0099920</v>
      </c>
      <c r="BW258" s="2" t="str">
        <f>HYPERLINK("http://flybase.org/reports/FBgn0014869#alliance_summary_container","1E-151")</f>
        <v>1E-151</v>
      </c>
      <c r="BX258" s="2">
        <v>255</v>
      </c>
      <c r="BY258" s="2">
        <v>81</v>
      </c>
      <c r="BZ258" s="2">
        <v>89</v>
      </c>
      <c r="CA258" s="2">
        <v>100</v>
      </c>
      <c r="CB258" s="9" t="str">
        <f>HYPERLINK(".\links\CDD\AGAP001420-PA-CDD.txt","gpmA, phosphoglyceromutase")</f>
        <v>gpmA, phosphoglyceromutase</v>
      </c>
      <c r="CC258" s="15">
        <v>1.0000000000000001E-114</v>
      </c>
      <c r="CD258" s="2">
        <v>101.6</v>
      </c>
      <c r="CE258" s="2" t="s">
        <v>2844</v>
      </c>
      <c r="CF258" s="2" t="s">
        <v>2845</v>
      </c>
      <c r="CG258" s="9" t="str">
        <f>HYPERLINK(".\links\KOG\AGAP001420-PA-KOG.txt","Phosphoglycerate mutase")</f>
        <v>Phosphoglycerate mutase</v>
      </c>
      <c r="CH258" s="15">
        <v>9.9999999999999996E-76</v>
      </c>
      <c r="CI258" s="2">
        <v>111.2</v>
      </c>
      <c r="CJ258" s="2" t="s">
        <v>2846</v>
      </c>
      <c r="CK258" s="2" t="s">
        <v>2307</v>
      </c>
      <c r="CL258" s="9" t="str">
        <f>HYPERLINK(".\links\PFAM\AGAP001420-PA-PFAM.txt","His_Phos_1, Histidine phosphatase superfamily (branch 1)")</f>
        <v>His_Phos_1, Histidine phosphatase superfamily (branch 1)</v>
      </c>
      <c r="CM258" s="15">
        <v>1E-26</v>
      </c>
      <c r="CN258" s="2">
        <v>107.7</v>
      </c>
      <c r="CO258" s="2" t="s">
        <v>2847</v>
      </c>
      <c r="CP258" s="9" t="str">
        <f>HYPERLINK(".\links\SMART\AGAP001420-PA-SMART.txt","PGAM, Phosphoglycerate mutase family")</f>
        <v>PGAM, Phosphoglycerate mutase family</v>
      </c>
      <c r="CQ258" s="15">
        <v>7.9999999999999994E-39</v>
      </c>
      <c r="CR258" s="2">
        <v>119.6</v>
      </c>
      <c r="CS258" s="2" t="s">
        <v>1437</v>
      </c>
      <c r="CT258" s="2" t="s">
        <v>2842</v>
      </c>
      <c r="CU258" s="2" t="s">
        <v>2842</v>
      </c>
      <c r="CV258" s="2" t="s">
        <v>2842</v>
      </c>
      <c r="CW258" s="2" t="str">
        <f>HYPERLINK(".\links\pep\AGAP001420-PA-pep.txt","AGAP001420-PA")</f>
        <v>AGAP001420-PA</v>
      </c>
      <c r="CX258" s="2" t="s">
        <v>95</v>
      </c>
      <c r="CY258" s="2">
        <v>255</v>
      </c>
      <c r="CZ258" s="2" t="s">
        <v>113</v>
      </c>
      <c r="DA258" s="2" t="s">
        <v>2848</v>
      </c>
      <c r="DB258" s="2">
        <v>0</v>
      </c>
      <c r="DC258" s="2">
        <v>1</v>
      </c>
      <c r="DD258" s="2" t="str">
        <f>HYPERLINK("https://www.kegg.jp/kegg-bin/search_pathway_text?map=aga&amp;keyword=AGAP001420&amp;mode=1&amp;viewImage=true","AGAP001420")</f>
        <v>AGAP001420</v>
      </c>
      <c r="DE258" s="2" t="s">
        <v>2838</v>
      </c>
      <c r="DF258" s="2" t="s">
        <v>2839</v>
      </c>
      <c r="DG258" s="2" t="s">
        <v>94</v>
      </c>
      <c r="DH258" s="2" t="str">
        <f>HYPERLINK("https://vectorbase.org/vectorbase/app/record/gene/AGAP001420","AGAP001420-RA")</f>
        <v>AGAP001420-RA</v>
      </c>
      <c r="DI258" s="2" t="s">
        <v>135</v>
      </c>
      <c r="DJ258" s="2">
        <v>1104</v>
      </c>
      <c r="DK258" s="2" t="str">
        <f>HYPERLINK(".\links\netoglyc\AGAP001420-PA-netoglyc.txt","0")</f>
        <v>0</v>
      </c>
      <c r="DL258" s="2">
        <v>9.4</v>
      </c>
      <c r="DM258" s="2">
        <v>6.7</v>
      </c>
      <c r="DN258" s="2">
        <v>5.0999999999999996</v>
      </c>
      <c r="DO258" s="2" t="s">
        <v>104</v>
      </c>
      <c r="DP258" s="2" t="s">
        <v>102</v>
      </c>
      <c r="DQ258" s="2" t="str">
        <f>HYPERLINK(".\links\Sigp\AGAP001420-PA-SigP.txt","CYT")</f>
        <v>CYT</v>
      </c>
      <c r="DR258" s="2" t="s">
        <v>102</v>
      </c>
      <c r="DS258" s="2">
        <v>28.768999999999998</v>
      </c>
      <c r="DT258" s="2">
        <v>6.34</v>
      </c>
      <c r="DU258" s="2" t="s">
        <v>102</v>
      </c>
      <c r="DV258" s="2" t="s">
        <v>102</v>
      </c>
      <c r="DW258" s="2" t="s">
        <v>211</v>
      </c>
      <c r="DX258" s="2">
        <v>255</v>
      </c>
      <c r="DY258" s="12">
        <v>0</v>
      </c>
      <c r="DZ258" s="2" t="s">
        <v>102</v>
      </c>
      <c r="EA258" s="2" t="s">
        <v>102</v>
      </c>
      <c r="EB258" s="2" t="s">
        <v>102</v>
      </c>
      <c r="EC258" s="2" t="str">
        <f>HYPERLINK(".\links\gpi\AGAP001420-PA-gpi.txt","N")</f>
        <v>N</v>
      </c>
      <c r="ED258" s="2">
        <v>0.23</v>
      </c>
      <c r="EF258" s="2">
        <v>1</v>
      </c>
      <c r="EG258" s="2" t="str">
        <f>HYPERLINK(".\links\pep\AGAP001420-PA-sulf.txt","2")</f>
        <v>2</v>
      </c>
      <c r="EH258" s="2" t="s">
        <v>102</v>
      </c>
      <c r="EI258" s="2">
        <v>9.4117647058823497</v>
      </c>
      <c r="EJ258" s="2">
        <v>5.0980392156862697</v>
      </c>
      <c r="EK258" s="2">
        <v>6.6666666666666696</v>
      </c>
      <c r="EL258" s="2">
        <v>11.764705882352899</v>
      </c>
      <c r="EM258" s="2" t="s">
        <v>102</v>
      </c>
      <c r="EN258" s="2">
        <v>1</v>
      </c>
      <c r="EO258" s="2">
        <v>1</v>
      </c>
      <c r="EP258" s="2" t="s">
        <v>102</v>
      </c>
      <c r="EQ258" s="2" t="s">
        <v>102</v>
      </c>
      <c r="ER258" s="2" t="s">
        <v>102</v>
      </c>
      <c r="ES258" s="2" t="s">
        <v>102</v>
      </c>
      <c r="ET258" s="2" t="str">
        <f>HYPERLINK(".\links\REFSEQ-INVERTEBRATE\AGAP001420-PA-REFSEQ-INVERTEBRATE.txt","AGAP001420-PA")</f>
        <v>AGAP001420-PA</v>
      </c>
      <c r="EU258" s="2" t="str">
        <f>HYPERLINK("http://www.ncbi.nlm.nih.gov/sutils/blink.cgi?pid=XP_321710.2","0.0")</f>
        <v>0.0</v>
      </c>
      <c r="EV258" s="2" t="str">
        <f>HYPERLINK("http://www.ncbi.nlm.nih.gov/protein/XP_321710.2","XP_321710.2")</f>
        <v>XP_321710.2</v>
      </c>
      <c r="EW258" s="2">
        <v>100</v>
      </c>
      <c r="EX258" s="2">
        <v>100</v>
      </c>
      <c r="EY258" s="2">
        <v>100</v>
      </c>
      <c r="EZ258" s="2" t="s">
        <v>105</v>
      </c>
    </row>
    <row r="259" spans="1:156" x14ac:dyDescent="0.25">
      <c r="A259" s="2" t="s">
        <v>2849</v>
      </c>
      <c r="B259" s="2">
        <v>0.28011000978173001</v>
      </c>
      <c r="C259" s="2">
        <f t="shared" si="4"/>
        <v>1.2142874738912568</v>
      </c>
      <c r="D259" s="2">
        <v>7.2024283469648998</v>
      </c>
      <c r="E259" s="2">
        <v>9.3723033901415391</v>
      </c>
      <c r="F259" s="2">
        <v>2.2028853173863402E-3</v>
      </c>
      <c r="G259" s="2">
        <v>4.5133960089069503E-2</v>
      </c>
      <c r="H259" s="2" t="s">
        <v>2850</v>
      </c>
      <c r="I259" s="2" t="s">
        <v>94</v>
      </c>
      <c r="J259" s="2" t="str">
        <f>HYPERLINK("https://vectorbase.org/vectorbase/app/record/gene/AGAP004852","AGAP004852-RA")</f>
        <v>AGAP004852-RA</v>
      </c>
      <c r="K259" s="2" t="str">
        <f>HYPERLINK(".\links\pep\AGAP004852-PA-pep.txt","AGAP004852-PA")</f>
        <v>AGAP004852-PA</v>
      </c>
      <c r="L259" s="12" t="s">
        <v>95</v>
      </c>
      <c r="M259" s="2">
        <v>472</v>
      </c>
      <c r="N259" s="2">
        <v>0</v>
      </c>
      <c r="O259" s="2">
        <v>2</v>
      </c>
      <c r="P259" s="2" t="s">
        <v>2851</v>
      </c>
      <c r="Q259" s="9" t="s">
        <v>2852</v>
      </c>
      <c r="R259" s="2" t="s">
        <v>355</v>
      </c>
      <c r="S259" s="2" t="str">
        <f>HYPERLINK(".\links\KOG\AGAP004852-PA-KOG.txt","KOG")</f>
        <v>KOG</v>
      </c>
      <c r="T259" s="2">
        <v>6.0000000000000003E-33</v>
      </c>
      <c r="U259" s="2">
        <v>40.9</v>
      </c>
      <c r="V259" s="2" t="s">
        <v>2853</v>
      </c>
      <c r="W259" s="10" t="s">
        <v>2854</v>
      </c>
      <c r="X259" s="2" t="s">
        <v>358</v>
      </c>
      <c r="Y259" s="2" t="str">
        <f>HYPERLINK(".\links\UNIPROTKB\AGAP004852-PA-UNIPROTKB.txt","UNIPROTKB")</f>
        <v>UNIPROTKB</v>
      </c>
      <c r="Z259" s="2">
        <v>0</v>
      </c>
      <c r="AA259" s="2">
        <v>61.7</v>
      </c>
      <c r="AB259" s="13" t="s">
        <v>102</v>
      </c>
      <c r="AC259" s="13" t="str">
        <f>HYPERLINK(".\links\Sigp\AGAP004852-PA-SigP.txt","CYT")</f>
        <v>CYT</v>
      </c>
      <c r="AD259" s="2" t="s">
        <v>102</v>
      </c>
      <c r="AE259" s="2">
        <v>52.475999999999999</v>
      </c>
      <c r="AF259" s="2">
        <v>5.97</v>
      </c>
      <c r="AG259" s="2" t="s">
        <v>102</v>
      </c>
      <c r="AH259" s="2" t="s">
        <v>102</v>
      </c>
      <c r="AI259" s="2" t="s">
        <v>2855</v>
      </c>
      <c r="AJ259" s="13">
        <v>0</v>
      </c>
      <c r="AK259" s="2" t="s">
        <v>102</v>
      </c>
      <c r="AL259" s="2" t="s">
        <v>102</v>
      </c>
      <c r="AM259" s="2" t="s">
        <v>102</v>
      </c>
      <c r="AN259" s="13" t="str">
        <f>HYPERLINK(".\links\gpi\AGAP004852-PA-gpi.txt","N")</f>
        <v>N</v>
      </c>
      <c r="AO259" s="14" t="str">
        <f>HYPERLINK(".\links\netoglyc\AGAP004852-PA-netoglyc.txt","3")</f>
        <v>3</v>
      </c>
      <c r="AP259" s="13">
        <v>11.2</v>
      </c>
      <c r="AQ259" s="2">
        <v>7.8</v>
      </c>
      <c r="AR259" s="2">
        <v>4.7</v>
      </c>
      <c r="AS259" s="2" t="s">
        <v>104</v>
      </c>
      <c r="AT259" s="9" t="str">
        <f>HYPERLINK(".\links\NR-LIGHT\AGAP004852-PA-NR-LIGHT.txt","AGAP004852-PB")</f>
        <v>AGAP004852-PB</v>
      </c>
      <c r="AU259" s="2" t="str">
        <f>HYPERLINK("http://www.ncbi.nlm.nih.gov/sutils/blink.cgi?pid=XP_001688561.1","0.0")</f>
        <v>0.0</v>
      </c>
      <c r="AV259" s="2" t="str">
        <f>HYPERLINK("http://www.ncbi.nlm.nih.gov/protein/XP_001688561.1","XP_001688561.1")</f>
        <v>XP_001688561.1</v>
      </c>
      <c r="AW259" s="2">
        <v>100</v>
      </c>
      <c r="AX259" s="2">
        <v>100</v>
      </c>
      <c r="AY259" s="2">
        <v>100</v>
      </c>
      <c r="AZ259" s="2" t="s">
        <v>105</v>
      </c>
      <c r="BA259" s="9" t="str">
        <f>HYPERLINK(".\links\REFSEQ-INVERTEBRATE\AGAP004852-PA-REFSEQ-INVERTEBRATE.txt","AGAP004852-PB")</f>
        <v>AGAP004852-PB</v>
      </c>
      <c r="BB259" s="2" t="str">
        <f>HYPERLINK("http://www.ncbi.nlm.nih.gov/sutils/blink.cgi?pid=XP_001688561.1","0.0")</f>
        <v>0.0</v>
      </c>
      <c r="BC259" s="2" t="str">
        <f>HYPERLINK("http://www.ncbi.nlm.nih.gov/protein/XP_001688561.1","XP_001688561.1")</f>
        <v>XP_001688561.1</v>
      </c>
      <c r="BD259" s="2">
        <v>100</v>
      </c>
      <c r="BE259" s="2">
        <v>100</v>
      </c>
      <c r="BF259" s="2">
        <v>100</v>
      </c>
      <c r="BG259" s="2" t="s">
        <v>105</v>
      </c>
      <c r="BH259" s="9" t="str">
        <f>HYPERLINK(".\links\REFSEQ-PROTOZOA\AGAP004852-PA-REFSEQ-PROTOZOA.txt","hypothetical protein DICPUDRAFT_74198")</f>
        <v>hypothetical protein DICPUDRAFT_74198</v>
      </c>
      <c r="BI259" s="2" t="str">
        <f>HYPERLINK("http://www.ncbi.nlm.nih.gov/sutils/blink.cgi?pid=XP_003283197.1","4E-041")</f>
        <v>4E-041</v>
      </c>
      <c r="BJ259" s="2" t="str">
        <f>HYPERLINK("http://www.ncbi.nlm.nih.gov/protein/XP_003283197.1","XP_003283197.1")</f>
        <v>XP_003283197.1</v>
      </c>
      <c r="BK259" s="2">
        <v>36</v>
      </c>
      <c r="BL259" s="2">
        <v>60</v>
      </c>
      <c r="BM259" s="2">
        <v>91</v>
      </c>
      <c r="BN259" s="2" t="s">
        <v>337</v>
      </c>
      <c r="BO259" s="9" t="str">
        <f>HYPERLINK(".\links\SWISSP\AGAP004852-PA-SWISSP.txt","Protein hu-li tai shao")</f>
        <v>Protein hu-li tai shao</v>
      </c>
      <c r="BP259" s="2" t="str">
        <f>HYPERLINK("http://www.uniprot.org/uniprot/Q02645","0.0")</f>
        <v>0.0</v>
      </c>
      <c r="BQ259" s="2" t="str">
        <f>HYPERLINK("http://www.uniprot.org/uniprot/Q02645#expression","Q02645")</f>
        <v>Q02645</v>
      </c>
      <c r="BR259" s="2">
        <v>69</v>
      </c>
      <c r="BS259" s="2">
        <v>80</v>
      </c>
      <c r="BT259" s="2">
        <v>41</v>
      </c>
      <c r="BU259" s="2" t="s">
        <v>107</v>
      </c>
      <c r="BV259" s="9" t="str">
        <f>HYPERLINK(".\links\FLYBASE\AGAP004852-PA-FLYBASE.txt","FBpp0301115")</f>
        <v>FBpp0301115</v>
      </c>
      <c r="BW259" s="2" t="str">
        <f>HYPERLINK("http://flybase.org/reports/FBgn0263391#alliance_summary_container","0.0")</f>
        <v>0.0</v>
      </c>
      <c r="BX259" s="2">
        <v>495</v>
      </c>
      <c r="BY259" s="2">
        <v>68</v>
      </c>
      <c r="BZ259" s="2">
        <v>80</v>
      </c>
      <c r="CA259" s="2">
        <v>97</v>
      </c>
      <c r="CB259" s="9" t="str">
        <f>HYPERLINK(".\links\CDD\AGAP004852-PA-CDD.txt","PRK07044, aldolase II superfamily protein")</f>
        <v>PRK07044, aldolase II superfamily protein</v>
      </c>
      <c r="CC259" s="15">
        <v>5.0000000000000002E-54</v>
      </c>
      <c r="CD259" s="2">
        <v>104.8</v>
      </c>
      <c r="CE259" s="2" t="s">
        <v>2856</v>
      </c>
      <c r="CF259" s="2" t="s">
        <v>2857</v>
      </c>
      <c r="CG259" s="9" t="str">
        <f>HYPERLINK(".\links\KOG\AGAP004852-PA-KOG.txt","Cytoskeletal protein Adducin")</f>
        <v>Cytoskeletal protein Adducin</v>
      </c>
      <c r="CH259" s="15">
        <v>6.0000000000000003E-33</v>
      </c>
      <c r="CI259" s="2">
        <v>40.9</v>
      </c>
      <c r="CJ259" s="2" t="s">
        <v>2858</v>
      </c>
      <c r="CK259" s="2" t="s">
        <v>2859</v>
      </c>
      <c r="CL259" s="9" t="str">
        <f>HYPERLINK(".\links\PFAM\AGAP004852-PA-PFAM.txt","Aldolase_II, Class II Aldolase and Adducin N-terminal domain")</f>
        <v>Aldolase_II, Class II Aldolase and Adducin N-terminal domain</v>
      </c>
      <c r="CM259" s="15">
        <v>7.0000000000000003E-40</v>
      </c>
      <c r="CN259" s="2">
        <v>103.9</v>
      </c>
      <c r="CO259" s="2" t="s">
        <v>2860</v>
      </c>
      <c r="CP259" s="9" t="str">
        <f>HYPERLINK(".\links\SMART\AGAP004852-PA-SMART.txt","Aldolase_II, Class II Aldolase and Adducin N-terminal domain")</f>
        <v>Aldolase_II, Class II Aldolase and Adducin N-terminal domain</v>
      </c>
      <c r="CQ259" s="15">
        <v>4.9999999999999998E-39</v>
      </c>
      <c r="CR259" s="2">
        <v>101.6</v>
      </c>
      <c r="CS259" s="2" t="s">
        <v>2861</v>
      </c>
      <c r="CT259" s="2" t="s">
        <v>2853</v>
      </c>
      <c r="CU259" s="2" t="s">
        <v>2853</v>
      </c>
      <c r="CV259" s="2" t="s">
        <v>2853</v>
      </c>
      <c r="CW259" s="2" t="str">
        <f>HYPERLINK(".\links\pep\AGAP004852-PA-pep.txt","AGAP004852-PA")</f>
        <v>AGAP004852-PA</v>
      </c>
      <c r="CX259" s="2" t="s">
        <v>95</v>
      </c>
      <c r="CY259" s="2">
        <v>472</v>
      </c>
      <c r="CZ259" s="2" t="s">
        <v>113</v>
      </c>
      <c r="DA259" s="2" t="s">
        <v>2862</v>
      </c>
      <c r="DB259" s="2">
        <v>0</v>
      </c>
      <c r="DC259" s="2">
        <v>2</v>
      </c>
      <c r="DD259" s="2" t="str">
        <f>HYPERLINK("https://www.kegg.jp/kegg-bin/search_pathway_text?map=aga&amp;keyword=AGAP004852&amp;mode=1&amp;viewImage=true","AGAP004852")</f>
        <v>AGAP004852</v>
      </c>
      <c r="DE259" s="2" t="s">
        <v>2849</v>
      </c>
      <c r="DF259" s="2" t="s">
        <v>2850</v>
      </c>
      <c r="DG259" s="2" t="s">
        <v>94</v>
      </c>
      <c r="DH259" s="2" t="str">
        <f>HYPERLINK("https://vectorbase.org/vectorbase/app/record/gene/AGAP004852","AGAP004852-RA")</f>
        <v>AGAP004852-RA</v>
      </c>
      <c r="DI259" s="2" t="s">
        <v>135</v>
      </c>
      <c r="DJ259" s="2">
        <v>2569</v>
      </c>
      <c r="DK259" s="2" t="str">
        <f>HYPERLINK(".\links\netoglyc\AGAP004852-PA-netoglyc.txt","3")</f>
        <v>3</v>
      </c>
      <c r="DL259" s="2">
        <v>11.2</v>
      </c>
      <c r="DM259" s="2">
        <v>7.8</v>
      </c>
      <c r="DN259" s="2">
        <v>4.7</v>
      </c>
      <c r="DO259" s="2" t="s">
        <v>104</v>
      </c>
      <c r="DP259" s="2" t="s">
        <v>102</v>
      </c>
      <c r="DQ259" s="2" t="str">
        <f>HYPERLINK(".\links\Sigp\AGAP004852-PA-SigP.txt","CYT")</f>
        <v>CYT</v>
      </c>
      <c r="DR259" s="2" t="s">
        <v>102</v>
      </c>
      <c r="DS259" s="2">
        <v>52.475999999999999</v>
      </c>
      <c r="DT259" s="2">
        <v>5.97</v>
      </c>
      <c r="DU259" s="2" t="s">
        <v>102</v>
      </c>
      <c r="DV259" s="2" t="s">
        <v>102</v>
      </c>
      <c r="DW259" s="2" t="s">
        <v>2855</v>
      </c>
      <c r="DX259" s="2">
        <v>472</v>
      </c>
      <c r="DY259" s="12">
        <v>0</v>
      </c>
      <c r="DZ259" s="2" t="s">
        <v>102</v>
      </c>
      <c r="EA259" s="2" t="s">
        <v>102</v>
      </c>
      <c r="EB259" s="2" t="s">
        <v>102</v>
      </c>
      <c r="EC259" s="2" t="str">
        <f>HYPERLINK(".\links\gpi\AGAP004852-PA-gpi.txt","N")</f>
        <v>N</v>
      </c>
      <c r="ED259" s="2">
        <v>0.18</v>
      </c>
      <c r="EF259" s="2">
        <v>7</v>
      </c>
      <c r="EG259" s="2" t="s">
        <v>102</v>
      </c>
      <c r="EH259" s="2" t="s">
        <v>102</v>
      </c>
      <c r="EI259" s="2">
        <v>11.228813559322001</v>
      </c>
      <c r="EJ259" s="2">
        <v>4.6610169491525397</v>
      </c>
      <c r="EK259" s="2">
        <v>7.8389830508474603</v>
      </c>
      <c r="EL259" s="2">
        <v>12.5</v>
      </c>
      <c r="EM259" s="2" t="s">
        <v>102</v>
      </c>
      <c r="EN259" s="2">
        <v>3</v>
      </c>
      <c r="EO259" s="2">
        <v>3</v>
      </c>
      <c r="EP259" s="2" t="s">
        <v>102</v>
      </c>
      <c r="EQ259" s="2" t="s">
        <v>102</v>
      </c>
      <c r="ER259" s="2" t="s">
        <v>102</v>
      </c>
      <c r="ES259" s="2" t="s">
        <v>102</v>
      </c>
      <c r="ET259" s="2" t="str">
        <f>HYPERLINK(".\links\REFSEQ-INVERTEBRATE\AGAP004852-PA-REFSEQ-INVERTEBRATE.txt","AGAP004852-PB")</f>
        <v>AGAP004852-PB</v>
      </c>
      <c r="EU259" s="2" t="str">
        <f>HYPERLINK("http://www.ncbi.nlm.nih.gov/sutils/blink.cgi?pid=XP_001688561.1","0.0")</f>
        <v>0.0</v>
      </c>
      <c r="EV259" s="2" t="str">
        <f>HYPERLINK("http://www.ncbi.nlm.nih.gov/protein/XP_001688561.1","XP_001688561.1")</f>
        <v>XP_001688561.1</v>
      </c>
      <c r="EW259" s="2">
        <v>100</v>
      </c>
      <c r="EX259" s="2">
        <v>100</v>
      </c>
      <c r="EY259" s="2">
        <v>100</v>
      </c>
      <c r="EZ259" s="2" t="s">
        <v>105</v>
      </c>
    </row>
    <row r="260" spans="1:156" x14ac:dyDescent="0.25">
      <c r="A260" s="2" t="s">
        <v>2863</v>
      </c>
      <c r="B260" s="2">
        <v>0.27936186714584998</v>
      </c>
      <c r="C260" s="2">
        <f t="shared" si="4"/>
        <v>1.2136579404867958</v>
      </c>
      <c r="D260" s="2">
        <v>8.4002196526357302</v>
      </c>
      <c r="E260" s="2">
        <v>9.3481812743483204</v>
      </c>
      <c r="F260" s="2">
        <v>2.2320686177636599E-3</v>
      </c>
      <c r="G260" s="2">
        <v>4.52613914157632E-2</v>
      </c>
      <c r="H260" s="2" t="s">
        <v>2864</v>
      </c>
      <c r="I260" s="2" t="s">
        <v>94</v>
      </c>
      <c r="J260" s="2" t="str">
        <f>HYPERLINK("https://vectorbase.org/vectorbase/app/record/gene/AGAP004592","AGAP004592-RE")</f>
        <v>AGAP004592-RE</v>
      </c>
      <c r="K260" s="2" t="str">
        <f>HYPERLINK(".\links\pep\AGAP004592-PE-pep.txt","AGAP004592-PE")</f>
        <v>AGAP004592-PE</v>
      </c>
      <c r="L260" s="12" t="s">
        <v>95</v>
      </c>
      <c r="M260" s="2">
        <v>351</v>
      </c>
      <c r="N260" s="2">
        <v>0</v>
      </c>
      <c r="O260" s="2">
        <v>0</v>
      </c>
      <c r="P260" s="2" t="s">
        <v>2865</v>
      </c>
      <c r="Q260" s="9" t="s">
        <v>2866</v>
      </c>
      <c r="R260" s="2" t="s">
        <v>420</v>
      </c>
      <c r="S260" s="2" t="str">
        <f>HYPERLINK(".\links\SWISSP\AGAP004592-PE-SWISSP.txt","SWISSP")</f>
        <v>SWISSP</v>
      </c>
      <c r="T260" s="2">
        <v>4.9999999999999997E-99</v>
      </c>
      <c r="U260" s="2">
        <v>101.1</v>
      </c>
      <c r="V260" s="2" t="s">
        <v>2867</v>
      </c>
      <c r="W260" s="10" t="s">
        <v>2868</v>
      </c>
      <c r="X260" s="2" t="s">
        <v>420</v>
      </c>
      <c r="Y260" s="2" t="str">
        <f>HYPERLINK(".\links\REFSEQVERTEBRATE95\AGAP004592-PE-REFSEQVERTEBRATE95.txt","REFSEQVERTEBRATE95")</f>
        <v>REFSEQVERTEBRATE95</v>
      </c>
      <c r="Z260" s="15">
        <v>8.9999999999999997E-82</v>
      </c>
      <c r="AA260" s="2">
        <v>94.9</v>
      </c>
      <c r="AB260" s="13" t="str">
        <f>HYPERLINK(".\links\pep\AGAP004592-PE-sulf.txt","2")</f>
        <v>2</v>
      </c>
      <c r="AC260" s="13" t="str">
        <f>HYPERLINK(".\links\Sigp\AGAP004592-PE-SigP.txt","CYT")</f>
        <v>CYT</v>
      </c>
      <c r="AD260" s="2" t="s">
        <v>102</v>
      </c>
      <c r="AE260" s="2">
        <v>40.881999999999998</v>
      </c>
      <c r="AF260" s="2">
        <v>11.29</v>
      </c>
      <c r="AG260" s="2" t="s">
        <v>102</v>
      </c>
      <c r="AH260" s="2" t="s">
        <v>102</v>
      </c>
      <c r="AI260" s="2" t="s">
        <v>211</v>
      </c>
      <c r="AJ260" s="13">
        <v>0</v>
      </c>
      <c r="AK260" s="2" t="s">
        <v>102</v>
      </c>
      <c r="AL260" s="2" t="s">
        <v>102</v>
      </c>
      <c r="AM260" s="2" t="s">
        <v>102</v>
      </c>
      <c r="AN260" s="13" t="str">
        <f>HYPERLINK(".\links\gpi\AGAP004592-PE-gpi.txt","N")</f>
        <v>N</v>
      </c>
      <c r="AO260" s="14" t="str">
        <f>HYPERLINK(".\links\netoglyc\AGAP004592-PE-netoglyc.txt","1")</f>
        <v>1</v>
      </c>
      <c r="AP260" s="13">
        <v>21.7</v>
      </c>
      <c r="AQ260" s="2">
        <v>6.8</v>
      </c>
      <c r="AR260" s="2">
        <v>2.8</v>
      </c>
      <c r="AS260" s="2" t="s">
        <v>104</v>
      </c>
      <c r="AT260" s="9" t="str">
        <f>HYPERLINK(".\links\NR-LIGHT\AGAP004592-PE-NR-LIGHT.txt","AGAP004592-PE")</f>
        <v>AGAP004592-PE</v>
      </c>
      <c r="AU260" s="2" t="str">
        <f>HYPERLINK("http://www.ncbi.nlm.nih.gov/sutils/blink.cgi?pid=XP_003436860.1","0.0")</f>
        <v>0.0</v>
      </c>
      <c r="AV260" s="2" t="str">
        <f>HYPERLINK("http://www.ncbi.nlm.nih.gov/protein/XP_003436860.1","XP_003436860.1")</f>
        <v>XP_003436860.1</v>
      </c>
      <c r="AW260" s="2">
        <v>100</v>
      </c>
      <c r="AX260" s="2">
        <v>100</v>
      </c>
      <c r="AY260" s="2">
        <v>100</v>
      </c>
      <c r="AZ260" s="2" t="s">
        <v>105</v>
      </c>
      <c r="BA260" s="9" t="str">
        <f>HYPERLINK(".\links\REFSEQ-INVERTEBRATE\AGAP004592-PE-REFSEQ-INVERTEBRATE.txt","AGAP004592-PE")</f>
        <v>AGAP004592-PE</v>
      </c>
      <c r="BB260" s="2" t="str">
        <f>HYPERLINK("http://www.ncbi.nlm.nih.gov/sutils/blink.cgi?pid=XP_003436860.1","0.0")</f>
        <v>0.0</v>
      </c>
      <c r="BC260" s="2" t="str">
        <f>HYPERLINK("http://www.ncbi.nlm.nih.gov/protein/XP_003436860.1","XP_003436860.1")</f>
        <v>XP_003436860.1</v>
      </c>
      <c r="BD260" s="2">
        <v>100</v>
      </c>
      <c r="BE260" s="2">
        <v>100</v>
      </c>
      <c r="BF260" s="2">
        <v>100</v>
      </c>
      <c r="BG260" s="2" t="s">
        <v>105</v>
      </c>
      <c r="BH260" s="9" t="str">
        <f>HYPERLINK(".\links\REFSEQ-PROTOZOA\AGAP004592-PE-REFSEQ-PROTOZOA.txt","hypothetical protein SARC_01822")</f>
        <v>hypothetical protein SARC_01822</v>
      </c>
      <c r="BI260" s="2" t="str">
        <f>HYPERLINK("http://www.ncbi.nlm.nih.gov/sutils/blink.cgi?pid=XP_014159924.1","7E-063")</f>
        <v>7E-063</v>
      </c>
      <c r="BJ260" s="2" t="str">
        <f>HYPERLINK("http://www.ncbi.nlm.nih.gov/protein/XP_014159924.1","XP_014159924.1")</f>
        <v>XP_014159924.1</v>
      </c>
      <c r="BK260" s="2">
        <v>44</v>
      </c>
      <c r="BL260" s="2">
        <v>59</v>
      </c>
      <c r="BM260" s="2">
        <v>110</v>
      </c>
      <c r="BN260" s="2" t="s">
        <v>393</v>
      </c>
      <c r="BO260" s="9" t="str">
        <f>HYPERLINK(".\links\SWISSP\AGAP004592-PE-SWISSP.txt","Serine-arginine protein 55")</f>
        <v>Serine-arginine protein 55</v>
      </c>
      <c r="BP260" s="2" t="str">
        <f>HYPERLINK("http://www.uniprot.org/uniprot/P26686","1E-135")</f>
        <v>1E-135</v>
      </c>
      <c r="BQ260" s="2" t="str">
        <f>HYPERLINK("http://www.uniprot.org/uniprot/P26686#expression","P26686")</f>
        <v>P26686</v>
      </c>
      <c r="BR260" s="2">
        <v>74</v>
      </c>
      <c r="BS260" s="2">
        <v>79</v>
      </c>
      <c r="BT260" s="2">
        <v>101</v>
      </c>
      <c r="BU260" s="2" t="s">
        <v>107</v>
      </c>
      <c r="BV260" s="9" t="str">
        <f>HYPERLINK(".\links\FLYBASE\AGAP004592-PE-FLYBASE.txt","FBpp0300517")</f>
        <v>FBpp0300517</v>
      </c>
      <c r="BW260" s="2" t="str">
        <f>HYPERLINK("http://flybase.org/reports/FBgn0004587#alliance_summary_container","1E-110")</f>
        <v>1E-110</v>
      </c>
      <c r="BX260" s="2">
        <v>355</v>
      </c>
      <c r="BY260" s="2">
        <v>86</v>
      </c>
      <c r="BZ260" s="2">
        <v>91</v>
      </c>
      <c r="CA260" s="2">
        <v>54</v>
      </c>
      <c r="CB260" s="9" t="str">
        <f>HYPERLINK(".\links\CDD\AGAP004592-PE-CDD.txt","RRM2_SRSF4_like, RNA recognition motif 2 in serine/arginine-rich splicing factor 4 (SRSF4) and similar proteins")</f>
        <v>RRM2_SRSF4_like, RNA recognition motif 2 in serine/arginine-rich splicing factor 4 (SRSF4) and similar proteins</v>
      </c>
      <c r="CC260" s="15">
        <v>4.0000000000000003E-31</v>
      </c>
      <c r="CD260" s="2">
        <v>100</v>
      </c>
      <c r="CE260" s="2" t="s">
        <v>2869</v>
      </c>
      <c r="CF260" s="2" t="s">
        <v>2870</v>
      </c>
      <c r="CG260" s="9" t="str">
        <f>HYPERLINK(".\links\KOG\AGAP004592-PE-KOG.txt","Alternative splicing factor SRp55/B52/SRp75 (RRM superfamily)")</f>
        <v>Alternative splicing factor SRp55/B52/SRp75 (RRM superfamily)</v>
      </c>
      <c r="CH260" s="15">
        <v>4.0000000000000003E-30</v>
      </c>
      <c r="CI260" s="2">
        <v>107.9</v>
      </c>
      <c r="CJ260" s="2" t="s">
        <v>2871</v>
      </c>
      <c r="CK260" s="2" t="s">
        <v>722</v>
      </c>
      <c r="CL260" s="9" t="str">
        <f>HYPERLINK(".\links\PFAM\AGAP004592-PE-PFAM.txt","RRM_1, RNA recognition motif")</f>
        <v>RRM_1, RNA recognition motif</v>
      </c>
      <c r="CM260" s="15">
        <v>1.0000000000000001E-15</v>
      </c>
      <c r="CN260" s="2">
        <v>98.6</v>
      </c>
      <c r="CO260" s="2" t="s">
        <v>1253</v>
      </c>
      <c r="CP260" s="9" t="str">
        <f>HYPERLINK(".\links\SMART\AGAP004592-PE-SMART.txt","RRM, RNA recognition motif")</f>
        <v>RRM, RNA recognition motif</v>
      </c>
      <c r="CQ260" s="15">
        <v>3.9999999999999999E-16</v>
      </c>
      <c r="CR260" s="2">
        <v>100</v>
      </c>
      <c r="CS260" s="2" t="s">
        <v>1254</v>
      </c>
      <c r="CT260" s="2" t="s">
        <v>2867</v>
      </c>
      <c r="CU260" s="2" t="s">
        <v>2867</v>
      </c>
      <c r="CV260" s="2" t="s">
        <v>2867</v>
      </c>
      <c r="CW260" s="2" t="str">
        <f>HYPERLINK(".\links\pep\AGAP004592-PE-pep.txt","AGAP004592-PE")</f>
        <v>AGAP004592-PE</v>
      </c>
      <c r="CX260" s="2" t="s">
        <v>95</v>
      </c>
      <c r="CY260" s="2">
        <v>351</v>
      </c>
      <c r="CZ260" s="2" t="s">
        <v>113</v>
      </c>
      <c r="DA260" s="2" t="s">
        <v>2872</v>
      </c>
      <c r="DB260" s="2">
        <v>0</v>
      </c>
      <c r="DC260" s="2">
        <v>0</v>
      </c>
      <c r="DD260" s="2" t="str">
        <f>HYPERLINK("https://www.kegg.jp/kegg-bin/search_pathway_text?map=aga&amp;keyword=AGAP004592&amp;mode=1&amp;viewImage=true","AGAP004592")</f>
        <v>AGAP004592</v>
      </c>
      <c r="DE260" s="2" t="s">
        <v>2863</v>
      </c>
      <c r="DF260" s="2" t="s">
        <v>2864</v>
      </c>
      <c r="DG260" s="2" t="s">
        <v>94</v>
      </c>
      <c r="DH260" s="2" t="str">
        <f>HYPERLINK("https://vectorbase.org/vectorbase/app/record/gene/AGAP004592","AGAP004592-RE")</f>
        <v>AGAP004592-RE</v>
      </c>
      <c r="DI260" s="2" t="s">
        <v>115</v>
      </c>
      <c r="DJ260" s="2">
        <v>1412</v>
      </c>
      <c r="DK260" s="2" t="str">
        <f>HYPERLINK(".\links\netoglyc\AGAP004592-PE-netoglyc.txt","1")</f>
        <v>1</v>
      </c>
      <c r="DL260" s="2">
        <v>21.7</v>
      </c>
      <c r="DM260" s="2">
        <v>6.8</v>
      </c>
      <c r="DN260" s="2">
        <v>2.8</v>
      </c>
      <c r="DO260" s="2" t="s">
        <v>104</v>
      </c>
      <c r="DP260" s="2" t="s">
        <v>2873</v>
      </c>
      <c r="DQ260" s="2" t="str">
        <f>HYPERLINK(".\links\Sigp\AGAP004592-PE-SigP.txt","CYT")</f>
        <v>CYT</v>
      </c>
      <c r="DR260" s="2" t="s">
        <v>102</v>
      </c>
      <c r="DS260" s="2">
        <v>40.881999999999998</v>
      </c>
      <c r="DT260" s="2">
        <v>11.29</v>
      </c>
      <c r="DU260" s="2" t="s">
        <v>102</v>
      </c>
      <c r="DV260" s="2" t="s">
        <v>102</v>
      </c>
      <c r="DW260" s="2" t="s">
        <v>211</v>
      </c>
      <c r="DX260" s="2">
        <v>351</v>
      </c>
      <c r="DY260" s="12">
        <v>0</v>
      </c>
      <c r="DZ260" s="2" t="s">
        <v>102</v>
      </c>
      <c r="EA260" s="2" t="s">
        <v>102</v>
      </c>
      <c r="EB260" s="2" t="s">
        <v>102</v>
      </c>
      <c r="EC260" s="2" t="str">
        <f>HYPERLINK(".\links\gpi\AGAP004592-PE-gpi.txt","Y-NoSP")</f>
        <v>Y-NoSP</v>
      </c>
      <c r="ED260" s="2">
        <v>0.64</v>
      </c>
      <c r="EE260" s="2" t="s">
        <v>2874</v>
      </c>
      <c r="EF260" s="2">
        <v>0</v>
      </c>
      <c r="EG260" s="2" t="str">
        <f>HYPERLINK(".\links\pep\AGAP004592-PE-sulf.txt","2")</f>
        <v>2</v>
      </c>
      <c r="EH260" s="2" t="s">
        <v>102</v>
      </c>
      <c r="EI260" s="2">
        <v>21.652421652421701</v>
      </c>
      <c r="EJ260" s="2">
        <v>2.8490028490028498</v>
      </c>
      <c r="EK260" s="2">
        <v>6.83760683760684</v>
      </c>
      <c r="EL260" s="2">
        <v>9.6866096866096907</v>
      </c>
      <c r="EM260" s="2" t="s">
        <v>102</v>
      </c>
      <c r="EN260" s="2">
        <v>1</v>
      </c>
      <c r="EO260" s="2">
        <v>1</v>
      </c>
      <c r="EP260" s="2" t="s">
        <v>102</v>
      </c>
      <c r="EQ260" s="2" t="s">
        <v>102</v>
      </c>
      <c r="ER260" s="2" t="s">
        <v>102</v>
      </c>
      <c r="ES260" s="2" t="s">
        <v>102</v>
      </c>
      <c r="ET260" s="2" t="str">
        <f>HYPERLINK(".\links\REFSEQ-INVERTEBRATE\AGAP004592-PE-REFSEQ-INVERTEBRATE.txt","AGAP004592-PE")</f>
        <v>AGAP004592-PE</v>
      </c>
      <c r="EU260" s="2" t="str">
        <f>HYPERLINK("http://www.ncbi.nlm.nih.gov/sutils/blink.cgi?pid=XP_003436860.1","0.0")</f>
        <v>0.0</v>
      </c>
      <c r="EV260" s="2" t="str">
        <f>HYPERLINK("http://www.ncbi.nlm.nih.gov/protein/XP_003436860.1","XP_003436860.1")</f>
        <v>XP_003436860.1</v>
      </c>
      <c r="EW260" s="2">
        <v>100</v>
      </c>
      <c r="EX260" s="2">
        <v>100</v>
      </c>
      <c r="EY260" s="2">
        <v>100</v>
      </c>
      <c r="EZ260" s="2" t="s">
        <v>105</v>
      </c>
    </row>
    <row r="261" spans="1:156" x14ac:dyDescent="0.25">
      <c r="A261" s="2" t="s">
        <v>2875</v>
      </c>
      <c r="B261" s="2">
        <v>0.27775467605180398</v>
      </c>
      <c r="C261" s="2">
        <f t="shared" si="4"/>
        <v>1.2123066541174732</v>
      </c>
      <c r="D261" s="2">
        <v>8.1091852821922092</v>
      </c>
      <c r="E261" s="2">
        <v>10.580278987714101</v>
      </c>
      <c r="F261" s="2">
        <v>1.1430040924915201E-3</v>
      </c>
      <c r="G261" s="2">
        <v>3.4090553191424698E-2</v>
      </c>
      <c r="H261" s="2" t="s">
        <v>2864</v>
      </c>
      <c r="I261" s="2" t="s">
        <v>94</v>
      </c>
      <c r="J261" s="2" t="str">
        <f>HYPERLINK("https://vectorbase.org/vectorbase/app/record/gene/AGAP004592","AGAP004592-RA")</f>
        <v>AGAP004592-RA</v>
      </c>
      <c r="K261" s="2" t="str">
        <f>HYPERLINK(".\links\pep\AGAP004592-PA-pep.txt","AGAP004592-PA")</f>
        <v>AGAP004592-PA</v>
      </c>
      <c r="L261" s="12" t="s">
        <v>95</v>
      </c>
      <c r="M261" s="2">
        <v>345</v>
      </c>
      <c r="N261" s="2">
        <v>0</v>
      </c>
      <c r="O261" s="2">
        <v>0</v>
      </c>
      <c r="P261" s="2" t="s">
        <v>2865</v>
      </c>
      <c r="Q261" s="9" t="s">
        <v>2876</v>
      </c>
      <c r="R261" s="2" t="s">
        <v>420</v>
      </c>
      <c r="S261" s="2" t="str">
        <f>HYPERLINK(".\links\CDD\AGAP004592-PA-CDD.txt","CDD")</f>
        <v>CDD</v>
      </c>
      <c r="T261" s="2">
        <v>4.0000000000000003E-31</v>
      </c>
      <c r="U261" s="2">
        <v>100</v>
      </c>
      <c r="V261" s="2" t="s">
        <v>2877</v>
      </c>
      <c r="W261" s="10" t="s">
        <v>2878</v>
      </c>
      <c r="X261" s="2" t="s">
        <v>420</v>
      </c>
      <c r="Y261" s="2" t="str">
        <f>HYPERLINK(".\links\REFSEQVERTEBRATE95\AGAP004592-PA-REFSEQVERTEBRATE95.txt","REFSEQVERTEBRATE95")</f>
        <v>REFSEQVERTEBRATE95</v>
      </c>
      <c r="Z261" s="15">
        <v>5.0000000000000002E-84</v>
      </c>
      <c r="AA261" s="2">
        <v>63.9</v>
      </c>
      <c r="AB261" s="13" t="str">
        <f>HYPERLINK(".\links\pep\AGAP004592-PA-sulf.txt","2")</f>
        <v>2</v>
      </c>
      <c r="AC261" s="13" t="str">
        <f>HYPERLINK(".\links\Sigp\AGAP004592-PA-SigP.txt","CYT")</f>
        <v>CYT</v>
      </c>
      <c r="AD261" s="2" t="s">
        <v>102</v>
      </c>
      <c r="AE261" s="2">
        <v>40.174999999999997</v>
      </c>
      <c r="AF261" s="2">
        <v>11.29</v>
      </c>
      <c r="AG261" s="2" t="s">
        <v>102</v>
      </c>
      <c r="AH261" s="2" t="s">
        <v>102</v>
      </c>
      <c r="AI261" s="2" t="s">
        <v>211</v>
      </c>
      <c r="AJ261" s="13">
        <v>0</v>
      </c>
      <c r="AK261" s="2" t="s">
        <v>102</v>
      </c>
      <c r="AL261" s="2" t="s">
        <v>102</v>
      </c>
      <c r="AM261" s="2" t="s">
        <v>102</v>
      </c>
      <c r="AN261" s="13" t="str">
        <f>HYPERLINK(".\links\gpi\AGAP004592-PA-gpi.txt","N")</f>
        <v>N</v>
      </c>
      <c r="AO261" s="14" t="str">
        <f>HYPERLINK(".\links\netoglyc\AGAP004592-PA-netoglyc.txt","1")</f>
        <v>1</v>
      </c>
      <c r="AP261" s="13">
        <v>21.4</v>
      </c>
      <c r="AQ261" s="2">
        <v>7</v>
      </c>
      <c r="AR261" s="2">
        <v>2.9</v>
      </c>
      <c r="AS261" s="2" t="s">
        <v>104</v>
      </c>
      <c r="AT261" s="9" t="str">
        <f>HYPERLINK(".\links\NR-LIGHT\AGAP004592-PA-NR-LIGHT.txt","AGAP004592-PA")</f>
        <v>AGAP004592-PA</v>
      </c>
      <c r="AU261" s="2" t="str">
        <f>HYPERLINK("http://www.ncbi.nlm.nih.gov/sutils/blink.cgi?pid=XP_315232.3","0.0")</f>
        <v>0.0</v>
      </c>
      <c r="AV261" s="2" t="str">
        <f>HYPERLINK("http://www.ncbi.nlm.nih.gov/protein/XP_315232.3","XP_315232.3")</f>
        <v>XP_315232.3</v>
      </c>
      <c r="AW261" s="2">
        <v>100</v>
      </c>
      <c r="AX261" s="2">
        <v>100</v>
      </c>
      <c r="AY261" s="2">
        <v>100</v>
      </c>
      <c r="AZ261" s="2" t="s">
        <v>105</v>
      </c>
      <c r="BA261" s="9" t="str">
        <f>HYPERLINK(".\links\REFSEQ-INVERTEBRATE\AGAP004592-PA-REFSEQ-INVERTEBRATE.txt","AGAP004592-PH")</f>
        <v>AGAP004592-PH</v>
      </c>
      <c r="BB261" s="2" t="str">
        <f>HYPERLINK("http://www.ncbi.nlm.nih.gov/sutils/blink.cgi?pid=XP_003436861.1","0.0")</f>
        <v>0.0</v>
      </c>
      <c r="BC261" s="2" t="str">
        <f>HYPERLINK("http://www.ncbi.nlm.nih.gov/protein/XP_003436861.1","XP_003436861.1")</f>
        <v>XP_003436861.1</v>
      </c>
      <c r="BD261" s="2">
        <v>100</v>
      </c>
      <c r="BE261" s="2">
        <v>100</v>
      </c>
      <c r="BF261" s="2">
        <v>100</v>
      </c>
      <c r="BG261" s="2" t="s">
        <v>105</v>
      </c>
      <c r="BH261" s="9" t="str">
        <f>HYPERLINK(".\links\REFSEQ-PROTOZOA\AGAP004592-PA-REFSEQ-PROTOZOA.txt","hypothetical protein SARC_01822")</f>
        <v>hypothetical protein SARC_01822</v>
      </c>
      <c r="BI261" s="2" t="str">
        <f>HYPERLINK("http://www.ncbi.nlm.nih.gov/sutils/blink.cgi?pid=XP_014159924.1","7E-063")</f>
        <v>7E-063</v>
      </c>
      <c r="BJ261" s="2" t="str">
        <f>HYPERLINK("http://www.ncbi.nlm.nih.gov/protein/XP_014159924.1","XP_014159924.1")</f>
        <v>XP_014159924.1</v>
      </c>
      <c r="BK261" s="2">
        <v>44</v>
      </c>
      <c r="BL261" s="2">
        <v>60</v>
      </c>
      <c r="BM261" s="2">
        <v>108</v>
      </c>
      <c r="BN261" s="2" t="s">
        <v>393</v>
      </c>
      <c r="BO261" s="9" t="str">
        <f>HYPERLINK(".\links\SWISSP\AGAP004592-PA-SWISSP.txt","Serine-arginine protein 55")</f>
        <v>Serine-arginine protein 55</v>
      </c>
      <c r="BP261" s="2" t="str">
        <f>HYPERLINK("http://www.uniprot.org/uniprot/P26686","1E-131")</f>
        <v>1E-131</v>
      </c>
      <c r="BQ261" s="2" t="str">
        <f>HYPERLINK("http://www.uniprot.org/uniprot/P26686#expression","P26686")</f>
        <v>P26686</v>
      </c>
      <c r="BR261" s="2">
        <v>73</v>
      </c>
      <c r="BS261" s="2">
        <v>78</v>
      </c>
      <c r="BT261" s="2">
        <v>101</v>
      </c>
      <c r="BU261" s="2" t="s">
        <v>107</v>
      </c>
      <c r="BV261" s="9" t="str">
        <f>HYPERLINK(".\links\FLYBASE\AGAP004592-PA-FLYBASE.txt","FBpp0300516")</f>
        <v>FBpp0300516</v>
      </c>
      <c r="BW261" s="2" t="str">
        <f>HYPERLINK("http://flybase.org/reports/FBgn0004587#alliance_summary_container","1E-109")</f>
        <v>1E-109</v>
      </c>
      <c r="BX261" s="2">
        <v>350</v>
      </c>
      <c r="BY261" s="2">
        <v>88</v>
      </c>
      <c r="BZ261" s="2">
        <v>91</v>
      </c>
      <c r="CA261" s="2">
        <v>53</v>
      </c>
      <c r="CB261" s="9" t="str">
        <f>HYPERLINK(".\links\CDD\AGAP004592-PA-CDD.txt","RRM2_SRSF4_like, RNA recognition motif 2 in serine/arginine-rich splicing factor 4 (SRSF4) and similar proteins")</f>
        <v>RRM2_SRSF4_like, RNA recognition motif 2 in serine/arginine-rich splicing factor 4 (SRSF4) and similar proteins</v>
      </c>
      <c r="CC261" s="15">
        <v>4.0000000000000003E-31</v>
      </c>
      <c r="CD261" s="2">
        <v>100</v>
      </c>
      <c r="CE261" s="2" t="s">
        <v>2869</v>
      </c>
      <c r="CF261" s="2" t="s">
        <v>2879</v>
      </c>
      <c r="CG261" s="9" t="str">
        <f>HYPERLINK(".\links\KOG\AGAP004592-PA-KOG.txt","Alternative splicing factor SRp55/B52/SRp75 (RRM superfamily)")</f>
        <v>Alternative splicing factor SRp55/B52/SRp75 (RRM superfamily)</v>
      </c>
      <c r="CH261" s="15">
        <v>5.9999999999999996E-31</v>
      </c>
      <c r="CI261" s="2">
        <v>105.1</v>
      </c>
      <c r="CJ261" s="2" t="s">
        <v>2871</v>
      </c>
      <c r="CK261" s="2" t="s">
        <v>722</v>
      </c>
      <c r="CL261" s="9" t="str">
        <f>HYPERLINK(".\links\PFAM\AGAP004592-PA-PFAM.txt","RRM_1, RNA recognition motif")</f>
        <v>RRM_1, RNA recognition motif</v>
      </c>
      <c r="CM261" s="15">
        <v>1.0000000000000001E-15</v>
      </c>
      <c r="CN261" s="2">
        <v>98.6</v>
      </c>
      <c r="CO261" s="2" t="s">
        <v>1253</v>
      </c>
      <c r="CP261" s="9" t="str">
        <f>HYPERLINK(".\links\SMART\AGAP004592-PA-SMART.txt","RRM, RNA recognition motif")</f>
        <v>RRM, RNA recognition motif</v>
      </c>
      <c r="CQ261" s="15">
        <v>3.9999999999999999E-16</v>
      </c>
      <c r="CR261" s="2">
        <v>100</v>
      </c>
      <c r="CS261" s="2" t="s">
        <v>1254</v>
      </c>
      <c r="CT261" s="2" t="s">
        <v>2877</v>
      </c>
      <c r="CU261" s="2" t="s">
        <v>2877</v>
      </c>
      <c r="CV261" s="2" t="s">
        <v>2877</v>
      </c>
      <c r="CW261" s="2" t="str">
        <f>HYPERLINK(".\links\pep\AGAP004592-PA-pep.txt","AGAP004592-PA")</f>
        <v>AGAP004592-PA</v>
      </c>
      <c r="CX261" s="2" t="s">
        <v>95</v>
      </c>
      <c r="CY261" s="2">
        <v>345</v>
      </c>
      <c r="CZ261" s="2" t="s">
        <v>113</v>
      </c>
      <c r="DA261" s="2" t="s">
        <v>2872</v>
      </c>
      <c r="DB261" s="2">
        <v>0</v>
      </c>
      <c r="DC261" s="2">
        <v>0</v>
      </c>
      <c r="DD261" s="2" t="str">
        <f>HYPERLINK("https://www.kegg.jp/kegg-bin/search_pathway_text?map=aga&amp;keyword=AGAP004592&amp;mode=1&amp;viewImage=true","AGAP004592")</f>
        <v>AGAP004592</v>
      </c>
      <c r="DE261" s="2" t="s">
        <v>2875</v>
      </c>
      <c r="DF261" s="2" t="s">
        <v>2864</v>
      </c>
      <c r="DG261" s="2" t="s">
        <v>94</v>
      </c>
      <c r="DH261" s="2" t="str">
        <f>HYPERLINK("https://vectorbase.org/vectorbase/app/record/gene/AGAP004592","AGAP004592-RA")</f>
        <v>AGAP004592-RA</v>
      </c>
      <c r="DI261" s="2" t="s">
        <v>115</v>
      </c>
      <c r="DJ261" s="2">
        <v>1424</v>
      </c>
      <c r="DK261" s="2" t="str">
        <f>HYPERLINK(".\links\netoglyc\AGAP004592-PA-netoglyc.txt","1")</f>
        <v>1</v>
      </c>
      <c r="DL261" s="2">
        <v>21.4</v>
      </c>
      <c r="DM261" s="2">
        <v>7</v>
      </c>
      <c r="DN261" s="2">
        <v>2.9</v>
      </c>
      <c r="DO261" s="2" t="s">
        <v>104</v>
      </c>
      <c r="DP261" s="2" t="s">
        <v>2880</v>
      </c>
      <c r="DQ261" s="2" t="str">
        <f>HYPERLINK(".\links\Sigp\AGAP004592-PA-SigP.txt","CYT")</f>
        <v>CYT</v>
      </c>
      <c r="DR261" s="2" t="s">
        <v>102</v>
      </c>
      <c r="DS261" s="2">
        <v>40.174999999999997</v>
      </c>
      <c r="DT261" s="2">
        <v>11.29</v>
      </c>
      <c r="DU261" s="2" t="s">
        <v>102</v>
      </c>
      <c r="DV261" s="2" t="s">
        <v>102</v>
      </c>
      <c r="DW261" s="2" t="s">
        <v>211</v>
      </c>
      <c r="DX261" s="2">
        <v>345</v>
      </c>
      <c r="DY261" s="12">
        <v>0</v>
      </c>
      <c r="DZ261" s="2" t="s">
        <v>102</v>
      </c>
      <c r="EA261" s="2" t="s">
        <v>102</v>
      </c>
      <c r="EB261" s="2" t="s">
        <v>102</v>
      </c>
      <c r="EC261" s="2" t="str">
        <f>HYPERLINK(".\links\gpi\AGAP004592-PA-gpi.txt","Y-NoSP")</f>
        <v>Y-NoSP</v>
      </c>
      <c r="ED261" s="2">
        <v>0.63</v>
      </c>
      <c r="EE261" s="2" t="s">
        <v>2881</v>
      </c>
      <c r="EF261" s="2">
        <v>0</v>
      </c>
      <c r="EG261" s="2" t="str">
        <f>HYPERLINK(".\links\pep\AGAP004592-PA-sulf.txt","2")</f>
        <v>2</v>
      </c>
      <c r="EH261" s="2" t="s">
        <v>102</v>
      </c>
      <c r="EI261" s="2">
        <v>21.449275362318801</v>
      </c>
      <c r="EJ261" s="2">
        <v>2.8985507246376798</v>
      </c>
      <c r="EK261" s="2">
        <v>6.9565217391304301</v>
      </c>
      <c r="EL261" s="2">
        <v>9.8550724637681206</v>
      </c>
      <c r="EM261" s="2" t="s">
        <v>102</v>
      </c>
      <c r="EN261" s="2">
        <v>1</v>
      </c>
      <c r="EO261" s="2">
        <v>1</v>
      </c>
      <c r="EP261" s="2" t="s">
        <v>102</v>
      </c>
      <c r="EQ261" s="2" t="s">
        <v>102</v>
      </c>
      <c r="ER261" s="2" t="s">
        <v>102</v>
      </c>
      <c r="ES261" s="2" t="s">
        <v>102</v>
      </c>
      <c r="ET261" s="2" t="str">
        <f>HYPERLINK(".\links\REFSEQ-INVERTEBRATE\AGAP004592-PA-REFSEQ-INVERTEBRATE.txt","AGAP004592-PH")</f>
        <v>AGAP004592-PH</v>
      </c>
      <c r="EU261" s="2" t="str">
        <f>HYPERLINK("http://www.ncbi.nlm.nih.gov/sutils/blink.cgi?pid=XP_003436861.1","0.0")</f>
        <v>0.0</v>
      </c>
      <c r="EV261" s="2" t="str">
        <f>HYPERLINK("http://www.ncbi.nlm.nih.gov/protein/XP_003436861.1","XP_003436861.1")</f>
        <v>XP_003436861.1</v>
      </c>
      <c r="EW261" s="2">
        <v>100</v>
      </c>
      <c r="EX261" s="2">
        <v>100</v>
      </c>
      <c r="EY261" s="2">
        <v>100</v>
      </c>
      <c r="EZ261" s="2" t="s">
        <v>105</v>
      </c>
    </row>
    <row r="262" spans="1:156" x14ac:dyDescent="0.25">
      <c r="A262" s="2" t="s">
        <v>2882</v>
      </c>
      <c r="B262" s="2">
        <v>0.277327913377028</v>
      </c>
      <c r="C262" s="2">
        <f t="shared" si="4"/>
        <v>1.2119480955155422</v>
      </c>
      <c r="D262" s="2">
        <v>6.82504830621229</v>
      </c>
      <c r="E262" s="2">
        <v>12.9004843941423</v>
      </c>
      <c r="F262" s="2">
        <v>3.2849710581041899E-4</v>
      </c>
      <c r="G262" s="2">
        <v>2.0489487201023299E-2</v>
      </c>
      <c r="H262" s="2" t="s">
        <v>93</v>
      </c>
      <c r="I262" s="2" t="s">
        <v>94</v>
      </c>
      <c r="J262" s="2" t="str">
        <f>HYPERLINK("https://vectorbase.org/vectorbase/app/record/gene/AGAP029493","AGAP029493-RA")</f>
        <v>AGAP029493-RA</v>
      </c>
      <c r="K262" s="2" t="str">
        <f>HYPERLINK(".\links\pep\AGAP029493-PA-pep.txt","AGAP029493-PA")</f>
        <v>AGAP029493-PA</v>
      </c>
      <c r="L262" s="12" t="s">
        <v>95</v>
      </c>
      <c r="M262" s="2">
        <v>1719</v>
      </c>
      <c r="N262" s="2">
        <v>0</v>
      </c>
      <c r="O262" s="2">
        <v>1</v>
      </c>
      <c r="P262" s="2" t="s">
        <v>102</v>
      </c>
      <c r="Q262" s="9" t="s">
        <v>2883</v>
      </c>
      <c r="R262" s="2" t="s">
        <v>101</v>
      </c>
      <c r="S262" s="2" t="str">
        <f>HYPERLINK(".\links\REFSEQ-INVERTEBRATE\AGAP029493-PA-REFSEQ-INVERTEBRATE.txt","REFSEQ-INVERTEBRATE")</f>
        <v>REFSEQ-INVERTEBRATE</v>
      </c>
      <c r="T262" s="2">
        <v>0</v>
      </c>
      <c r="U262" s="2">
        <v>97.9</v>
      </c>
      <c r="V262" s="2" t="s">
        <v>2884</v>
      </c>
      <c r="W262" s="10" t="s">
        <v>2885</v>
      </c>
      <c r="X262" s="2" t="s">
        <v>101</v>
      </c>
      <c r="Y262" s="2" t="str">
        <f>HYPERLINK(".\links\REFSEQ-INVERTEBRATE\AGAP029493-PA-REFSEQ-INVERTEBRATE.txt","REFSEQ-INVERTEBRATE")</f>
        <v>REFSEQ-INVERTEBRATE</v>
      </c>
      <c r="Z262" s="2">
        <v>0</v>
      </c>
      <c r="AA262" s="2">
        <v>97.1</v>
      </c>
      <c r="AB262" s="13" t="str">
        <f>HYPERLINK(".\links\pep\AGAP029493-PA-sulf.txt","1")</f>
        <v>1</v>
      </c>
      <c r="AC262" s="13" t="str">
        <f>HYPERLINK(".\links\Sigp\AGAP029493-PA-SigP.txt","CYT")</f>
        <v>CYT</v>
      </c>
      <c r="AD262" s="2" t="s">
        <v>102</v>
      </c>
      <c r="AE262" s="2">
        <v>191.61600000000001</v>
      </c>
      <c r="AF262" s="2">
        <v>8.98</v>
      </c>
      <c r="AG262" s="2" t="s">
        <v>102</v>
      </c>
      <c r="AH262" s="2" t="s">
        <v>102</v>
      </c>
      <c r="AI262" s="2" t="s">
        <v>2886</v>
      </c>
      <c r="AJ262" s="13">
        <v>0</v>
      </c>
      <c r="AK262" s="2" t="s">
        <v>102</v>
      </c>
      <c r="AL262" s="2" t="s">
        <v>102</v>
      </c>
      <c r="AM262" s="2" t="s">
        <v>102</v>
      </c>
      <c r="AN262" s="9" t="str">
        <f>HYPERLINK(".\links\gpi\AGAP029493-PA-gpi.txt","N")</f>
        <v>N</v>
      </c>
      <c r="AO262" s="14" t="str">
        <f>HYPERLINK(".\links\netoglyc\AGAP029493-PA-netoglyc.txt","2")</f>
        <v>2</v>
      </c>
      <c r="AP262" s="13">
        <v>15.9</v>
      </c>
      <c r="AQ262" s="2">
        <v>4.2</v>
      </c>
      <c r="AR262" s="2">
        <v>4.5</v>
      </c>
      <c r="AS262" s="2" t="s">
        <v>104</v>
      </c>
      <c r="AT262" s="9" t="str">
        <f>HYPERLINK(".\links\NR-LIGHT\AGAP029493-PA-NR-LIGHT.txt","AGAP010207-PA, partial")</f>
        <v>AGAP010207-PA, partial</v>
      </c>
      <c r="AU262" s="2" t="str">
        <f>HYPERLINK("http://www.ncbi.nlm.nih.gov/sutils/blink.cgi?pid=XP_319389.3","0.0")</f>
        <v>0.0</v>
      </c>
      <c r="AV262" s="2" t="str">
        <f>HYPERLINK("http://www.ncbi.nlm.nih.gov/protein/XP_319389.3","XP_319389.3")</f>
        <v>XP_319389.3</v>
      </c>
      <c r="AW262" s="2">
        <v>100</v>
      </c>
      <c r="AX262" s="2">
        <v>100</v>
      </c>
      <c r="AY262" s="2">
        <v>100</v>
      </c>
      <c r="AZ262" s="2" t="s">
        <v>105</v>
      </c>
      <c r="BA262" s="9" t="str">
        <f>HYPERLINK(".\links\REFSEQ-INVERTEBRATE\AGAP029493-PA-REFSEQ-INVERTEBRATE.txt","AGAP010207-PA, partial")</f>
        <v>AGAP010207-PA, partial</v>
      </c>
      <c r="BB262" s="2" t="str">
        <f>HYPERLINK("http://www.ncbi.nlm.nih.gov/sutils/blink.cgi?pid=XP_319389.3","0.0")</f>
        <v>0.0</v>
      </c>
      <c r="BC262" s="2" t="str">
        <f>HYPERLINK("http://www.ncbi.nlm.nih.gov/protein/XP_319389.3","XP_319389.3")</f>
        <v>XP_319389.3</v>
      </c>
      <c r="BD262" s="2">
        <v>100</v>
      </c>
      <c r="BE262" s="2">
        <v>100</v>
      </c>
      <c r="BF262" s="2">
        <v>100</v>
      </c>
      <c r="BG262" s="2" t="s">
        <v>105</v>
      </c>
      <c r="BH262" s="9" t="str">
        <f>HYPERLINK(".\links\REFSEQ-PROTOZOA\AGAP029493-PA-REFSEQ-PROTOZOA.txt","hypothetical protein NAEGRDRAFT_80627")</f>
        <v>hypothetical protein NAEGRDRAFT_80627</v>
      </c>
      <c r="BI262" s="2" t="str">
        <f>HYPERLINK("http://www.ncbi.nlm.nih.gov/sutils/blink.cgi?pid=XP_002674452.1","7E-027")</f>
        <v>7E-027</v>
      </c>
      <c r="BJ262" s="2" t="str">
        <f>HYPERLINK("http://www.ncbi.nlm.nih.gov/protein/XP_002674452.1","XP_002674452.1")</f>
        <v>XP_002674452.1</v>
      </c>
      <c r="BK262" s="2">
        <v>20</v>
      </c>
      <c r="BL262" s="2">
        <v>40</v>
      </c>
      <c r="BM262" s="2">
        <v>91</v>
      </c>
      <c r="BN262" s="2" t="s">
        <v>1212</v>
      </c>
      <c r="BO262" s="9" t="str">
        <f>HYPERLINK(".\links\SWISSP\AGAP029493-PA-SWISSP.txt","S phase cyclin A-associated protein in the endoplasmic reticulum")</f>
        <v>S phase cyclin A-associated protein in the endoplasmic reticulum</v>
      </c>
      <c r="BP262" s="2" t="str">
        <f>HYPERLINK("http://www.uniprot.org/uniprot/Q9BY12","9E-080")</f>
        <v>9E-080</v>
      </c>
      <c r="BQ262" s="2" t="str">
        <f>HYPERLINK("http://www.uniprot.org/uniprot/Q9BY12#expression","Q9BY12")</f>
        <v>Q9BY12</v>
      </c>
      <c r="BR262" s="2">
        <v>26</v>
      </c>
      <c r="BS262" s="2">
        <v>45</v>
      </c>
      <c r="BT262" s="2">
        <v>72</v>
      </c>
      <c r="BU262" s="2" t="s">
        <v>127</v>
      </c>
      <c r="BV262" s="9" t="str">
        <f>HYPERLINK(".\links\FLYBASE\AGAP029493-PA-FLYBASE.txt","FBpp0309712")</f>
        <v>FBpp0309712</v>
      </c>
      <c r="BW262" s="2" t="str">
        <f>HYPERLINK("http://flybase.org/reports/FBgn0032723#alliance_summary_container","0.0")</f>
        <v>0.0</v>
      </c>
      <c r="BX262" s="2">
        <v>1730</v>
      </c>
      <c r="BY262" s="2">
        <v>43</v>
      </c>
      <c r="BZ262" s="2">
        <v>58</v>
      </c>
      <c r="CA262" s="2">
        <v>103</v>
      </c>
      <c r="CB262" s="9" t="str">
        <f>HYPERLINK(".\links\CDD\AGAP029493-PA-CDD.txt","SCAPER_N, S phase cyclin A-associated protein in the endoplasmic reticulum")</f>
        <v>SCAPER_N, S phase cyclin A-associated protein in the endoplasmic reticulum</v>
      </c>
      <c r="CC262" s="15">
        <v>1.9999999999999999E-44</v>
      </c>
      <c r="CD262" s="2">
        <v>100</v>
      </c>
      <c r="CE262" s="2" t="s">
        <v>2887</v>
      </c>
      <c r="CF262" s="2" t="s">
        <v>2888</v>
      </c>
      <c r="CG262" s="9" t="str">
        <f>HYPERLINK(".\links\KOG\AGAP029493-PA-KOG.txt","Zn-finger protein")</f>
        <v>Zn-finger protein</v>
      </c>
      <c r="CH262" s="15">
        <v>4.9999999999999997E-50</v>
      </c>
      <c r="CI262" s="2">
        <v>63.1</v>
      </c>
      <c r="CJ262" s="2" t="s">
        <v>2889</v>
      </c>
      <c r="CK262" s="2" t="s">
        <v>191</v>
      </c>
      <c r="CL262" s="9" t="str">
        <f>HYPERLINK(".\links\PFAM\AGAP029493-PA-PFAM.txt","SCAPER_N, S phase cyclin A-associated protein in the endoplasmic reticulum")</f>
        <v>SCAPER_N, S phase cyclin A-associated protein in the endoplasmic reticulum</v>
      </c>
      <c r="CM262" s="15">
        <v>3.9999999999999999E-45</v>
      </c>
      <c r="CN262" s="2">
        <v>100</v>
      </c>
      <c r="CO262" s="2" t="s">
        <v>2887</v>
      </c>
      <c r="CP262" s="9" t="str">
        <f>HYPERLINK(".\links\SMART\AGAP029493-PA-SMART.txt","OmpH, Outer membrane protein (OmpH-like)")</f>
        <v>OmpH, Outer membrane protein (OmpH-like)</v>
      </c>
      <c r="CQ262" s="15">
        <v>3.9999999999999998E-6</v>
      </c>
      <c r="CR262" s="2">
        <v>65.7</v>
      </c>
      <c r="CS262" s="2" t="s">
        <v>895</v>
      </c>
      <c r="CT262" s="2" t="s">
        <v>2884</v>
      </c>
      <c r="CU262" s="2" t="s">
        <v>2884</v>
      </c>
      <c r="CV262" s="2" t="s">
        <v>2884</v>
      </c>
      <c r="CW262" s="2" t="str">
        <f>HYPERLINK(".\links\pep\AGAP029493-PA-pep.txt","AGAP029493-PA")</f>
        <v>AGAP029493-PA</v>
      </c>
      <c r="CX262" s="2" t="s">
        <v>95</v>
      </c>
      <c r="CY262" s="2">
        <v>1719</v>
      </c>
      <c r="CZ262" s="2" t="s">
        <v>113</v>
      </c>
      <c r="DA262" s="2" t="s">
        <v>2890</v>
      </c>
      <c r="DB262" s="2">
        <v>0</v>
      </c>
      <c r="DC262" s="2">
        <v>1</v>
      </c>
      <c r="DD262" s="2" t="str">
        <f>HYPERLINK("https://www.kegg.jp/kegg-bin/search_pathway_text?map=aga&amp;keyword=AGAP029493&amp;mode=1&amp;viewImage=true","AGAP029493")</f>
        <v>AGAP029493</v>
      </c>
      <c r="DE262" s="2" t="s">
        <v>2882</v>
      </c>
      <c r="DF262" s="2" t="s">
        <v>93</v>
      </c>
      <c r="DG262" s="2" t="s">
        <v>94</v>
      </c>
      <c r="DH262" s="2" t="str">
        <f>HYPERLINK("https://vectorbase.org/vectorbase/app/record/gene/AGAP029493","AGAP029493-RA")</f>
        <v>AGAP029493-RA</v>
      </c>
      <c r="DI262" s="2" t="s">
        <v>115</v>
      </c>
      <c r="DJ262" s="2">
        <v>6175</v>
      </c>
      <c r="DK262" s="2" t="str">
        <f>HYPERLINK(".\links\netoglyc\AGAP029493-PA-netoglyc.txt","2")</f>
        <v>2</v>
      </c>
      <c r="DL262" s="2">
        <v>15.9</v>
      </c>
      <c r="DM262" s="2">
        <v>4.2</v>
      </c>
      <c r="DN262" s="2">
        <v>4.5</v>
      </c>
      <c r="DO262" s="2" t="s">
        <v>104</v>
      </c>
      <c r="DP262" s="2" t="s">
        <v>2891</v>
      </c>
      <c r="DQ262" s="2" t="str">
        <f>HYPERLINK(".\links\Sigp\AGAP029493-PA-SigP.txt","CYT")</f>
        <v>CYT</v>
      </c>
      <c r="DR262" s="2" t="s">
        <v>102</v>
      </c>
      <c r="DS262" s="2">
        <v>191.61600000000001</v>
      </c>
      <c r="DT262" s="2">
        <v>8.98</v>
      </c>
      <c r="DU262" s="2" t="s">
        <v>102</v>
      </c>
      <c r="DV262" s="2" t="s">
        <v>102</v>
      </c>
      <c r="DW262" s="2" t="s">
        <v>2886</v>
      </c>
      <c r="DX262" s="2">
        <v>1719</v>
      </c>
      <c r="DY262" s="12">
        <v>0</v>
      </c>
      <c r="DZ262" s="2" t="s">
        <v>102</v>
      </c>
      <c r="EA262" s="2" t="s">
        <v>102</v>
      </c>
      <c r="EB262" s="2" t="s">
        <v>102</v>
      </c>
      <c r="EC262" s="2" t="str">
        <f>HYPERLINK(".\links\gpi\AGAP029493-PA-gpi.txt","Y-NoSP")</f>
        <v>Y-NoSP</v>
      </c>
      <c r="ED262" s="2">
        <v>0.21</v>
      </c>
      <c r="EF262" s="2">
        <v>22</v>
      </c>
      <c r="EG262" s="2" t="str">
        <f>HYPERLINK(".\links\pep\AGAP029493-PA-sulf.txt","1")</f>
        <v>1</v>
      </c>
      <c r="EH262" s="2" t="s">
        <v>102</v>
      </c>
      <c r="EI262" s="2">
        <v>15.9394997091332</v>
      </c>
      <c r="EJ262" s="2">
        <v>4.5375218150087298</v>
      </c>
      <c r="EK262" s="2">
        <v>4.24665503199535</v>
      </c>
      <c r="EL262" s="2">
        <v>8.7841768470040709</v>
      </c>
      <c r="EM262" s="2" t="s">
        <v>102</v>
      </c>
      <c r="EN262" s="2">
        <v>2</v>
      </c>
      <c r="EO262" s="2">
        <v>2</v>
      </c>
      <c r="EP262" s="2" t="s">
        <v>102</v>
      </c>
      <c r="EQ262" s="2" t="s">
        <v>102</v>
      </c>
      <c r="ER262" s="2" t="s">
        <v>102</v>
      </c>
      <c r="ES262" s="2" t="s">
        <v>102</v>
      </c>
      <c r="ET262" s="2" t="str">
        <f>HYPERLINK(".\links\REFSEQ-INVERTEBRATE\AGAP029493-PA-REFSEQ-INVERTEBRATE.txt","AGAP010207-PA, partial")</f>
        <v>AGAP010207-PA, partial</v>
      </c>
      <c r="EU262" s="2" t="str">
        <f>HYPERLINK("http://www.ncbi.nlm.nih.gov/sutils/blink.cgi?pid=XP_319389.3","0.0")</f>
        <v>0.0</v>
      </c>
      <c r="EV262" s="2" t="str">
        <f>HYPERLINK("http://www.ncbi.nlm.nih.gov/protein/XP_319389.3","XP_319389.3")</f>
        <v>XP_319389.3</v>
      </c>
      <c r="EW262" s="2">
        <v>100</v>
      </c>
      <c r="EX262" s="2">
        <v>100</v>
      </c>
      <c r="EY262" s="2">
        <v>100</v>
      </c>
      <c r="EZ262" s="2" t="s">
        <v>105</v>
      </c>
    </row>
    <row r="263" spans="1:156" x14ac:dyDescent="0.25">
      <c r="A263" s="2" t="s">
        <v>2892</v>
      </c>
      <c r="B263" s="2">
        <v>0.27718026459634398</v>
      </c>
      <c r="C263" s="2">
        <f t="shared" si="4"/>
        <v>1.2118240682630104</v>
      </c>
      <c r="D263" s="2">
        <v>7.13803895439277</v>
      </c>
      <c r="E263" s="2">
        <v>11.180117226640601</v>
      </c>
      <c r="F263" s="2">
        <v>8.2678548547773605E-4</v>
      </c>
      <c r="G263" s="2">
        <v>3.0183174475144601E-2</v>
      </c>
      <c r="H263" s="2" t="s">
        <v>2893</v>
      </c>
      <c r="I263" s="2" t="s">
        <v>94</v>
      </c>
      <c r="J263" s="2" t="str">
        <f>HYPERLINK("https://vectorbase.org/vectorbase/app/record/gene/AGAP001091","AGAP001091-RB")</f>
        <v>AGAP001091-RB</v>
      </c>
      <c r="K263" s="2" t="str">
        <f>HYPERLINK(".\links\pep\AGAP001091-PB-pep.txt","AGAP001091-PB")</f>
        <v>AGAP001091-PB</v>
      </c>
      <c r="L263" s="12" t="s">
        <v>95</v>
      </c>
      <c r="M263" s="2">
        <v>904</v>
      </c>
      <c r="N263" s="2">
        <v>0</v>
      </c>
      <c r="O263" s="2">
        <v>8</v>
      </c>
      <c r="P263" s="2" t="s">
        <v>2894</v>
      </c>
      <c r="Q263" s="9" t="s">
        <v>2895</v>
      </c>
      <c r="R263" s="2" t="s">
        <v>355</v>
      </c>
      <c r="S263" s="2" t="str">
        <f>HYPERLINK(".\links\REFSEQ-INVERTEBRATE\AGAP001091-PB-REFSEQ-INVERTEBRATE.txt","REFSEQ-INVERTEBRATE")</f>
        <v>REFSEQ-INVERTEBRATE</v>
      </c>
      <c r="T263" s="2">
        <v>0</v>
      </c>
      <c r="U263" s="2">
        <v>104.8</v>
      </c>
      <c r="V263" s="2" t="s">
        <v>2896</v>
      </c>
      <c r="W263" s="10" t="s">
        <v>2897</v>
      </c>
      <c r="X263" s="2" t="s">
        <v>355</v>
      </c>
      <c r="Y263" s="2" t="str">
        <f>HYPERLINK(".\links\KOG\AGAP001091-PB-KOG.txt","KOG")</f>
        <v>KOG</v>
      </c>
      <c r="Z263" s="15">
        <v>0</v>
      </c>
      <c r="AA263" s="2">
        <v>100.2</v>
      </c>
      <c r="AB263" s="13" t="str">
        <f>HYPERLINK(".\links\pep\AGAP001091-PB-sulf.txt","2")</f>
        <v>2</v>
      </c>
      <c r="AC263" s="13" t="str">
        <f>HYPERLINK(".\links\Sigp\AGAP001091-PB-SigP.txt","CYT")</f>
        <v>CYT</v>
      </c>
      <c r="AD263" s="2" t="s">
        <v>102</v>
      </c>
      <c r="AE263" s="2">
        <v>100.136</v>
      </c>
      <c r="AF263" s="2">
        <v>6.09</v>
      </c>
      <c r="AG263" s="2" t="s">
        <v>102</v>
      </c>
      <c r="AH263" s="2" t="s">
        <v>102</v>
      </c>
      <c r="AI263" s="2" t="s">
        <v>124</v>
      </c>
      <c r="AJ263" s="13">
        <v>0</v>
      </c>
      <c r="AK263" s="2" t="s">
        <v>102</v>
      </c>
      <c r="AL263" s="2" t="s">
        <v>102</v>
      </c>
      <c r="AM263" s="2" t="s">
        <v>102</v>
      </c>
      <c r="AN263" s="13" t="str">
        <f>HYPERLINK(".\links\gpi\AGAP001091-PB-gpi.txt","N")</f>
        <v>N</v>
      </c>
      <c r="AO263" s="14" t="str">
        <f>HYPERLINK(".\links\netoglyc\AGAP001091-PB-netoglyc.txt","8")</f>
        <v>8</v>
      </c>
      <c r="AP263" s="13">
        <v>17.100000000000001</v>
      </c>
      <c r="AQ263" s="2">
        <v>5.6</v>
      </c>
      <c r="AR263" s="2">
        <v>5.8</v>
      </c>
      <c r="AS263" s="2" t="s">
        <v>104</v>
      </c>
      <c r="AT263" s="9" t="str">
        <f>HYPERLINK(".\links\NR-LIGHT\AGAP001091-PB-NR-LIGHT.txt","AGAP001091-PB")</f>
        <v>AGAP001091-PB</v>
      </c>
      <c r="AU263" s="2" t="str">
        <f>HYPERLINK("http://www.ncbi.nlm.nih.gov/sutils/blink.cgi?pid=XP_003437215.1","0.0")</f>
        <v>0.0</v>
      </c>
      <c r="AV263" s="2" t="str">
        <f>HYPERLINK("http://www.ncbi.nlm.nih.gov/protein/XP_003437215.1","XP_003437215.1")</f>
        <v>XP_003437215.1</v>
      </c>
      <c r="AW263" s="2">
        <v>100</v>
      </c>
      <c r="AX263" s="2">
        <v>100</v>
      </c>
      <c r="AY263" s="2">
        <v>100</v>
      </c>
      <c r="AZ263" s="2" t="s">
        <v>105</v>
      </c>
      <c r="BA263" s="9" t="str">
        <f>HYPERLINK(".\links\REFSEQ-INVERTEBRATE\AGAP001091-PB-REFSEQ-INVERTEBRATE.txt","AGAP001091-PB")</f>
        <v>AGAP001091-PB</v>
      </c>
      <c r="BB263" s="2" t="str">
        <f>HYPERLINK("http://www.ncbi.nlm.nih.gov/sutils/blink.cgi?pid=XP_003437215.1","0.0")</f>
        <v>0.0</v>
      </c>
      <c r="BC263" s="2" t="str">
        <f>HYPERLINK("http://www.ncbi.nlm.nih.gov/protein/XP_003437215.1","XP_003437215.1")</f>
        <v>XP_003437215.1</v>
      </c>
      <c r="BD263" s="2">
        <v>100</v>
      </c>
      <c r="BE263" s="2">
        <v>100</v>
      </c>
      <c r="BF263" s="2">
        <v>100</v>
      </c>
      <c r="BG263" s="2" t="s">
        <v>105</v>
      </c>
      <c r="BH263" s="9" t="str">
        <f>HYPERLINK(".\links\REFSEQ-PROTOZOA\AGAP001091-PB-REFSEQ-PROTOZOA.txt","telomerase regulation-associated protein")</f>
        <v>telomerase regulation-associated protein</v>
      </c>
      <c r="BI263" s="2" t="str">
        <f>HYPERLINK("http://www.ncbi.nlm.nih.gov/sutils/blink.cgi?pid=XP_004363780.1","1E-124")</f>
        <v>1E-124</v>
      </c>
      <c r="BJ263" s="2" t="str">
        <f>HYPERLINK("http://www.ncbi.nlm.nih.gov/protein/XP_004363780.1","XP_004363780.1")</f>
        <v>XP_004363780.1</v>
      </c>
      <c r="BK263" s="2">
        <v>37</v>
      </c>
      <c r="BL263" s="2">
        <v>53</v>
      </c>
      <c r="BM263" s="2">
        <v>83</v>
      </c>
      <c r="BN263" s="2" t="s">
        <v>106</v>
      </c>
      <c r="BO263" s="9" t="str">
        <f>HYPERLINK(".\links\SWISSP\AGAP001091-PB-SWISSP.txt","N-terminal kinase-like protein")</f>
        <v>N-terminal kinase-like protein</v>
      </c>
      <c r="BP263" s="2" t="str">
        <f>HYPERLINK("http://www.uniprot.org/uniprot/Q28FH2","0.0")</f>
        <v>0.0</v>
      </c>
      <c r="BQ263" s="2" t="str">
        <f>HYPERLINK("http://www.uniprot.org/uniprot/Q28FH2#expression","Q28FH2")</f>
        <v>Q28FH2</v>
      </c>
      <c r="BR263" s="2">
        <v>44</v>
      </c>
      <c r="BS263" s="2">
        <v>60</v>
      </c>
      <c r="BT263" s="2">
        <v>110</v>
      </c>
      <c r="BU263" s="2" t="s">
        <v>459</v>
      </c>
      <c r="BV263" s="9" t="str">
        <f>HYPERLINK(".\links\FLYBASE\AGAP001091-PB-FLYBASE.txt","FBpp0084843")</f>
        <v>FBpp0084843</v>
      </c>
      <c r="BW263" s="2" t="str">
        <f>HYPERLINK("http://flybase.org/reports/FBgn0260990#alliance_summary_container","0.0")</f>
        <v>0.0</v>
      </c>
      <c r="BX263" s="2">
        <v>873</v>
      </c>
      <c r="BY263" s="2">
        <v>68</v>
      </c>
      <c r="BZ263" s="2">
        <v>77</v>
      </c>
      <c r="CA263" s="2">
        <v>106</v>
      </c>
      <c r="CB263" s="9" t="str">
        <f>HYPERLINK(".\links\CDD\AGAP001091-PB-CDD.txt","PK_SCY1_like, Pseudokinase domain of Scy1-like proteins")</f>
        <v>PK_SCY1_like, Pseudokinase domain of Scy1-like proteins</v>
      </c>
      <c r="CC263" s="15">
        <v>9.9999999999999993E-41</v>
      </c>
      <c r="CD263" s="2">
        <v>102.4</v>
      </c>
      <c r="CE263" s="2" t="s">
        <v>2898</v>
      </c>
      <c r="CF263" s="2" t="s">
        <v>2899</v>
      </c>
      <c r="CG263" s="9" t="str">
        <f>HYPERLINK(".\links\KOG\AGAP001091-PB-KOG.txt","Protein kinase")</f>
        <v>Protein kinase</v>
      </c>
      <c r="CH263" s="15">
        <v>0</v>
      </c>
      <c r="CI263" s="2">
        <v>103.9</v>
      </c>
      <c r="CJ263" s="2" t="s">
        <v>2900</v>
      </c>
      <c r="CK263" s="2" t="s">
        <v>191</v>
      </c>
      <c r="CL263" s="9" t="str">
        <f>HYPERLINK(".\links\PFAM\AGAP001091-PB-PFAM.txt","Pkinase, Protein kinase domain")</f>
        <v>Pkinase, Protein kinase domain</v>
      </c>
      <c r="CM263" s="15">
        <v>2.0000000000000001E-9</v>
      </c>
      <c r="CN263" s="2">
        <v>83</v>
      </c>
      <c r="CO263" s="2" t="s">
        <v>1574</v>
      </c>
      <c r="CP263" s="9" t="str">
        <f>HYPERLINK(".\links\SMART\AGAP001091-PB-SMART.txt","S_TKc, Serine/Threonine protein kinases, catalytic domain")</f>
        <v>S_TKc, Serine/Threonine protein kinases, catalytic domain</v>
      </c>
      <c r="CQ263" s="15">
        <v>9.9999999999999995E-7</v>
      </c>
      <c r="CR263" s="2">
        <v>71.7</v>
      </c>
      <c r="CS263" s="2" t="s">
        <v>1575</v>
      </c>
      <c r="CT263" s="2" t="s">
        <v>2896</v>
      </c>
      <c r="CU263" s="2" t="s">
        <v>2896</v>
      </c>
      <c r="CV263" s="2" t="s">
        <v>2896</v>
      </c>
      <c r="CW263" s="2" t="str">
        <f>HYPERLINK(".\links\pep\AGAP001091-PB-pep.txt","AGAP001091-PB")</f>
        <v>AGAP001091-PB</v>
      </c>
      <c r="CX263" s="2" t="s">
        <v>95</v>
      </c>
      <c r="CY263" s="2">
        <v>904</v>
      </c>
      <c r="CZ263" s="2" t="s">
        <v>113</v>
      </c>
      <c r="DA263" s="2" t="s">
        <v>2901</v>
      </c>
      <c r="DB263" s="2">
        <v>0</v>
      </c>
      <c r="DC263" s="2">
        <v>8</v>
      </c>
      <c r="DD263" s="2" t="str">
        <f>HYPERLINK("https://www.kegg.jp/kegg-bin/search_pathway_text?map=aga&amp;keyword=AGAP001091&amp;mode=1&amp;viewImage=true","AGAP001091")</f>
        <v>AGAP001091</v>
      </c>
      <c r="DE263" s="2" t="s">
        <v>2892</v>
      </c>
      <c r="DF263" s="2" t="s">
        <v>2893</v>
      </c>
      <c r="DG263" s="2" t="s">
        <v>94</v>
      </c>
      <c r="DH263" s="2" t="str">
        <f>HYPERLINK("https://vectorbase.org/vectorbase/app/record/gene/AGAP001091","AGAP001091-RB")</f>
        <v>AGAP001091-RB</v>
      </c>
      <c r="DI263" s="2" t="s">
        <v>90</v>
      </c>
      <c r="DJ263" s="2">
        <v>3262</v>
      </c>
      <c r="DK263" s="2" t="str">
        <f>HYPERLINK(".\links\netoglyc\AGAP001091-PB-netoglyc.txt","8")</f>
        <v>8</v>
      </c>
      <c r="DL263" s="2">
        <v>17.100000000000001</v>
      </c>
      <c r="DM263" s="2">
        <v>5.6</v>
      </c>
      <c r="DN263" s="2">
        <v>5.8</v>
      </c>
      <c r="DO263" s="2" t="s">
        <v>104</v>
      </c>
      <c r="DP263" s="2" t="s">
        <v>2902</v>
      </c>
      <c r="DQ263" s="2" t="str">
        <f>HYPERLINK(".\links\Sigp\AGAP001091-PB-SigP.txt","CYT")</f>
        <v>CYT</v>
      </c>
      <c r="DR263" s="2" t="s">
        <v>102</v>
      </c>
      <c r="DS263" s="2">
        <v>100.136</v>
      </c>
      <c r="DT263" s="2">
        <v>6.09</v>
      </c>
      <c r="DU263" s="2" t="s">
        <v>102</v>
      </c>
      <c r="DV263" s="2" t="s">
        <v>102</v>
      </c>
      <c r="DW263" s="2" t="s">
        <v>124</v>
      </c>
      <c r="DX263" s="2">
        <v>904</v>
      </c>
      <c r="DY263" s="12">
        <v>0</v>
      </c>
      <c r="DZ263" s="2" t="s">
        <v>102</v>
      </c>
      <c r="EA263" s="2" t="s">
        <v>102</v>
      </c>
      <c r="EB263" s="2" t="s">
        <v>102</v>
      </c>
      <c r="EC263" s="2" t="str">
        <f>HYPERLINK(".\links\gpi\AGAP001091-PB-gpi.txt","N")</f>
        <v>N</v>
      </c>
      <c r="ED263" s="2">
        <v>0.19</v>
      </c>
      <c r="EF263" s="2">
        <v>10</v>
      </c>
      <c r="EG263" s="2" t="str">
        <f>HYPERLINK(".\links\pep\AGAP001091-PB-sulf.txt","2")</f>
        <v>2</v>
      </c>
      <c r="EH263" s="2" t="s">
        <v>102</v>
      </c>
      <c r="EI263" s="2">
        <v>17.146017699114999</v>
      </c>
      <c r="EJ263" s="2">
        <v>5.7522123893805297</v>
      </c>
      <c r="EK263" s="2">
        <v>5.6415929203539799</v>
      </c>
      <c r="EL263" s="2">
        <v>11.3938053097345</v>
      </c>
      <c r="EM263" s="2" t="s">
        <v>102</v>
      </c>
      <c r="EN263" s="2">
        <v>1</v>
      </c>
      <c r="EO263" s="2">
        <v>2</v>
      </c>
      <c r="EP263" s="2" t="s">
        <v>102</v>
      </c>
      <c r="EQ263" s="2" t="s">
        <v>102</v>
      </c>
      <c r="ER263" s="2" t="s">
        <v>102</v>
      </c>
      <c r="ES263" s="2" t="s">
        <v>102</v>
      </c>
      <c r="ET263" s="2" t="str">
        <f>HYPERLINK(".\links\REFSEQ-INVERTEBRATE\AGAP001091-PB-REFSEQ-INVERTEBRATE.txt","AGAP001091-PB")</f>
        <v>AGAP001091-PB</v>
      </c>
      <c r="EU263" s="2" t="str">
        <f>HYPERLINK("http://www.ncbi.nlm.nih.gov/sutils/blink.cgi?pid=XP_003437215.1","0.0")</f>
        <v>0.0</v>
      </c>
      <c r="EV263" s="2" t="str">
        <f>HYPERLINK("http://www.ncbi.nlm.nih.gov/protein/XP_003437215.1","XP_003437215.1")</f>
        <v>XP_003437215.1</v>
      </c>
      <c r="EW263" s="2">
        <v>100</v>
      </c>
      <c r="EX263" s="2">
        <v>100</v>
      </c>
      <c r="EY263" s="2">
        <v>100</v>
      </c>
      <c r="EZ263" s="2" t="s">
        <v>105</v>
      </c>
    </row>
    <row r="264" spans="1:156" x14ac:dyDescent="0.25">
      <c r="A264" s="2" t="s">
        <v>2903</v>
      </c>
      <c r="B264" s="2">
        <v>0.276984463956572</v>
      </c>
      <c r="C264" s="2">
        <f t="shared" si="4"/>
        <v>1.2116596122827268</v>
      </c>
      <c r="D264" s="2">
        <v>6.3943576067177803</v>
      </c>
      <c r="E264" s="2">
        <v>14.432719914886601</v>
      </c>
      <c r="F264" s="2">
        <v>1.4525649312421301E-4</v>
      </c>
      <c r="G264" s="2">
        <v>1.3133052658157099E-2</v>
      </c>
      <c r="H264" s="2" t="s">
        <v>93</v>
      </c>
      <c r="I264" s="2" t="s">
        <v>94</v>
      </c>
      <c r="J264" s="2" t="str">
        <f>HYPERLINK("https://vectorbase.org/vectorbase/app/record/gene/AGAP010261","AGAP010261-RA")</f>
        <v>AGAP010261-RA</v>
      </c>
      <c r="K264" s="2" t="str">
        <f>HYPERLINK(".\links\pep\AGAP010261-PA-pep.txt","AGAP010261-PA")</f>
        <v>AGAP010261-PA</v>
      </c>
      <c r="L264" s="12" t="s">
        <v>95</v>
      </c>
      <c r="M264" s="2">
        <v>1479</v>
      </c>
      <c r="N264" s="2">
        <v>0</v>
      </c>
      <c r="O264" s="2">
        <v>0</v>
      </c>
      <c r="P264" s="2" t="s">
        <v>2904</v>
      </c>
      <c r="Q264" s="9" t="s">
        <v>2905</v>
      </c>
      <c r="R264" s="2" t="s">
        <v>358</v>
      </c>
      <c r="S264" s="2" t="str">
        <f>HYPERLINK(".\links\KOG\AGAP010261-PA-KOG.txt","KOG")</f>
        <v>KOG</v>
      </c>
      <c r="T264" s="2">
        <v>9.0000000000000008E-34</v>
      </c>
      <c r="U264" s="2">
        <v>101.8</v>
      </c>
      <c r="V264" s="2" t="s">
        <v>2906</v>
      </c>
      <c r="W264" s="10" t="s">
        <v>2907</v>
      </c>
      <c r="X264" s="2" t="s">
        <v>358</v>
      </c>
      <c r="Y264" s="2" t="str">
        <f>HYPERLINK(".\links\CDD\AGAP010261-PA-CDD.txt","CDD")</f>
        <v>CDD</v>
      </c>
      <c r="Z264" s="15">
        <v>7.9999999999999997E-69</v>
      </c>
      <c r="AA264" s="2">
        <v>104.9</v>
      </c>
      <c r="AB264" s="13" t="str">
        <f>HYPERLINK(".\links\pep\AGAP010261-PA-sulf.txt","2")</f>
        <v>2</v>
      </c>
      <c r="AC264" s="13" t="str">
        <f>HYPERLINK(".\links\Sigp\AGAP010261-PA-SigP.txt","CYT")</f>
        <v>CYT</v>
      </c>
      <c r="AD264" s="2" t="s">
        <v>102</v>
      </c>
      <c r="AE264" s="2">
        <v>167.608</v>
      </c>
      <c r="AF264" s="2">
        <v>6.32</v>
      </c>
      <c r="AG264" s="2" t="s">
        <v>102</v>
      </c>
      <c r="AH264" s="2" t="s">
        <v>102</v>
      </c>
      <c r="AI264" s="2" t="s">
        <v>2908</v>
      </c>
      <c r="AJ264" s="13">
        <v>0</v>
      </c>
      <c r="AK264" s="2" t="s">
        <v>102</v>
      </c>
      <c r="AL264" s="2" t="s">
        <v>102</v>
      </c>
      <c r="AM264" s="2" t="s">
        <v>102</v>
      </c>
      <c r="AN264" s="13" t="str">
        <f>HYPERLINK(".\links\gpi\AGAP010261-PA-gpi.txt","N")</f>
        <v>N</v>
      </c>
      <c r="AO264" s="14" t="str">
        <f>HYPERLINK(".\links\netoglyc\AGAP010261-PA-netoglyc.txt","3")</f>
        <v>3</v>
      </c>
      <c r="AP264" s="13">
        <v>15.2</v>
      </c>
      <c r="AQ264" s="2">
        <v>5</v>
      </c>
      <c r="AR264" s="2">
        <v>3.9</v>
      </c>
      <c r="AS264" s="2" t="s">
        <v>104</v>
      </c>
      <c r="AT264" s="9" t="str">
        <f>HYPERLINK(".\links\NR-LIGHT\AGAP010261-PA-NR-LIGHT.txt","AGAP010261-PA-like protein")</f>
        <v>AGAP010261-PA-like protein</v>
      </c>
      <c r="AU264" s="2" t="str">
        <f>HYPERLINK("http://www.ncbi.nlm.nih.gov/sutils/blink.cgi?pid=KFB45500.1","0.0")</f>
        <v>0.0</v>
      </c>
      <c r="AV264" s="2" t="str">
        <f>HYPERLINK("http://www.ncbi.nlm.nih.gov/protein/KFB45500.1","KFB45500.1")</f>
        <v>KFB45500.1</v>
      </c>
      <c r="AW264" s="2">
        <v>88</v>
      </c>
      <c r="AX264" s="2">
        <v>92</v>
      </c>
      <c r="AY264" s="2">
        <v>92</v>
      </c>
      <c r="AZ264" s="2" t="s">
        <v>1522</v>
      </c>
      <c r="BA264" s="9" t="str">
        <f>HYPERLINK(".\links\REFSEQ-INVERTEBRATE\AGAP010261-PA-REFSEQ-INVERTEBRATE.txt","AGAP010261-PA")</f>
        <v>AGAP010261-PA</v>
      </c>
      <c r="BB264" s="2" t="str">
        <f>HYPERLINK("http://www.ncbi.nlm.nih.gov/sutils/blink.cgi?pid=XP_319450.4","0.0")</f>
        <v>0.0</v>
      </c>
      <c r="BC264" s="2" t="str">
        <f>HYPERLINK("http://www.ncbi.nlm.nih.gov/protein/XP_319450.4","XP_319450.4")</f>
        <v>XP_319450.4</v>
      </c>
      <c r="BD264" s="2">
        <v>97</v>
      </c>
      <c r="BE264" s="2">
        <v>97</v>
      </c>
      <c r="BF264" s="2">
        <v>100</v>
      </c>
      <c r="BG264" s="2" t="s">
        <v>105</v>
      </c>
      <c r="BH264" s="9" t="str">
        <f>HYPERLINK(".\links\REFSEQ-PROTOZOA\AGAP010261-PA-REFSEQ-PROTOZOA.txt","hypothetical protein PTSG_05018")</f>
        <v>hypothetical protein PTSG_05018</v>
      </c>
      <c r="BI264" s="2" t="str">
        <f>HYPERLINK("http://www.ncbi.nlm.nih.gov/sutils/blink.cgi?pid=XP_004994334.1","3E-061")</f>
        <v>3E-061</v>
      </c>
      <c r="BJ264" s="2" t="str">
        <f>HYPERLINK("http://www.ncbi.nlm.nih.gov/protein/XP_004994334.1","XP_004994334.1")</f>
        <v>XP_004994334.1</v>
      </c>
      <c r="BK264" s="2">
        <v>28</v>
      </c>
      <c r="BL264" s="2">
        <v>48</v>
      </c>
      <c r="BM264" s="2">
        <v>45</v>
      </c>
      <c r="BN264" s="2" t="s">
        <v>435</v>
      </c>
      <c r="BO264" s="9" t="str">
        <f>HYPERLINK(".\links\SWISSP\AGAP010261-PA-SWISSP.txt","Dystrophin, isoform B")</f>
        <v>Dystrophin, isoform B</v>
      </c>
      <c r="BP264" s="2" t="str">
        <f>HYPERLINK("http://www.uniprot.org/uniprot/Q9VDW3","0.0")</f>
        <v>0.0</v>
      </c>
      <c r="BQ264" s="2" t="str">
        <f>HYPERLINK("http://www.uniprot.org/uniprot/Q9VDW3#expression","Q9VDW3")</f>
        <v>Q9VDW3</v>
      </c>
      <c r="BR264" s="2">
        <v>69</v>
      </c>
      <c r="BS264" s="2">
        <v>81</v>
      </c>
      <c r="BT264" s="2">
        <v>70</v>
      </c>
      <c r="BU264" s="2" t="s">
        <v>107</v>
      </c>
      <c r="BV264" s="9" t="str">
        <f>HYPERLINK(".\links\FLYBASE\AGAP010261-PA-FLYBASE.txt","FBpp0083180")</f>
        <v>FBpp0083180</v>
      </c>
      <c r="BW264" s="2" t="str">
        <f>HYPERLINK("http://flybase.org/reports/FBgn0260003#alliance_summary_container","0.0")</f>
        <v>0.0</v>
      </c>
      <c r="BX264" s="2">
        <v>1669</v>
      </c>
      <c r="BY264" s="2">
        <v>69</v>
      </c>
      <c r="BZ264" s="2">
        <v>81</v>
      </c>
      <c r="CA264" s="2">
        <v>70</v>
      </c>
      <c r="CB264" s="9" t="str">
        <f>HYPERLINK(".\links\CDD\AGAP010261-PA-CDD.txt","EFh_DMD_like, EF-hand-like motif found in the dystrophins subfamily")</f>
        <v>EFh_DMD_like, EF-hand-like motif found in the dystrophins subfamily</v>
      </c>
      <c r="CC264" s="15">
        <v>9.9999999999999997E-73</v>
      </c>
      <c r="CD264" s="2">
        <v>104.9</v>
      </c>
      <c r="CE264" s="2" t="s">
        <v>2909</v>
      </c>
      <c r="CF264" s="2" t="s">
        <v>2910</v>
      </c>
      <c r="CG264" s="9" t="str">
        <f>HYPERLINK(".\links\KOG\AGAP010261-PA-KOG.txt","Dystrophin-like protein")</f>
        <v>Dystrophin-like protein</v>
      </c>
      <c r="CH264" s="15">
        <v>0</v>
      </c>
      <c r="CI264" s="2">
        <v>103</v>
      </c>
      <c r="CJ264" s="2" t="s">
        <v>2911</v>
      </c>
      <c r="CK264" s="2" t="s">
        <v>2912</v>
      </c>
      <c r="CL264" s="9" t="str">
        <f>HYPERLINK(".\links\PFAM\AGAP010261-PA-PFAM.txt","EF-hand_2, EF hand")</f>
        <v>EF-hand_2, EF hand</v>
      </c>
      <c r="CM264" s="15">
        <v>5.0000000000000002E-43</v>
      </c>
      <c r="CN264" s="2">
        <v>100</v>
      </c>
      <c r="CO264" s="2" t="s">
        <v>2913</v>
      </c>
      <c r="CP264" s="9" t="str">
        <f>HYPERLINK(".\links\SMART\AGAP010261-PA-SMART.txt","ZnF_ZZ, Zinc-binding domain, present in Dystrophin, CREB-binding protein")</f>
        <v>ZnF_ZZ, Zinc-binding domain, present in Dystrophin, CREB-binding protein</v>
      </c>
      <c r="CQ264" s="15">
        <v>2.9999999999999998E-14</v>
      </c>
      <c r="CR264" s="2">
        <v>100</v>
      </c>
      <c r="CS264" s="2" t="s">
        <v>2914</v>
      </c>
      <c r="CT264" s="2" t="s">
        <v>2906</v>
      </c>
      <c r="CU264" s="2" t="s">
        <v>2906</v>
      </c>
      <c r="CV264" s="2" t="s">
        <v>2906</v>
      </c>
      <c r="CW264" s="2" t="str">
        <f>HYPERLINK(".\links\pep\AGAP010261-PA-pep.txt","AGAP010261-PA")</f>
        <v>AGAP010261-PA</v>
      </c>
      <c r="CX264" s="2" t="s">
        <v>95</v>
      </c>
      <c r="CY264" s="2">
        <v>1476</v>
      </c>
      <c r="CZ264" s="2" t="s">
        <v>113</v>
      </c>
      <c r="DA264" s="2" t="s">
        <v>2915</v>
      </c>
      <c r="DB264" s="2">
        <v>0</v>
      </c>
      <c r="DC264" s="2">
        <v>0</v>
      </c>
      <c r="DD264" s="2" t="str">
        <f>HYPERLINK("https://www.kegg.jp/kegg-bin/search_pathway_text?map=aga&amp;keyword=AGAP010261&amp;mode=1&amp;viewImage=true","AGAP010261")</f>
        <v>AGAP010261</v>
      </c>
      <c r="DE264" s="2" t="s">
        <v>2903</v>
      </c>
      <c r="DF264" s="2" t="s">
        <v>93</v>
      </c>
      <c r="DG264" s="2" t="s">
        <v>94</v>
      </c>
      <c r="DH264" s="2" t="str">
        <f>HYPERLINK("https://vectorbase.org/vectorbase/app/record/gene/AGAP010261","AGAP010261-RA")</f>
        <v>AGAP010261-RA</v>
      </c>
      <c r="DI264" s="2" t="s">
        <v>118</v>
      </c>
      <c r="DJ264" s="2">
        <v>8029</v>
      </c>
      <c r="DK264" s="2" t="str">
        <f>HYPERLINK(".\links\netoglyc\AGAP010261-PA-netoglyc.txt","3")</f>
        <v>3</v>
      </c>
      <c r="DL264" s="2">
        <v>15.2</v>
      </c>
      <c r="DM264" s="2">
        <v>4.9000000000000004</v>
      </c>
      <c r="DN264" s="2">
        <v>3.9</v>
      </c>
      <c r="DO264" s="2" t="s">
        <v>104</v>
      </c>
      <c r="DP264" s="2" t="s">
        <v>2916</v>
      </c>
      <c r="DQ264" s="2" t="str">
        <f>HYPERLINK(".\links\Sigp\AGAP010261-PA-SigP.txt","CYT")</f>
        <v>CYT</v>
      </c>
      <c r="DR264" s="2" t="s">
        <v>102</v>
      </c>
      <c r="DS264" s="2">
        <v>167.32</v>
      </c>
      <c r="DT264" s="2">
        <v>6.29</v>
      </c>
      <c r="DU264" s="2" t="s">
        <v>102</v>
      </c>
      <c r="DV264" s="2" t="s">
        <v>102</v>
      </c>
      <c r="DW264" s="2" t="s">
        <v>2908</v>
      </c>
      <c r="DX264" s="2">
        <v>1476</v>
      </c>
      <c r="DY264" s="12">
        <v>0</v>
      </c>
      <c r="DZ264" s="2" t="s">
        <v>102</v>
      </c>
      <c r="EA264" s="2" t="s">
        <v>102</v>
      </c>
      <c r="EB264" s="2" t="s">
        <v>102</v>
      </c>
      <c r="EC264" s="2" t="str">
        <f>HYPERLINK(".\links\gpi\AGAP010261-PA-gpi.txt","Y-NoSP")</f>
        <v>Y-NoSP</v>
      </c>
      <c r="ED264" s="2">
        <v>0.18</v>
      </c>
      <c r="EF264" s="2">
        <v>18</v>
      </c>
      <c r="EG264" s="2" t="str">
        <f>HYPERLINK(".\links\pep\AGAP010261-PA-sulf.txt","2")</f>
        <v>2</v>
      </c>
      <c r="EH264" s="2" t="s">
        <v>102</v>
      </c>
      <c r="EI264" s="2">
        <v>15.243902439024399</v>
      </c>
      <c r="EJ264" s="2">
        <v>3.8617886178861802</v>
      </c>
      <c r="EK264" s="2">
        <v>4.9457994579945801</v>
      </c>
      <c r="EL264" s="2">
        <v>8.8075880758807603</v>
      </c>
      <c r="EM264" s="2">
        <v>3</v>
      </c>
      <c r="EN264" s="2">
        <v>1</v>
      </c>
      <c r="EO264" s="2">
        <v>1</v>
      </c>
      <c r="EP264" s="2" t="s">
        <v>102</v>
      </c>
      <c r="EQ264" s="2" t="s">
        <v>102</v>
      </c>
      <c r="ER264" s="2" t="s">
        <v>102</v>
      </c>
      <c r="ES264" s="2" t="s">
        <v>102</v>
      </c>
      <c r="ET264" s="2" t="str">
        <f>HYPERLINK(".\links\REFSEQ-INVERTEBRATE\AGAP010261-PA-REFSEQ-INVERTEBRATE.txt","dystrophin isoform X1")</f>
        <v>dystrophin isoform X1</v>
      </c>
      <c r="EU264" s="2" t="str">
        <f>HYPERLINK("http://www.ncbi.nlm.nih.gov/sutils/blink.cgi?pid=XP_035909376.1","0.0")</f>
        <v>0.0</v>
      </c>
      <c r="EV264" s="2" t="str">
        <f>HYPERLINK("http://www.ncbi.nlm.nih.gov/protein/XP_035909376.1","XP_035909376.1")</f>
        <v>XP_035909376.1</v>
      </c>
      <c r="EW264" s="2">
        <v>91</v>
      </c>
      <c r="EX264" s="2">
        <v>95</v>
      </c>
      <c r="EY264" s="2">
        <v>92</v>
      </c>
      <c r="EZ264" s="2" t="s">
        <v>370</v>
      </c>
    </row>
    <row r="265" spans="1:156" x14ac:dyDescent="0.25">
      <c r="A265" s="2" t="s">
        <v>2917</v>
      </c>
      <c r="B265" s="2">
        <v>0.27677675537492902</v>
      </c>
      <c r="C265" s="2">
        <f t="shared" si="4"/>
        <v>1.2114851790336389</v>
      </c>
      <c r="D265" s="2">
        <v>6.6469450311966796</v>
      </c>
      <c r="E265" s="2">
        <v>11.0874375500317</v>
      </c>
      <c r="F265" s="2">
        <v>8.6914500695335899E-4</v>
      </c>
      <c r="G265" s="2">
        <v>3.0356607143661E-2</v>
      </c>
      <c r="H265" s="2" t="s">
        <v>2918</v>
      </c>
      <c r="I265" s="2" t="s">
        <v>94</v>
      </c>
      <c r="J265" s="2" t="str">
        <f>HYPERLINK("https://vectorbase.org/vectorbase/app/record/gene/AGAP010224","AGAP010224-RA")</f>
        <v>AGAP010224-RA</v>
      </c>
      <c r="K265" s="2" t="str">
        <f>HYPERLINK(".\links\pep\AGAP010224-PA-pep.txt","AGAP010224-PA")</f>
        <v>AGAP010224-PA</v>
      </c>
      <c r="L265" s="12" t="s">
        <v>95</v>
      </c>
      <c r="M265" s="2">
        <v>212</v>
      </c>
      <c r="N265" s="2">
        <v>0</v>
      </c>
      <c r="O265" s="2">
        <v>0</v>
      </c>
      <c r="P265" s="2" t="s">
        <v>2919</v>
      </c>
      <c r="Q265" s="9" t="s">
        <v>2920</v>
      </c>
      <c r="R265" s="2" t="s">
        <v>1079</v>
      </c>
      <c r="S265" s="2" t="str">
        <f>HYPERLINK(".\links\KOG\AGAP010224-PA-KOG.txt","KOG")</f>
        <v>KOG</v>
      </c>
      <c r="T265" s="2">
        <v>3.9999999999999999E-85</v>
      </c>
      <c r="U265" s="2">
        <v>100</v>
      </c>
      <c r="V265" s="2" t="s">
        <v>2921</v>
      </c>
      <c r="W265" s="10" t="s">
        <v>2922</v>
      </c>
      <c r="X265" s="2" t="s">
        <v>1079</v>
      </c>
      <c r="Y265" s="2" t="str">
        <f>HYPERLINK(".\links\COG\AGAP010224-PA-COG.txt","COG")</f>
        <v>COG</v>
      </c>
      <c r="Z265" s="15">
        <v>6.0000000000000002E-62</v>
      </c>
      <c r="AA265" s="2">
        <v>100</v>
      </c>
      <c r="AB265" s="13" t="s">
        <v>102</v>
      </c>
      <c r="AC265" s="13" t="str">
        <f>HYPERLINK(".\links\Sigp\AGAP010224-PA-SigP.txt","SIG")</f>
        <v>SIG</v>
      </c>
      <c r="AD265" s="2" t="s">
        <v>277</v>
      </c>
      <c r="AE265" s="2">
        <v>24.486999999999998</v>
      </c>
      <c r="AF265" s="2">
        <v>8.99</v>
      </c>
      <c r="AG265" s="2">
        <v>21.117999999999999</v>
      </c>
      <c r="AH265" s="2">
        <v>8.44</v>
      </c>
      <c r="AI265" s="2" t="s">
        <v>2923</v>
      </c>
      <c r="AJ265" s="13" t="str">
        <f>HYPERLINK(".\links\tmhmm\AGAP010224-PA-tmhmm.txt","5")</f>
        <v>5</v>
      </c>
      <c r="AK265" s="2">
        <v>51.4</v>
      </c>
      <c r="AL265" s="2">
        <v>34</v>
      </c>
      <c r="AM265" s="2">
        <v>14.6</v>
      </c>
      <c r="AN265" s="13" t="str">
        <f>HYPERLINK(".\links\gpi\AGAP010224-PA-gpi.txt","N")</f>
        <v>N</v>
      </c>
      <c r="AO265" s="14" t="str">
        <f>HYPERLINK(".\links\netoglyc\AGAP010224-PA-netoglyc.txt","0")</f>
        <v>0</v>
      </c>
      <c r="AP265" s="13">
        <v>12.7</v>
      </c>
      <c r="AQ265" s="2">
        <v>3.8</v>
      </c>
      <c r="AR265" s="2">
        <v>1.9</v>
      </c>
      <c r="AS265" s="2" t="s">
        <v>104</v>
      </c>
      <c r="AT265" s="9" t="str">
        <f>HYPERLINK(".\links\NR-LIGHT\AGAP010224-PA-NR-LIGHT.txt","AGAP012756-PA")</f>
        <v>AGAP012756-PA</v>
      </c>
      <c r="AU265" s="2" t="str">
        <f>HYPERLINK("http://www.ncbi.nlm.nih.gov/sutils/blink.cgi?pid=XP_307101.2","1E-116")</f>
        <v>1E-116</v>
      </c>
      <c r="AV265" s="2" t="str">
        <f>HYPERLINK("http://www.ncbi.nlm.nih.gov/protein/XP_307101.2","XP_307101.2")</f>
        <v>XP_307101.2</v>
      </c>
      <c r="AW265" s="2">
        <v>100</v>
      </c>
      <c r="AX265" s="2">
        <v>100</v>
      </c>
      <c r="AY265" s="2">
        <v>100</v>
      </c>
      <c r="AZ265" s="2" t="s">
        <v>105</v>
      </c>
      <c r="BA265" s="9" t="str">
        <f>HYPERLINK(".\links\REFSEQ-INVERTEBRATE\AGAP010224-PA-REFSEQ-INVERTEBRATE.txt","AGAP012756-PA")</f>
        <v>AGAP012756-PA</v>
      </c>
      <c r="BB265" s="2" t="str">
        <f>HYPERLINK("http://www.ncbi.nlm.nih.gov/sutils/blink.cgi?pid=XP_307101.2","1E-116")</f>
        <v>1E-116</v>
      </c>
      <c r="BC265" s="2" t="str">
        <f>HYPERLINK("http://www.ncbi.nlm.nih.gov/protein/XP_307101.2","XP_307101.2")</f>
        <v>XP_307101.2</v>
      </c>
      <c r="BD265" s="2">
        <v>100</v>
      </c>
      <c r="BE265" s="2">
        <v>100</v>
      </c>
      <c r="BF265" s="2">
        <v>100</v>
      </c>
      <c r="BG265" s="2" t="s">
        <v>105</v>
      </c>
      <c r="BH265" s="9" t="str">
        <f>HYPERLINK(".\links\REFSEQ-PROTOZOA\AGAP010224-PA-REFSEQ-PROTOZOA.txt","hypothetical protein")</f>
        <v>hypothetical protein</v>
      </c>
      <c r="BI265" s="2" t="str">
        <f>HYPERLINK("http://www.ncbi.nlm.nih.gov/sutils/blink.cgi?pid=XP_001744889.1","1E-086")</f>
        <v>1E-086</v>
      </c>
      <c r="BJ265" s="2" t="str">
        <f>HYPERLINK("http://www.ncbi.nlm.nih.gov/protein/XP_001744889.1","XP_001744889.1")</f>
        <v>XP_001744889.1</v>
      </c>
      <c r="BK265" s="2">
        <v>70</v>
      </c>
      <c r="BL265" s="2">
        <v>88</v>
      </c>
      <c r="BM265" s="2">
        <v>99</v>
      </c>
      <c r="BN265" s="2" t="s">
        <v>248</v>
      </c>
      <c r="BO265" s="9" t="str">
        <f>HYPERLINK(".\links\SWISSP\AGAP010224-PA-SWISSP.txt","ER lumen protein-retaining receptor")</f>
        <v>ER lumen protein-retaining receptor</v>
      </c>
      <c r="BP265" s="2" t="str">
        <f>HYPERLINK("http://www.uniprot.org/uniprot/O76767","1E-102")</f>
        <v>1E-102</v>
      </c>
      <c r="BQ265" s="2" t="str">
        <f>HYPERLINK("http://www.uniprot.org/uniprot/O76767#expression","O76767")</f>
        <v>O76767</v>
      </c>
      <c r="BR265" s="2">
        <v>82</v>
      </c>
      <c r="BS265" s="2">
        <v>94</v>
      </c>
      <c r="BT265" s="2">
        <v>100</v>
      </c>
      <c r="BU265" s="2" t="s">
        <v>107</v>
      </c>
      <c r="BV265" s="9" t="str">
        <f>HYPERLINK(".\links\FLYBASE\AGAP010224-PA-FLYBASE.txt","FBpp0079613")</f>
        <v>FBpp0079613</v>
      </c>
      <c r="BW265" s="2" t="str">
        <f>HYPERLINK("http://flybase.org/reports/FBgn0267330#alliance_summary_container","1E-133")</f>
        <v>1E-133</v>
      </c>
      <c r="BX265" s="2">
        <v>212</v>
      </c>
      <c r="BY265" s="2">
        <v>82</v>
      </c>
      <c r="BZ265" s="2">
        <v>94</v>
      </c>
      <c r="CA265" s="2">
        <v>100</v>
      </c>
      <c r="CB265" s="9" t="str">
        <f>HYPERLINK(".\links\CDD\AGAP010224-PA-CDD.txt","ERD2, ER lumen protein retaining receptor")</f>
        <v>ERD2, ER lumen protein retaining receptor</v>
      </c>
      <c r="CC265" s="15">
        <v>2.0000000000000001E-54</v>
      </c>
      <c r="CD265" s="2">
        <v>100</v>
      </c>
      <c r="CE265" s="2" t="s">
        <v>2924</v>
      </c>
      <c r="CF265" s="2" t="s">
        <v>2925</v>
      </c>
      <c r="CG265" s="9" t="str">
        <f>HYPERLINK(".\links\KOG\AGAP010224-PA-KOG.txt","ER lumen protein retaining receptor")</f>
        <v>ER lumen protein retaining receptor</v>
      </c>
      <c r="CH265" s="15">
        <v>3.9999999999999999E-85</v>
      </c>
      <c r="CI265" s="2">
        <v>100</v>
      </c>
      <c r="CJ265" s="2" t="s">
        <v>2926</v>
      </c>
      <c r="CK265" s="2" t="s">
        <v>154</v>
      </c>
      <c r="CL265" s="9" t="str">
        <f>HYPERLINK(".\links\PFAM\AGAP010224-PA-PFAM.txt","ER_lumen_recept, ER lumen protein retaining receptor")</f>
        <v>ER_lumen_recept, ER lumen protein retaining receptor</v>
      </c>
      <c r="CM265" s="15">
        <v>5.0000000000000002E-55</v>
      </c>
      <c r="CN265" s="2">
        <v>100</v>
      </c>
      <c r="CO265" s="2" t="s">
        <v>2927</v>
      </c>
      <c r="CP265" s="9" t="s">
        <v>102</v>
      </c>
      <c r="CQ265" s="15" t="s">
        <v>102</v>
      </c>
      <c r="CR265" s="2" t="s">
        <v>102</v>
      </c>
      <c r="CS265" s="2" t="s">
        <v>102</v>
      </c>
      <c r="CT265" s="2" t="s">
        <v>2921</v>
      </c>
      <c r="CU265" s="2" t="s">
        <v>2921</v>
      </c>
      <c r="CV265" s="2" t="s">
        <v>2921</v>
      </c>
      <c r="CW265" s="2" t="str">
        <f>HYPERLINK(".\links\pep\AGAP010224-PA-pep.txt","AGAP010224-PA")</f>
        <v>AGAP010224-PA</v>
      </c>
      <c r="CX265" s="2" t="s">
        <v>95</v>
      </c>
      <c r="CY265" s="2">
        <v>212</v>
      </c>
      <c r="CZ265" s="2" t="s">
        <v>113</v>
      </c>
      <c r="DA265" s="2" t="s">
        <v>2928</v>
      </c>
      <c r="DB265" s="2">
        <v>0</v>
      </c>
      <c r="DC265" s="2">
        <v>0</v>
      </c>
      <c r="DD265" s="2" t="str">
        <f>HYPERLINK("https://www.kegg.jp/kegg-bin/search_pathway_text?map=aga&amp;keyword=AGAP010224&amp;mode=1&amp;viewImage=true","AGAP010224")</f>
        <v>AGAP010224</v>
      </c>
      <c r="DE265" s="2" t="s">
        <v>2917</v>
      </c>
      <c r="DF265" s="2" t="s">
        <v>2918</v>
      </c>
      <c r="DG265" s="2" t="s">
        <v>94</v>
      </c>
      <c r="DH265" s="2" t="str">
        <f>HYPERLINK("https://vectorbase.org/vectorbase/app/record/gene/AGAP010224","AGAP010224-RA")</f>
        <v>AGAP010224-RA</v>
      </c>
      <c r="DI265" s="2" t="s">
        <v>135</v>
      </c>
      <c r="DJ265" s="2">
        <v>1788</v>
      </c>
      <c r="DK265" s="2" t="str">
        <f>HYPERLINK(".\links\netoglyc\AGAP010224-PA-netoglyc.txt","0")</f>
        <v>0</v>
      </c>
      <c r="DL265" s="2">
        <v>12.7</v>
      </c>
      <c r="DM265" s="2">
        <v>3.8</v>
      </c>
      <c r="DN265" s="2">
        <v>1.9</v>
      </c>
      <c r="DO265" s="2" t="s">
        <v>104</v>
      </c>
      <c r="DP265" s="2" t="s">
        <v>102</v>
      </c>
      <c r="DQ265" s="2" t="str">
        <f>HYPERLINK(".\links\Sigp\AGAP010224-PA-SigP.txt","SIG")</f>
        <v>SIG</v>
      </c>
      <c r="DR265" s="2" t="s">
        <v>277</v>
      </c>
      <c r="DS265" s="2">
        <v>24.486999999999998</v>
      </c>
      <c r="DT265" s="2">
        <v>8.99</v>
      </c>
      <c r="DU265" s="2">
        <v>21.117999999999999</v>
      </c>
      <c r="DV265" s="2">
        <v>8.44</v>
      </c>
      <c r="DW265" s="2" t="s">
        <v>2923</v>
      </c>
      <c r="DX265" s="2">
        <v>212</v>
      </c>
      <c r="DY265" s="12" t="str">
        <f>HYPERLINK(".\links\tmhmm\AGAP010224-PA-tmhmm.txt","5")</f>
        <v>5</v>
      </c>
      <c r="DZ265" s="2">
        <v>51.4</v>
      </c>
      <c r="EA265" s="2">
        <v>34</v>
      </c>
      <c r="EB265" s="2">
        <v>14.6</v>
      </c>
      <c r="EC265" s="2" t="str">
        <f>HYPERLINK(".\links\gpi\AGAP010224-PA-gpi.txt","N")</f>
        <v>N</v>
      </c>
      <c r="ED265" s="2">
        <v>0.49</v>
      </c>
      <c r="EF265" s="2">
        <v>3</v>
      </c>
      <c r="EG265" s="2" t="s">
        <v>102</v>
      </c>
      <c r="EH265" s="2" t="s">
        <v>102</v>
      </c>
      <c r="EI265" s="2">
        <v>12.735849056603801</v>
      </c>
      <c r="EJ265" s="2">
        <v>1.88679245283019</v>
      </c>
      <c r="EK265" s="2">
        <v>3.7735849056603801</v>
      </c>
      <c r="EL265" s="2">
        <v>5.6603773584905701</v>
      </c>
      <c r="EM265" s="2" t="s">
        <v>102</v>
      </c>
      <c r="EN265" s="2">
        <v>1</v>
      </c>
      <c r="EO265" s="2">
        <v>1</v>
      </c>
      <c r="EP265" s="2" t="s">
        <v>102</v>
      </c>
      <c r="EQ265" s="2" t="s">
        <v>102</v>
      </c>
      <c r="ER265" s="2" t="s">
        <v>102</v>
      </c>
      <c r="ES265" s="2" t="s">
        <v>102</v>
      </c>
      <c r="ET265" s="2" t="str">
        <f>HYPERLINK(".\links\REFSEQ-INVERTEBRATE\AGAP010224-PA-REFSEQ-INVERTEBRATE.txt","AGAP012756-PA")</f>
        <v>AGAP012756-PA</v>
      </c>
      <c r="EU265" s="2" t="str">
        <f>HYPERLINK("http://www.ncbi.nlm.nih.gov/sutils/blink.cgi?pid=XP_307101.2","1E-151")</f>
        <v>1E-151</v>
      </c>
      <c r="EV265" s="2" t="str">
        <f>HYPERLINK("http://www.ncbi.nlm.nih.gov/protein/XP_307101.2","XP_307101.2")</f>
        <v>XP_307101.2</v>
      </c>
      <c r="EW265" s="2">
        <v>100</v>
      </c>
      <c r="EX265" s="2">
        <v>100</v>
      </c>
      <c r="EY265" s="2">
        <v>100</v>
      </c>
      <c r="EZ265" s="2" t="s">
        <v>105</v>
      </c>
    </row>
    <row r="266" spans="1:156" x14ac:dyDescent="0.25">
      <c r="A266" s="2" t="s">
        <v>2929</v>
      </c>
      <c r="B266" s="2">
        <v>0.27617313269738097</v>
      </c>
      <c r="C266" s="2">
        <f t="shared" si="4"/>
        <v>1.2109784004389501</v>
      </c>
      <c r="D266" s="2">
        <v>6.6385513803422498</v>
      </c>
      <c r="E266" s="2">
        <v>11.3069098051054</v>
      </c>
      <c r="F266" s="2">
        <v>7.7219181106644001E-4</v>
      </c>
      <c r="G266" s="2">
        <v>2.9655933300736001E-2</v>
      </c>
      <c r="H266" s="2" t="s">
        <v>2930</v>
      </c>
      <c r="I266" s="2" t="s">
        <v>94</v>
      </c>
      <c r="J266" s="2" t="str">
        <f>HYPERLINK("https://vectorbase.org/vectorbase/app/record/gene/AGAP010493","AGAP010493-RA")</f>
        <v>AGAP010493-RA</v>
      </c>
      <c r="K266" s="2" t="str">
        <f>HYPERLINK(".\links\pep\AGAP010493-PA-pep.txt","AGAP010493-PA")</f>
        <v>AGAP010493-PA</v>
      </c>
      <c r="L266" s="12" t="s">
        <v>95</v>
      </c>
      <c r="M266" s="2">
        <v>427</v>
      </c>
      <c r="N266" s="2">
        <v>0</v>
      </c>
      <c r="O266" s="2">
        <v>2</v>
      </c>
      <c r="P266" s="2" t="s">
        <v>2931</v>
      </c>
      <c r="Q266" s="9" t="s">
        <v>2932</v>
      </c>
      <c r="R266" s="2" t="s">
        <v>564</v>
      </c>
      <c r="S266" s="2" t="str">
        <f>HYPERLINK(".\links\PFAM\AGAP010493-PA-PFAM.txt","PFAM")</f>
        <v>PFAM</v>
      </c>
      <c r="T266" s="2">
        <v>1.9999999999999999E-67</v>
      </c>
      <c r="U266" s="2">
        <v>103.1</v>
      </c>
      <c r="V266" s="2" t="s">
        <v>2933</v>
      </c>
      <c r="W266" s="10" t="s">
        <v>2934</v>
      </c>
      <c r="X266" s="2" t="s">
        <v>420</v>
      </c>
      <c r="Y266" s="2" t="str">
        <f>HYPERLINK(".\links\REFSEQVERTEBRATE95\AGAP010493-PA-REFSEQVERTEBRATE95.txt","REFSEQVERTEBRATE95")</f>
        <v>REFSEQVERTEBRATE95</v>
      </c>
      <c r="Z266" s="15">
        <v>9.9999999999999994E-68</v>
      </c>
      <c r="AA266" s="2">
        <v>111.2</v>
      </c>
      <c r="AB266" s="13" t="s">
        <v>102</v>
      </c>
      <c r="AC266" s="13" t="str">
        <f>HYPERLINK(".\links\Sigp\AGAP010493-PA-SigP.txt","CYT")</f>
        <v>CYT</v>
      </c>
      <c r="AD266" s="2" t="s">
        <v>102</v>
      </c>
      <c r="AE266" s="2">
        <v>48.424999999999997</v>
      </c>
      <c r="AF266" s="2">
        <v>5.49</v>
      </c>
      <c r="AG266" s="2" t="s">
        <v>102</v>
      </c>
      <c r="AH266" s="2" t="s">
        <v>102</v>
      </c>
      <c r="AI266" s="2" t="s">
        <v>211</v>
      </c>
      <c r="AJ266" s="13">
        <v>0</v>
      </c>
      <c r="AK266" s="2" t="s">
        <v>102</v>
      </c>
      <c r="AL266" s="2" t="s">
        <v>102</v>
      </c>
      <c r="AM266" s="2" t="s">
        <v>102</v>
      </c>
      <c r="AN266" s="13" t="str">
        <f>HYPERLINK(".\links\gpi\AGAP010493-PA-gpi.txt","N")</f>
        <v>N</v>
      </c>
      <c r="AO266" s="14" t="str">
        <f>HYPERLINK(".\links\netoglyc\AGAP010493-PA-netoglyc.txt","1")</f>
        <v>1</v>
      </c>
      <c r="AP266" s="13">
        <v>13.1</v>
      </c>
      <c r="AQ266" s="2">
        <v>5.2</v>
      </c>
      <c r="AR266" s="2">
        <v>5.2</v>
      </c>
      <c r="AS266" s="2" t="s">
        <v>104</v>
      </c>
      <c r="AT266" s="9" t="str">
        <f>HYPERLINK(".\links\NR-LIGHT\AGAP010493-PA-NR-LIGHT.txt","AGAP010493-PA, partial")</f>
        <v>AGAP010493-PA, partial</v>
      </c>
      <c r="AU266" s="2" t="str">
        <f>HYPERLINK("http://www.ncbi.nlm.nih.gov/sutils/blink.cgi?pid=XP_314467.4","0.0")</f>
        <v>0.0</v>
      </c>
      <c r="AV266" s="2" t="str">
        <f>HYPERLINK("http://www.ncbi.nlm.nih.gov/protein/XP_314467.4","XP_314467.4")</f>
        <v>XP_314467.4</v>
      </c>
      <c r="AW266" s="2">
        <v>99</v>
      </c>
      <c r="AX266" s="2">
        <v>100</v>
      </c>
      <c r="AY266" s="2">
        <v>96</v>
      </c>
      <c r="AZ266" s="2" t="s">
        <v>105</v>
      </c>
      <c r="BA266" s="9" t="str">
        <f>HYPERLINK(".\links\REFSEQ-INVERTEBRATE\AGAP010493-PA-REFSEQ-INVERTEBRATE.txt","AGAP010493-PA, partial")</f>
        <v>AGAP010493-PA, partial</v>
      </c>
      <c r="BB266" s="2" t="str">
        <f>HYPERLINK("http://www.ncbi.nlm.nih.gov/sutils/blink.cgi?pid=XP_314467.4","0.0")</f>
        <v>0.0</v>
      </c>
      <c r="BC266" s="2" t="str">
        <f>HYPERLINK("http://www.ncbi.nlm.nih.gov/protein/XP_314467.4","XP_314467.4")</f>
        <v>XP_314467.4</v>
      </c>
      <c r="BD266" s="2">
        <v>99</v>
      </c>
      <c r="BE266" s="2">
        <v>100</v>
      </c>
      <c r="BF266" s="2">
        <v>96</v>
      </c>
      <c r="BG266" s="2" t="s">
        <v>105</v>
      </c>
      <c r="BH266" s="9" t="str">
        <f>HYPERLINK(".\links\REFSEQ-PROTOZOA\AGAP010493-PA-REFSEQ-PROTOZOA.txt","hypothetical protein CAOG_01479")</f>
        <v>hypothetical protein CAOG_01479</v>
      </c>
      <c r="BI266" s="2" t="str">
        <f>HYPERLINK("http://www.ncbi.nlm.nih.gov/sutils/blink.cgi?pid=XP_004364347.2","9E-032")</f>
        <v>9E-032</v>
      </c>
      <c r="BJ266" s="2" t="str">
        <f>HYPERLINK("http://www.ncbi.nlm.nih.gov/protein/XP_004364347.2","XP_004364347.2")</f>
        <v>XP_004364347.2</v>
      </c>
      <c r="BK266" s="2">
        <v>28</v>
      </c>
      <c r="BL266" s="2">
        <v>46</v>
      </c>
      <c r="BM266" s="2">
        <v>101</v>
      </c>
      <c r="BN266" s="2" t="s">
        <v>106</v>
      </c>
      <c r="BO266" s="9" t="str">
        <f>HYPERLINK(".\links\SWISSP\AGAP010493-PA-SWISSP.txt","Transcription initiation factor TFIID subunit 7")</f>
        <v>Transcription initiation factor TFIID subunit 7</v>
      </c>
      <c r="BP266" s="2" t="str">
        <f>HYPERLINK("http://www.uniprot.org/uniprot/Q9VHY5","8E-087")</f>
        <v>8E-087</v>
      </c>
      <c r="BQ266" s="2" t="str">
        <f>HYPERLINK("http://www.uniprot.org/uniprot/Q9VHY5#expression","Q9VHY5")</f>
        <v>Q9VHY5</v>
      </c>
      <c r="BR266" s="2">
        <v>43</v>
      </c>
      <c r="BS266" s="2">
        <v>58</v>
      </c>
      <c r="BT266" s="2">
        <v>98</v>
      </c>
      <c r="BU266" s="2" t="s">
        <v>107</v>
      </c>
      <c r="BV266" s="9" t="str">
        <f>HYPERLINK(".\links\FLYBASE\AGAP010493-PA-FLYBASE.txt","FBpp0113012")</f>
        <v>FBpp0113012</v>
      </c>
      <c r="BW266" s="2" t="str">
        <f>HYPERLINK("http://flybase.org/reports/FBgn0024909#alliance_summary_container","3E-91")</f>
        <v>3E-91</v>
      </c>
      <c r="BX266" s="2">
        <v>447</v>
      </c>
      <c r="BY266" s="2">
        <v>42</v>
      </c>
      <c r="BZ266" s="2">
        <v>59</v>
      </c>
      <c r="CA266" s="2">
        <v>103</v>
      </c>
      <c r="CB266" s="9" t="str">
        <f>HYPERLINK(".\links\CDD\AGAP010493-PA-CDD.txt","TAFII55_N, TAFII55 protein conserved region")</f>
        <v>TAFII55_N, TAFII55 protein conserved region</v>
      </c>
      <c r="CC266" s="15">
        <v>9.9999999999999998E-67</v>
      </c>
      <c r="CD266" s="2">
        <v>103.2</v>
      </c>
      <c r="CE266" s="2" t="s">
        <v>2935</v>
      </c>
      <c r="CF266" s="2" t="s">
        <v>2936</v>
      </c>
      <c r="CG266" s="9" t="str">
        <f>HYPERLINK(".\links\KOG\AGAP010493-PA-KOG.txt","subunit TAF7")</f>
        <v>subunit TAF7</v>
      </c>
      <c r="CH266" s="15">
        <v>6.9999999999999995E-51</v>
      </c>
      <c r="CI266" s="2">
        <v>79.7</v>
      </c>
      <c r="CJ266" s="2" t="s">
        <v>2937</v>
      </c>
      <c r="CK266" s="2" t="s">
        <v>309</v>
      </c>
      <c r="CL266" s="9" t="str">
        <f>HYPERLINK(".\links\PFAM\AGAP010493-PA-PFAM.txt","TAFII55_N, TAFII55 protein conserved region")</f>
        <v>TAFII55_N, TAFII55 protein conserved region</v>
      </c>
      <c r="CM266" s="15">
        <v>1.9999999999999999E-67</v>
      </c>
      <c r="CN266" s="2">
        <v>103.2</v>
      </c>
      <c r="CO266" s="2" t="s">
        <v>2935</v>
      </c>
      <c r="CP266" s="9" t="str">
        <f>HYPERLINK(".\links\SMART\AGAP010493-PA-SMART.txt","Spc7, Spc7 kinetochore protein")</f>
        <v>Spc7, Spc7 kinetochore protein</v>
      </c>
      <c r="CQ266" s="15">
        <v>0.18</v>
      </c>
      <c r="CR266" s="2">
        <v>17.600000000000001</v>
      </c>
      <c r="CS266" s="2" t="s">
        <v>1061</v>
      </c>
      <c r="CT266" s="2" t="s">
        <v>2933</v>
      </c>
      <c r="CU266" s="2" t="s">
        <v>2933</v>
      </c>
      <c r="CV266" s="2" t="s">
        <v>2933</v>
      </c>
      <c r="CW266" s="2" t="str">
        <f>HYPERLINK(".\links\pep\AGAP010493-PA-pep.txt","AGAP010493-PA")</f>
        <v>AGAP010493-PA</v>
      </c>
      <c r="CX266" s="2" t="s">
        <v>95</v>
      </c>
      <c r="CY266" s="2">
        <v>427</v>
      </c>
      <c r="CZ266" s="2" t="s">
        <v>113</v>
      </c>
      <c r="DA266" s="2" t="s">
        <v>2938</v>
      </c>
      <c r="DB266" s="2">
        <v>0</v>
      </c>
      <c r="DC266" s="2">
        <v>2</v>
      </c>
      <c r="DD266" s="2" t="str">
        <f>HYPERLINK("https://www.kegg.jp/kegg-bin/search_pathway_text?map=aga&amp;keyword=AGAP010493&amp;mode=1&amp;viewImage=true","AGAP010493")</f>
        <v>AGAP010493</v>
      </c>
      <c r="DE266" s="2" t="s">
        <v>2929</v>
      </c>
      <c r="DF266" s="2" t="s">
        <v>2930</v>
      </c>
      <c r="DG266" s="2" t="s">
        <v>94</v>
      </c>
      <c r="DH266" s="2" t="str">
        <f>HYPERLINK("https://vectorbase.org/vectorbase/app/record/gene/AGAP010493","AGAP010493-RA")</f>
        <v>AGAP010493-RA</v>
      </c>
      <c r="DI266" s="2" t="s">
        <v>135</v>
      </c>
      <c r="DJ266" s="2">
        <v>2184</v>
      </c>
      <c r="DK266" s="2" t="str">
        <f>HYPERLINK(".\links\netoglyc\AGAP010493-PA-netoglyc.txt","1")</f>
        <v>1</v>
      </c>
      <c r="DL266" s="2">
        <v>13.1</v>
      </c>
      <c r="DM266" s="2">
        <v>5.2</v>
      </c>
      <c r="DN266" s="2">
        <v>5.2</v>
      </c>
      <c r="DO266" s="2" t="s">
        <v>104</v>
      </c>
      <c r="DP266" s="2" t="s">
        <v>2939</v>
      </c>
      <c r="DQ266" s="2" t="str">
        <f>HYPERLINK(".\links\Sigp\AGAP010493-PA-SigP.txt","CYT")</f>
        <v>CYT</v>
      </c>
      <c r="DR266" s="2" t="s">
        <v>102</v>
      </c>
      <c r="DS266" s="2">
        <v>48.424999999999997</v>
      </c>
      <c r="DT266" s="2">
        <v>5.49</v>
      </c>
      <c r="DU266" s="2" t="s">
        <v>102</v>
      </c>
      <c r="DV266" s="2" t="s">
        <v>102</v>
      </c>
      <c r="DW266" s="2" t="s">
        <v>211</v>
      </c>
      <c r="DX266" s="2">
        <v>427</v>
      </c>
      <c r="DY266" s="12">
        <v>0</v>
      </c>
      <c r="DZ266" s="2" t="s">
        <v>102</v>
      </c>
      <c r="EA266" s="2" t="s">
        <v>102</v>
      </c>
      <c r="EB266" s="2" t="s">
        <v>102</v>
      </c>
      <c r="EC266" s="2" t="str">
        <f>HYPERLINK(".\links\gpi\AGAP010493-PA-gpi.txt","Y-NoSP")</f>
        <v>Y-NoSP</v>
      </c>
      <c r="ED266" s="2">
        <v>0.31</v>
      </c>
      <c r="EF266" s="2">
        <v>4</v>
      </c>
      <c r="EG266" s="2" t="s">
        <v>102</v>
      </c>
      <c r="EH266" s="2" t="s">
        <v>102</v>
      </c>
      <c r="EI266" s="2">
        <v>13.1147540983607</v>
      </c>
      <c r="EJ266" s="2">
        <v>5.1522248243559696</v>
      </c>
      <c r="EK266" s="2">
        <v>5.1522248243559696</v>
      </c>
      <c r="EL266" s="2">
        <v>10.3044496487119</v>
      </c>
      <c r="EM266" s="2" t="s">
        <v>102</v>
      </c>
      <c r="EN266" s="2">
        <v>1</v>
      </c>
      <c r="EO266" s="2">
        <v>1</v>
      </c>
      <c r="EP266" s="2" t="s">
        <v>102</v>
      </c>
      <c r="EQ266" s="2" t="s">
        <v>102</v>
      </c>
      <c r="ER266" s="2" t="s">
        <v>102</v>
      </c>
      <c r="ES266" s="2" t="s">
        <v>102</v>
      </c>
      <c r="ET266" s="2" t="str">
        <f>HYPERLINK(".\links\REFSEQ-INVERTEBRATE\AGAP010493-PA-REFSEQ-INVERTEBRATE.txt","AGAP010493-PA, partial")</f>
        <v>AGAP010493-PA, partial</v>
      </c>
      <c r="EU266" s="2" t="str">
        <f>HYPERLINK("http://www.ncbi.nlm.nih.gov/sutils/blink.cgi?pid=XP_314467.4","0.0")</f>
        <v>0.0</v>
      </c>
      <c r="EV266" s="2" t="str">
        <f>HYPERLINK("http://www.ncbi.nlm.nih.gov/protein/XP_314467.4","XP_314467.4")</f>
        <v>XP_314467.4</v>
      </c>
      <c r="EW266" s="2">
        <v>99</v>
      </c>
      <c r="EX266" s="2">
        <v>100</v>
      </c>
      <c r="EY266" s="2">
        <v>96</v>
      </c>
      <c r="EZ266" s="2" t="s">
        <v>105</v>
      </c>
    </row>
    <row r="267" spans="1:156" x14ac:dyDescent="0.25">
      <c r="A267" s="2" t="s">
        <v>2940</v>
      </c>
      <c r="B267" s="2">
        <v>0.27537570038722697</v>
      </c>
      <c r="C267" s="2">
        <f t="shared" si="4"/>
        <v>1.2103092316658779</v>
      </c>
      <c r="D267" s="2">
        <v>5.5742448642932096</v>
      </c>
      <c r="E267" s="2">
        <v>9.4361063742219002</v>
      </c>
      <c r="F267" s="2">
        <v>2.1275470150758499E-3</v>
      </c>
      <c r="G267" s="2">
        <v>4.45158722581157E-2</v>
      </c>
      <c r="H267" s="2" t="s">
        <v>2941</v>
      </c>
      <c r="I267" s="2" t="s">
        <v>94</v>
      </c>
      <c r="J267" s="2" t="str">
        <f>HYPERLINK("https://vectorbase.org/vectorbase/app/record/gene/AGAP007519","AGAP007519-RA")</f>
        <v>AGAP007519-RA</v>
      </c>
      <c r="K267" s="2" t="str">
        <f>HYPERLINK(".\links\pep\AGAP007519-PA-pep.txt","AGAP007519-PA")</f>
        <v>AGAP007519-PA</v>
      </c>
      <c r="L267" s="12" t="s">
        <v>95</v>
      </c>
      <c r="M267" s="2">
        <v>375</v>
      </c>
      <c r="N267" s="2">
        <v>0</v>
      </c>
      <c r="O267" s="2">
        <v>1</v>
      </c>
      <c r="P267" s="2" t="s">
        <v>2942</v>
      </c>
      <c r="Q267" s="9" t="s">
        <v>2943</v>
      </c>
      <c r="R267" s="2" t="s">
        <v>447</v>
      </c>
      <c r="S267" s="2" t="str">
        <f>HYPERLINK(".\links\CDD\AGAP007519-PA-CDD.txt","CDD")</f>
        <v>CDD</v>
      </c>
      <c r="T267" s="2">
        <v>0</v>
      </c>
      <c r="U267" s="2">
        <v>99.5</v>
      </c>
      <c r="V267" s="2" t="s">
        <v>2944</v>
      </c>
      <c r="W267" s="10" t="s">
        <v>2945</v>
      </c>
      <c r="X267" s="2" t="s">
        <v>447</v>
      </c>
      <c r="Y267" s="2" t="str">
        <f>HYPERLINK(".\links\KOG\AGAP007519-PA-KOG.txt","KOG")</f>
        <v>KOG</v>
      </c>
      <c r="Z267" s="2">
        <v>0</v>
      </c>
      <c r="AA267" s="2">
        <v>101.5</v>
      </c>
      <c r="AB267" s="13" t="str">
        <f>HYPERLINK(".\links\pep\AGAP007519-PA-sulf.txt","3")</f>
        <v>3</v>
      </c>
      <c r="AC267" s="13" t="str">
        <f>HYPERLINK(".\links\Sigp\AGAP007519-PA-SigP.txt","CYT")</f>
        <v>CYT</v>
      </c>
      <c r="AD267" s="2" t="s">
        <v>102</v>
      </c>
      <c r="AE267" s="2">
        <v>43.74</v>
      </c>
      <c r="AF267" s="2">
        <v>7.75</v>
      </c>
      <c r="AG267" s="2" t="s">
        <v>102</v>
      </c>
      <c r="AH267" s="2" t="s">
        <v>102</v>
      </c>
      <c r="AI267" s="2" t="s">
        <v>124</v>
      </c>
      <c r="AJ267" s="13">
        <v>0</v>
      </c>
      <c r="AK267" s="2" t="s">
        <v>102</v>
      </c>
      <c r="AL267" s="2" t="s">
        <v>102</v>
      </c>
      <c r="AM267" s="2" t="s">
        <v>102</v>
      </c>
      <c r="AN267" s="13" t="str">
        <f>HYPERLINK(".\links\gpi\AGAP007519-PA-gpi.txt","N")</f>
        <v>N</v>
      </c>
      <c r="AO267" s="14" t="str">
        <f>HYPERLINK(".\links\netoglyc\AGAP007519-PA-netoglyc.txt","2")</f>
        <v>2</v>
      </c>
      <c r="AP267" s="13">
        <v>11.7</v>
      </c>
      <c r="AQ267" s="2">
        <v>3.7</v>
      </c>
      <c r="AR267" s="2">
        <v>4.3</v>
      </c>
      <c r="AS267" s="2" t="s">
        <v>104</v>
      </c>
      <c r="AT267" s="9" t="str">
        <f>HYPERLINK(".\links\NR-LIGHT\AGAP007519-PA-NR-LIGHT.txt","AGAP007519-PA")</f>
        <v>AGAP007519-PA</v>
      </c>
      <c r="AU267" s="2" t="str">
        <f>HYPERLINK("http://www.ncbi.nlm.nih.gov/sutils/blink.cgi?pid=XP_001237070.2","0.0")</f>
        <v>0.0</v>
      </c>
      <c r="AV267" s="2" t="str">
        <f>HYPERLINK("http://www.ncbi.nlm.nih.gov/protein/XP_001237070.2","XP_001237070.2")</f>
        <v>XP_001237070.2</v>
      </c>
      <c r="AW267" s="2">
        <v>100</v>
      </c>
      <c r="AX267" s="2">
        <v>100</v>
      </c>
      <c r="AY267" s="2">
        <v>100</v>
      </c>
      <c r="AZ267" s="2" t="s">
        <v>105</v>
      </c>
      <c r="BA267" s="9" t="str">
        <f>HYPERLINK(".\links\REFSEQ-INVERTEBRATE\AGAP007519-PA-REFSEQ-INVERTEBRATE.txt","AGAP007519-PA")</f>
        <v>AGAP007519-PA</v>
      </c>
      <c r="BB267" s="2" t="str">
        <f>HYPERLINK("http://www.ncbi.nlm.nih.gov/sutils/blink.cgi?pid=XP_001237070.2","0.0")</f>
        <v>0.0</v>
      </c>
      <c r="BC267" s="2" t="str">
        <f>HYPERLINK("http://www.ncbi.nlm.nih.gov/protein/XP_001237070.2","XP_001237070.2")</f>
        <v>XP_001237070.2</v>
      </c>
      <c r="BD267" s="2">
        <v>100</v>
      </c>
      <c r="BE267" s="2">
        <v>100</v>
      </c>
      <c r="BF267" s="2">
        <v>100</v>
      </c>
      <c r="BG267" s="2" t="s">
        <v>105</v>
      </c>
      <c r="BH267" s="9" t="str">
        <f>HYPERLINK(".\links\REFSEQ-PROTOZOA\AGAP007519-PA-REFSEQ-PROTOZOA.txt","hypothetical protein")</f>
        <v>hypothetical protein</v>
      </c>
      <c r="BI267" s="2" t="str">
        <f>HYPERLINK("http://www.ncbi.nlm.nih.gov/sutils/blink.cgi?pid=XP_001747889.1","8E-017")</f>
        <v>8E-017</v>
      </c>
      <c r="BJ267" s="2" t="str">
        <f>HYPERLINK("http://www.ncbi.nlm.nih.gov/protein/XP_001747889.1","XP_001747889.1")</f>
        <v>XP_001747889.1</v>
      </c>
      <c r="BK267" s="2">
        <v>27</v>
      </c>
      <c r="BL267" s="2">
        <v>50</v>
      </c>
      <c r="BM267" s="2">
        <v>58</v>
      </c>
      <c r="BN267" s="2" t="s">
        <v>248</v>
      </c>
      <c r="BO267" s="9" t="str">
        <f>HYPERLINK(".\links\SWISSP\AGAP007519-PA-SWISSP.txt","28S ribosomal protein S22, mitochondrial")</f>
        <v>28S ribosomal protein S22, mitochondrial</v>
      </c>
      <c r="BP267" s="2" t="str">
        <f>HYPERLINK("http://www.uniprot.org/uniprot/P82649","8E-048")</f>
        <v>8E-048</v>
      </c>
      <c r="BQ267" s="2" t="str">
        <f>HYPERLINK("http://www.uniprot.org/uniprot/P82649#expression","P82649")</f>
        <v>P82649</v>
      </c>
      <c r="BR267" s="2">
        <v>34</v>
      </c>
      <c r="BS267" s="2">
        <v>53</v>
      </c>
      <c r="BT267" s="2">
        <v>92</v>
      </c>
      <c r="BU267" s="2" t="s">
        <v>1284</v>
      </c>
      <c r="BV267" s="9" t="str">
        <f>HYPERLINK(".\links\FLYBASE\AGAP007519-PA-FLYBASE.txt","FBpp0084616")</f>
        <v>FBpp0084616</v>
      </c>
      <c r="BW267" s="2" t="str">
        <f>HYPERLINK("http://flybase.org/reports/FBgn0039555#alliance_summary_container","1E-110")</f>
        <v>1E-110</v>
      </c>
      <c r="BX267" s="2">
        <v>393</v>
      </c>
      <c r="BY267" s="2">
        <v>47</v>
      </c>
      <c r="BZ267" s="2">
        <v>65</v>
      </c>
      <c r="CA267" s="2">
        <v>91</v>
      </c>
      <c r="CB267" s="9" t="str">
        <f>HYPERLINK(".\links\CDD\AGAP007519-PA-CDD.txt","MRP-S22, Mitochondrial 28S ribosomal protein S22")</f>
        <v>MRP-S22, Mitochondrial 28S ribosomal protein S22</v>
      </c>
      <c r="CC267" s="15">
        <v>9.9999999999999994E-107</v>
      </c>
      <c r="CD267" s="2">
        <v>99.6</v>
      </c>
      <c r="CE267" s="2" t="s">
        <v>2946</v>
      </c>
      <c r="CF267" s="2" t="s">
        <v>2947</v>
      </c>
      <c r="CG267" s="9" t="str">
        <f>HYPERLINK(".\links\KOG\AGAP007519-PA-KOG.txt","Mitochondrial 28S ribosomal protein S22")</f>
        <v>Mitochondrial 28S ribosomal protein S22</v>
      </c>
      <c r="CH267" s="15">
        <v>3.0000000000000002E-85</v>
      </c>
      <c r="CI267" s="2">
        <v>101.3</v>
      </c>
      <c r="CJ267" s="2" t="s">
        <v>2948</v>
      </c>
      <c r="CK267" s="2" t="s">
        <v>678</v>
      </c>
      <c r="CL267" s="9" t="str">
        <f>HYPERLINK(".\links\PFAM\AGAP007519-PA-PFAM.txt","MRP-S22, Mitochondrial 28S ribosomal protein S22")</f>
        <v>MRP-S22, Mitochondrial 28S ribosomal protein S22</v>
      </c>
      <c r="CM267" s="15">
        <v>1E-107</v>
      </c>
      <c r="CN267" s="2">
        <v>99.6</v>
      </c>
      <c r="CO267" s="2" t="s">
        <v>2946</v>
      </c>
      <c r="CP267" s="9" t="str">
        <f>HYPERLINK(".\links\SMART\AGAP007519-PA-SMART.txt","LIGANc, Ligase N family")</f>
        <v>LIGANc, Ligase N family</v>
      </c>
      <c r="CQ267" s="15">
        <v>1.2</v>
      </c>
      <c r="CR267" s="2">
        <v>12.5</v>
      </c>
      <c r="CS267" s="2" t="s">
        <v>1073</v>
      </c>
      <c r="CT267" s="2" t="s">
        <v>2944</v>
      </c>
      <c r="CU267" s="2" t="s">
        <v>2944</v>
      </c>
      <c r="CV267" s="2" t="s">
        <v>2944</v>
      </c>
      <c r="CW267" s="2" t="str">
        <f>HYPERLINK(".\links\pep\AGAP007519-PA-pep.txt","AGAP007519-PA")</f>
        <v>AGAP007519-PA</v>
      </c>
      <c r="CX267" s="2" t="s">
        <v>95</v>
      </c>
      <c r="CY267" s="2">
        <v>375</v>
      </c>
      <c r="CZ267" s="2" t="s">
        <v>113</v>
      </c>
      <c r="DA267" s="2" t="s">
        <v>2949</v>
      </c>
      <c r="DB267" s="2">
        <v>0</v>
      </c>
      <c r="DC267" s="2">
        <v>1</v>
      </c>
      <c r="DD267" s="2" t="str">
        <f>HYPERLINK("https://www.kegg.jp/kegg-bin/search_pathway_text?map=aga&amp;keyword=AGAP007519&amp;mode=1&amp;viewImage=true","AGAP007519")</f>
        <v>AGAP007519</v>
      </c>
      <c r="DE267" s="2" t="s">
        <v>2940</v>
      </c>
      <c r="DF267" s="2" t="s">
        <v>2941</v>
      </c>
      <c r="DG267" s="2" t="s">
        <v>94</v>
      </c>
      <c r="DH267" s="2" t="str">
        <f>HYPERLINK("https://vectorbase.org/vectorbase/app/record/gene/AGAP007519","AGAP007519-RA")</f>
        <v>AGAP007519-RA</v>
      </c>
      <c r="DI267" s="2" t="s">
        <v>90</v>
      </c>
      <c r="DJ267" s="2">
        <v>1233</v>
      </c>
      <c r="DK267" s="2" t="str">
        <f>HYPERLINK(".\links\netoglyc\AGAP007519-PA-netoglyc.txt","2")</f>
        <v>2</v>
      </c>
      <c r="DL267" s="2">
        <v>11.7</v>
      </c>
      <c r="DM267" s="2">
        <v>3.7</v>
      </c>
      <c r="DN267" s="2">
        <v>4.3</v>
      </c>
      <c r="DO267" s="2" t="s">
        <v>104</v>
      </c>
      <c r="DP267" s="2" t="s">
        <v>2950</v>
      </c>
      <c r="DQ267" s="2" t="str">
        <f>HYPERLINK(".\links\Sigp\AGAP007519-PA-SigP.txt","CYT")</f>
        <v>CYT</v>
      </c>
      <c r="DR267" s="2" t="s">
        <v>102</v>
      </c>
      <c r="DS267" s="2">
        <v>43.74</v>
      </c>
      <c r="DT267" s="2">
        <v>7.75</v>
      </c>
      <c r="DU267" s="2" t="s">
        <v>102</v>
      </c>
      <c r="DV267" s="2" t="s">
        <v>102</v>
      </c>
      <c r="DW267" s="2" t="s">
        <v>124</v>
      </c>
      <c r="DX267" s="2">
        <v>375</v>
      </c>
      <c r="DY267" s="12">
        <v>0</v>
      </c>
      <c r="DZ267" s="2" t="s">
        <v>102</v>
      </c>
      <c r="EA267" s="2" t="s">
        <v>102</v>
      </c>
      <c r="EB267" s="2" t="s">
        <v>102</v>
      </c>
      <c r="EC267" s="2" t="str">
        <f>HYPERLINK(".\links\gpi\AGAP007519-PA-gpi.txt","N")</f>
        <v>N</v>
      </c>
      <c r="ED267" s="2">
        <v>0.26</v>
      </c>
      <c r="EF267" s="2">
        <v>3</v>
      </c>
      <c r="EG267" s="2" t="str">
        <f>HYPERLINK(".\links\pep\AGAP007519-PA-sulf.txt","3")</f>
        <v>3</v>
      </c>
      <c r="EH267" s="2" t="s">
        <v>102</v>
      </c>
      <c r="EI267" s="2">
        <v>11.733333333333301</v>
      </c>
      <c r="EJ267" s="2">
        <v>4.2666666666666702</v>
      </c>
      <c r="EK267" s="2">
        <v>3.7333333333333298</v>
      </c>
      <c r="EL267" s="2">
        <v>8</v>
      </c>
      <c r="EM267" s="2" t="s">
        <v>102</v>
      </c>
      <c r="EN267" s="2" t="s">
        <v>102</v>
      </c>
      <c r="EO267" s="2" t="s">
        <v>102</v>
      </c>
      <c r="EP267" s="2" t="s">
        <v>102</v>
      </c>
      <c r="EQ267" s="2" t="s">
        <v>102</v>
      </c>
      <c r="ER267" s="2" t="s">
        <v>102</v>
      </c>
      <c r="ES267" s="2" t="s">
        <v>102</v>
      </c>
      <c r="ET267" s="2" t="str">
        <f>HYPERLINK(".\links\REFSEQ-INVERTEBRATE\AGAP007519-PA-REFSEQ-INVERTEBRATE.txt","AGAP007519-PA")</f>
        <v>AGAP007519-PA</v>
      </c>
      <c r="EU267" s="2" t="str">
        <f>HYPERLINK("http://www.ncbi.nlm.nih.gov/sutils/blink.cgi?pid=XP_001237070.2","0.0")</f>
        <v>0.0</v>
      </c>
      <c r="EV267" s="2" t="str">
        <f>HYPERLINK("http://www.ncbi.nlm.nih.gov/protein/XP_001237070.2","XP_001237070.2")</f>
        <v>XP_001237070.2</v>
      </c>
      <c r="EW267" s="2">
        <v>100</v>
      </c>
      <c r="EX267" s="2">
        <v>100</v>
      </c>
      <c r="EY267" s="2">
        <v>100</v>
      </c>
      <c r="EZ267" s="2" t="s">
        <v>105</v>
      </c>
    </row>
    <row r="268" spans="1:156" x14ac:dyDescent="0.25">
      <c r="A268" s="2" t="s">
        <v>2951</v>
      </c>
      <c r="B268" s="2">
        <v>0.27526617161873201</v>
      </c>
      <c r="C268" s="2">
        <f t="shared" si="4"/>
        <v>1.2102173490129784</v>
      </c>
      <c r="D268" s="2">
        <v>6.3525638885015097</v>
      </c>
      <c r="E268" s="2">
        <v>9.5655693864601794</v>
      </c>
      <c r="F268" s="2">
        <v>1.9826069710660301E-3</v>
      </c>
      <c r="G268" s="2">
        <v>4.3419092666345999E-2</v>
      </c>
      <c r="H268" s="2" t="s">
        <v>2952</v>
      </c>
      <c r="I268" s="2" t="s">
        <v>94</v>
      </c>
      <c r="J268" s="2" t="str">
        <f>HYPERLINK("https://vectorbase.org/vectorbase/app/record/gene/AGAP012414","AGAP012414-RA")</f>
        <v>AGAP012414-RA</v>
      </c>
      <c r="K268" s="2" t="str">
        <f>HYPERLINK(".\links\pep\AGAP012414-PA-pep.txt","AGAP012414-PA")</f>
        <v>AGAP012414-PA</v>
      </c>
      <c r="L268" s="12" t="s">
        <v>95</v>
      </c>
      <c r="M268" s="2">
        <v>609</v>
      </c>
      <c r="N268" s="2">
        <v>0</v>
      </c>
      <c r="O268" s="2">
        <v>0</v>
      </c>
      <c r="P268" s="2" t="s">
        <v>2953</v>
      </c>
      <c r="Q268" s="9" t="s">
        <v>2954</v>
      </c>
      <c r="R268" s="2" t="s">
        <v>2281</v>
      </c>
      <c r="S268" s="2" t="str">
        <f>HYPERLINK(".\links\REFSEQ-INVERTEBRATE\AGAP012414-PA-REFSEQ-INVERTEBRATE.txt","REFSEQ-INVERTEBRATE")</f>
        <v>REFSEQ-INVERTEBRATE</v>
      </c>
      <c r="T268" s="2">
        <v>0</v>
      </c>
      <c r="U268" s="2">
        <v>100.3</v>
      </c>
      <c r="V268" s="2" t="s">
        <v>2955</v>
      </c>
      <c r="W268" s="10" t="s">
        <v>2956</v>
      </c>
      <c r="X268" s="2" t="s">
        <v>2281</v>
      </c>
      <c r="Y268" s="2" t="str">
        <f>HYPERLINK(".\links\REFSEQ-PROTOZOA\AGAP012414-PA-REFSEQ-PROTOZOA.txt","REFSEQ-PROTOZOA")</f>
        <v>REFSEQ-PROTOZOA</v>
      </c>
      <c r="Z268" s="15">
        <v>0</v>
      </c>
      <c r="AA268" s="2">
        <v>77.2</v>
      </c>
      <c r="AB268" s="13" t="str">
        <f>HYPERLINK(".\links\pep\AGAP012414-PA-sulf.txt","4")</f>
        <v>4</v>
      </c>
      <c r="AC268" s="13" t="str">
        <f>HYPERLINK(".\links\Sigp\AGAP012414-PA-SigP.txt","BL")</f>
        <v>BL</v>
      </c>
      <c r="AD268" s="2" t="s">
        <v>2957</v>
      </c>
      <c r="AE268" s="2">
        <v>70.456999999999994</v>
      </c>
      <c r="AF268" s="2">
        <v>8.08</v>
      </c>
      <c r="AG268" s="2">
        <v>67.003</v>
      </c>
      <c r="AH268" s="2">
        <v>6.76</v>
      </c>
      <c r="AI268" s="2" t="s">
        <v>2958</v>
      </c>
      <c r="AJ268" s="13" t="str">
        <f>HYPERLINK(".\links\tmhmm\AGAP012414-PA-tmhmm.txt","1")</f>
        <v>1</v>
      </c>
      <c r="AK268" s="2">
        <v>3.6</v>
      </c>
      <c r="AL268" s="2">
        <v>95.2</v>
      </c>
      <c r="AM268" s="2">
        <v>1.1000000000000001</v>
      </c>
      <c r="AN268" s="13" t="str">
        <f>HYPERLINK(".\links\gpi\AGAP012414-PA-gpi.txt","N")</f>
        <v>N</v>
      </c>
      <c r="AO268" s="14" t="str">
        <f>HYPERLINK(".\links\netoglyc\AGAP012414-PA-netoglyc.txt","1")</f>
        <v>1</v>
      </c>
      <c r="AP268" s="13">
        <v>8.9</v>
      </c>
      <c r="AQ268" s="2">
        <v>6.2</v>
      </c>
      <c r="AR268" s="2">
        <v>5.6</v>
      </c>
      <c r="AS268" s="2">
        <v>0.5</v>
      </c>
      <c r="AT268" s="9" t="str">
        <f>HYPERLINK(".\links\NR-LIGHT\AGAP012414-PA-NR-LIGHT.txt","AGAP012414-PA, partial")</f>
        <v>AGAP012414-PA, partial</v>
      </c>
      <c r="AU268" s="2" t="str">
        <f>HYPERLINK("http://www.ncbi.nlm.nih.gov/sutils/blink.cgi?pid=XP_320141.4","0.0")</f>
        <v>0.0</v>
      </c>
      <c r="AV268" s="2" t="str">
        <f>HYPERLINK("http://www.ncbi.nlm.nih.gov/protein/XP_320141.4","XP_320141.4")</f>
        <v>XP_320141.4</v>
      </c>
      <c r="AW268" s="2">
        <v>100</v>
      </c>
      <c r="AX268" s="2">
        <v>100</v>
      </c>
      <c r="AY268" s="2">
        <v>100</v>
      </c>
      <c r="AZ268" s="2" t="s">
        <v>105</v>
      </c>
      <c r="BA268" s="9" t="str">
        <f>HYPERLINK(".\links\REFSEQ-INVERTEBRATE\AGAP012414-PA-REFSEQ-INVERTEBRATE.txt","AGAP012414-PA, partial")</f>
        <v>AGAP012414-PA, partial</v>
      </c>
      <c r="BB268" s="2" t="str">
        <f>HYPERLINK("http://www.ncbi.nlm.nih.gov/sutils/blink.cgi?pid=XP_320141.4","0.0")</f>
        <v>0.0</v>
      </c>
      <c r="BC268" s="2" t="str">
        <f>HYPERLINK("http://www.ncbi.nlm.nih.gov/protein/XP_320141.4","XP_320141.4")</f>
        <v>XP_320141.4</v>
      </c>
      <c r="BD268" s="2">
        <v>100</v>
      </c>
      <c r="BE268" s="2">
        <v>100</v>
      </c>
      <c r="BF268" s="2">
        <v>100</v>
      </c>
      <c r="BG268" s="2" t="s">
        <v>105</v>
      </c>
      <c r="BH268" s="9" t="str">
        <f>HYPERLINK(".\links\REFSEQ-PROTOZOA\AGAP012414-PA-REFSEQ-PROTOZOA.txt","hypothetical protein PTSG_02538")</f>
        <v>hypothetical protein PTSG_02538</v>
      </c>
      <c r="BI268" s="2" t="str">
        <f>HYPERLINK("http://www.ncbi.nlm.nih.gov/sutils/blink.cgi?pid=XP_004997028.1","1E-104")</f>
        <v>1E-104</v>
      </c>
      <c r="BJ268" s="2" t="str">
        <f>HYPERLINK("http://www.ncbi.nlm.nih.gov/protein/XP_004997028.1","XP_004997028.1")</f>
        <v>XP_004997028.1</v>
      </c>
      <c r="BK268" s="2">
        <v>42</v>
      </c>
      <c r="BL268" s="2">
        <v>59</v>
      </c>
      <c r="BM268" s="2">
        <v>86</v>
      </c>
      <c r="BN268" s="2" t="s">
        <v>435</v>
      </c>
      <c r="BO268" s="9" t="str">
        <f>HYPERLINK(".\links\SWISSP\AGAP012414-PA-SWISSP.txt","N-acetylgalactosaminyltransferase 6")</f>
        <v>N-acetylgalactosaminyltransferase 6</v>
      </c>
      <c r="BP268" s="2" t="str">
        <f>HYPERLINK("http://www.uniprot.org/uniprot/Q6WV16","0.0")</f>
        <v>0.0</v>
      </c>
      <c r="BQ268" s="2" t="str">
        <f>HYPERLINK("http://www.uniprot.org/uniprot/Q6WV16#expression","Q6WV16")</f>
        <v>Q6WV16</v>
      </c>
      <c r="BR268" s="2">
        <v>59</v>
      </c>
      <c r="BS268" s="2">
        <v>76</v>
      </c>
      <c r="BT268" s="2">
        <v>80</v>
      </c>
      <c r="BU268" s="2" t="s">
        <v>107</v>
      </c>
      <c r="BV268" s="9" t="str">
        <f>HYPERLINK(".\links\FLYBASE\AGAP012414-PA-FLYBASE.txt","FBpp0305633")</f>
        <v>FBpp0305633</v>
      </c>
      <c r="BW268" s="2" t="str">
        <f>HYPERLINK("http://flybase.org/reports/FBgn0035375#alliance_summary_container","0.0")</f>
        <v>0.0</v>
      </c>
      <c r="BX268" s="2">
        <v>666</v>
      </c>
      <c r="BY268" s="2">
        <v>59</v>
      </c>
      <c r="BZ268" s="2">
        <v>76</v>
      </c>
      <c r="CA268" s="2">
        <v>80</v>
      </c>
      <c r="CB268" s="9" t="str">
        <f>HYPERLINK(".\links\CDD\AGAP012414-PA-CDD.txt","pp-GalNAc-T, pp-GalNAc-T initiates the formation of mucin-type O-linked glycans")</f>
        <v>pp-GalNAc-T, pp-GalNAc-T initiates the formation of mucin-type O-linked glycans</v>
      </c>
      <c r="CC268" s="15">
        <v>9.9999999999999995E-144</v>
      </c>
      <c r="CD268" s="2">
        <v>100.3</v>
      </c>
      <c r="CE268" s="2" t="s">
        <v>2959</v>
      </c>
      <c r="CF268" s="2" t="s">
        <v>2960</v>
      </c>
      <c r="CG268" s="9" t="str">
        <f>HYPERLINK(".\links\KOG\AGAP012414-PA-KOG.txt","Polypeptide N-acetylgalactosaminyltransferase")</f>
        <v>Polypeptide N-acetylgalactosaminyltransferase</v>
      </c>
      <c r="CH268" s="15">
        <v>0</v>
      </c>
      <c r="CI268" s="2">
        <v>90.3</v>
      </c>
      <c r="CJ268" s="2" t="s">
        <v>2961</v>
      </c>
      <c r="CK268" s="2" t="s">
        <v>111</v>
      </c>
      <c r="CL268" s="9" t="str">
        <f>HYPERLINK(".\links\PFAM\AGAP012414-PA-PFAM.txt","Glycos_transf_2, Glycosyl transferase family 2")</f>
        <v>Glycos_transf_2, Glycosyl transferase family 2</v>
      </c>
      <c r="CM268" s="15">
        <v>5.9999999999999996E-31</v>
      </c>
      <c r="CN268" s="2">
        <v>110.2</v>
      </c>
      <c r="CO268" s="2" t="s">
        <v>2962</v>
      </c>
      <c r="CP268" s="9" t="str">
        <f>HYPERLINK(".\links\SMART\AGAP012414-PA-SMART.txt","RICIN, Ricin-type beta-trefoil")</f>
        <v>RICIN, Ricin-type beta-trefoil</v>
      </c>
      <c r="CQ268" s="15">
        <v>2.9999999999999999E-16</v>
      </c>
      <c r="CR268" s="2">
        <v>106.8</v>
      </c>
      <c r="CS268" s="2" t="s">
        <v>2963</v>
      </c>
      <c r="CT268" s="2" t="s">
        <v>2955</v>
      </c>
      <c r="CU268" s="2" t="s">
        <v>2955</v>
      </c>
      <c r="CV268" s="2" t="s">
        <v>2955</v>
      </c>
      <c r="CW268" s="2" t="str">
        <f>HYPERLINK(".\links\pep\AGAP012414-PA-pep.txt","AGAP012414-PA")</f>
        <v>AGAP012414-PA</v>
      </c>
      <c r="CX268" s="2" t="s">
        <v>95</v>
      </c>
      <c r="CY268" s="2">
        <v>609</v>
      </c>
      <c r="CZ268" s="2" t="s">
        <v>113</v>
      </c>
      <c r="DA268" s="2" t="s">
        <v>2964</v>
      </c>
      <c r="DB268" s="2">
        <v>0</v>
      </c>
      <c r="DC268" s="2">
        <v>0</v>
      </c>
      <c r="DD268" s="2" t="str">
        <f>HYPERLINK("https://www.kegg.jp/kegg-bin/search_pathway_text?map=aga&amp;keyword=AGAP012414&amp;mode=1&amp;viewImage=true","AGAP012414")</f>
        <v>AGAP012414</v>
      </c>
      <c r="DE268" s="2" t="s">
        <v>2951</v>
      </c>
      <c r="DF268" s="2" t="s">
        <v>2952</v>
      </c>
      <c r="DG268" s="2" t="s">
        <v>94</v>
      </c>
      <c r="DH268" s="2" t="str">
        <f>HYPERLINK("https://vectorbase.org/vectorbase/app/record/gene/AGAP012414","AGAP012414-RA")</f>
        <v>AGAP012414-RA</v>
      </c>
      <c r="DI268" s="2" t="s">
        <v>115</v>
      </c>
      <c r="DJ268" s="2">
        <v>2396</v>
      </c>
      <c r="DK268" s="2" t="str">
        <f>HYPERLINK(".\links\netoglyc\AGAP012414-PA-netoglyc.txt","1")</f>
        <v>1</v>
      </c>
      <c r="DL268" s="2">
        <v>8.9</v>
      </c>
      <c r="DM268" s="2">
        <v>6.2</v>
      </c>
      <c r="DN268" s="2">
        <v>5.6</v>
      </c>
      <c r="DO268" s="2">
        <v>0.5</v>
      </c>
      <c r="DP268" s="2" t="s">
        <v>102</v>
      </c>
      <c r="DQ268" s="2" t="str">
        <f>HYPERLINK(".\links\Sigp\AGAP012414-PA-SigP.txt","BL")</f>
        <v>BL</v>
      </c>
      <c r="DR268" s="2" t="s">
        <v>2957</v>
      </c>
      <c r="DS268" s="2">
        <v>70.456999999999994</v>
      </c>
      <c r="DT268" s="2">
        <v>8.08</v>
      </c>
      <c r="DU268" s="2">
        <v>67.003</v>
      </c>
      <c r="DV268" s="2">
        <v>6.76</v>
      </c>
      <c r="DW268" s="2" t="s">
        <v>2958</v>
      </c>
      <c r="DX268" s="2">
        <v>609</v>
      </c>
      <c r="DY268" s="12" t="str">
        <f>HYPERLINK(".\links\tmhmm\AGAP012414-PA-tmhmm.txt","1")</f>
        <v>1</v>
      </c>
      <c r="DZ268" s="2">
        <v>3.6</v>
      </c>
      <c r="EA268" s="2">
        <v>95.2</v>
      </c>
      <c r="EB268" s="2">
        <v>1.1000000000000001</v>
      </c>
      <c r="EC268" s="2" t="str">
        <f>HYPERLINK(".\links\gpi\AGAP012414-PA-gpi.txt","Y-NoSP")</f>
        <v>Y-NoSP</v>
      </c>
      <c r="ED268" s="2">
        <v>0.2</v>
      </c>
      <c r="EF268" s="2">
        <v>13</v>
      </c>
      <c r="EG268" s="2" t="str">
        <f>HYPERLINK(".\links\pep\AGAP012414-PA-sulf.txt","4")</f>
        <v>4</v>
      </c>
      <c r="EH268" s="2" t="s">
        <v>102</v>
      </c>
      <c r="EI268" s="2">
        <v>8.8669950738916299</v>
      </c>
      <c r="EJ268" s="2">
        <v>5.5829228243021296</v>
      </c>
      <c r="EK268" s="2">
        <v>6.2397372742200297</v>
      </c>
      <c r="EL268" s="2">
        <v>11.822660098522199</v>
      </c>
      <c r="EM268" s="2" t="s">
        <v>102</v>
      </c>
      <c r="EN268" s="2" t="s">
        <v>102</v>
      </c>
      <c r="EO268" s="2" t="s">
        <v>102</v>
      </c>
      <c r="EP268" s="2" t="s">
        <v>102</v>
      </c>
      <c r="EQ268" s="2" t="s">
        <v>102</v>
      </c>
      <c r="ER268" s="2" t="s">
        <v>102</v>
      </c>
      <c r="ES268" s="2" t="s">
        <v>102</v>
      </c>
      <c r="ET268" s="2" t="str">
        <f>HYPERLINK(".\links\REFSEQ-INVERTEBRATE\AGAP012414-PA-REFSEQ-INVERTEBRATE.txt","AGAP012414-PA, partial")</f>
        <v>AGAP012414-PA, partial</v>
      </c>
      <c r="EU268" s="2" t="str">
        <f>HYPERLINK("http://www.ncbi.nlm.nih.gov/sutils/blink.cgi?pid=XP_320141.4","0.0")</f>
        <v>0.0</v>
      </c>
      <c r="EV268" s="2" t="str">
        <f>HYPERLINK("http://www.ncbi.nlm.nih.gov/protein/XP_320141.4","XP_320141.4")</f>
        <v>XP_320141.4</v>
      </c>
      <c r="EW268" s="2">
        <v>100</v>
      </c>
      <c r="EX268" s="2">
        <v>100</v>
      </c>
      <c r="EY268" s="2">
        <v>100</v>
      </c>
      <c r="EZ268" s="2" t="s">
        <v>105</v>
      </c>
    </row>
    <row r="269" spans="1:156" x14ac:dyDescent="0.25">
      <c r="A269" s="2" t="s">
        <v>2965</v>
      </c>
      <c r="B269" s="2">
        <v>0.27514313235301902</v>
      </c>
      <c r="C269" s="2">
        <f t="shared" si="4"/>
        <v>1.2101141408502434</v>
      </c>
      <c r="D269" s="2">
        <v>7.4832142946704696</v>
      </c>
      <c r="E269" s="2">
        <v>11.3400724540368</v>
      </c>
      <c r="F269" s="2">
        <v>7.5852364582036701E-4</v>
      </c>
      <c r="G269" s="2">
        <v>2.9655933300736001E-2</v>
      </c>
      <c r="H269" s="2" t="s">
        <v>93</v>
      </c>
      <c r="I269" s="2" t="s">
        <v>94</v>
      </c>
      <c r="J269" s="2" t="str">
        <f>HYPERLINK("https://vectorbase.org/vectorbase/app/record/gene/AGAP004588","AGAP004588-RA")</f>
        <v>AGAP004588-RA</v>
      </c>
      <c r="K269" s="2" t="str">
        <f>HYPERLINK(".\links\pep\AGAP004588-PA-pep.txt","AGAP004588-PA")</f>
        <v>AGAP004588-PA</v>
      </c>
      <c r="L269" s="12" t="s">
        <v>95</v>
      </c>
      <c r="M269" s="2">
        <v>665</v>
      </c>
      <c r="N269" s="2">
        <v>0</v>
      </c>
      <c r="O269" s="2">
        <v>5</v>
      </c>
      <c r="P269" s="2" t="s">
        <v>102</v>
      </c>
      <c r="Q269" s="9" t="s">
        <v>2966</v>
      </c>
      <c r="R269" s="2" t="s">
        <v>196</v>
      </c>
      <c r="S269" s="2" t="str">
        <f>HYPERLINK(".\links\KOG\AGAP004588-PA-KOG.txt","KOG")</f>
        <v>KOG</v>
      </c>
      <c r="T269" s="2">
        <v>0</v>
      </c>
      <c r="U269" s="2">
        <v>84.3</v>
      </c>
      <c r="V269" s="2" t="s">
        <v>2967</v>
      </c>
      <c r="W269" s="10" t="s">
        <v>2968</v>
      </c>
      <c r="X269" s="2" t="s">
        <v>345</v>
      </c>
      <c r="Y269" s="2" t="str">
        <f>HYPERLINK(".\links\UNIPROTKB\AGAP004588-PA-UNIPROTKB.txt","UNIPROTKB")</f>
        <v>UNIPROTKB</v>
      </c>
      <c r="Z269" s="15">
        <v>5.0000000000000002E-90</v>
      </c>
      <c r="AA269" s="2">
        <v>59.6</v>
      </c>
      <c r="AB269" s="13" t="str">
        <f>HYPERLINK(".\links\pep\AGAP004588-PA-sulf.txt","2")</f>
        <v>2</v>
      </c>
      <c r="AC269" s="13" t="str">
        <f>HYPERLINK(".\links\Sigp\AGAP004588-PA-SigP.txt","CYT")</f>
        <v>CYT</v>
      </c>
      <c r="AD269" s="2" t="s">
        <v>102</v>
      </c>
      <c r="AE269" s="2">
        <v>75.622</v>
      </c>
      <c r="AF269" s="2">
        <v>5.81</v>
      </c>
      <c r="AG269" s="2" t="s">
        <v>102</v>
      </c>
      <c r="AH269" s="2" t="s">
        <v>102</v>
      </c>
      <c r="AI269" s="2" t="s">
        <v>124</v>
      </c>
      <c r="AJ269" s="13">
        <v>0</v>
      </c>
      <c r="AK269" s="2" t="s">
        <v>102</v>
      </c>
      <c r="AL269" s="2" t="s">
        <v>102</v>
      </c>
      <c r="AM269" s="2" t="s">
        <v>102</v>
      </c>
      <c r="AN269" s="13" t="str">
        <f>HYPERLINK(".\links\gpi\AGAP004588-PA-gpi.txt","N")</f>
        <v>N</v>
      </c>
      <c r="AO269" s="14" t="str">
        <f>HYPERLINK(".\links\netoglyc\AGAP004588-PA-netoglyc.txt","2")</f>
        <v>2</v>
      </c>
      <c r="AP269" s="13">
        <v>12.5</v>
      </c>
      <c r="AQ269" s="2">
        <v>5.4</v>
      </c>
      <c r="AR269" s="2">
        <v>5.7</v>
      </c>
      <c r="AS269" s="2" t="s">
        <v>104</v>
      </c>
      <c r="AT269" s="9" t="str">
        <f>HYPERLINK(".\links\NR-LIGHT\AGAP004588-PA-NR-LIGHT.txt","AGAP004588-PA")</f>
        <v>AGAP004588-PA</v>
      </c>
      <c r="AU269" s="2" t="str">
        <f>HYPERLINK("http://www.ncbi.nlm.nih.gov/sutils/blink.cgi?pid=XP_315239.4","0.0")</f>
        <v>0.0</v>
      </c>
      <c r="AV269" s="2" t="str">
        <f>HYPERLINK("http://www.ncbi.nlm.nih.gov/protein/XP_315239.4","XP_315239.4")</f>
        <v>XP_315239.4</v>
      </c>
      <c r="AW269" s="2">
        <v>100</v>
      </c>
      <c r="AX269" s="2">
        <v>100</v>
      </c>
      <c r="AY269" s="2">
        <v>100</v>
      </c>
      <c r="AZ269" s="2" t="s">
        <v>105</v>
      </c>
      <c r="BA269" s="9" t="str">
        <f>HYPERLINK(".\links\REFSEQ-INVERTEBRATE\AGAP004588-PA-REFSEQ-INVERTEBRATE.txt","AGAP004588-PA")</f>
        <v>AGAP004588-PA</v>
      </c>
      <c r="BB269" s="2" t="str">
        <f>HYPERLINK("http://www.ncbi.nlm.nih.gov/sutils/blink.cgi?pid=XP_315239.4","0.0")</f>
        <v>0.0</v>
      </c>
      <c r="BC269" s="2" t="str">
        <f>HYPERLINK("http://www.ncbi.nlm.nih.gov/protein/XP_315239.4","XP_315239.4")</f>
        <v>XP_315239.4</v>
      </c>
      <c r="BD269" s="2">
        <v>100</v>
      </c>
      <c r="BE269" s="2">
        <v>100</v>
      </c>
      <c r="BF269" s="2">
        <v>100</v>
      </c>
      <c r="BG269" s="2" t="s">
        <v>105</v>
      </c>
      <c r="BH269" s="9" t="str">
        <f>HYPERLINK(".\links\REFSEQ-PROTOZOA\AGAP004588-PA-REFSEQ-PROTOZOA.txt","hypothetical protein PTSG_01162")</f>
        <v>hypothetical protein PTSG_01162</v>
      </c>
      <c r="BI269" s="2" t="str">
        <f>HYPERLINK("http://www.ncbi.nlm.nih.gov/sutils/blink.cgi?pid=XP_004997131.1","2E-052")</f>
        <v>2E-052</v>
      </c>
      <c r="BJ269" s="2" t="str">
        <f>HYPERLINK("http://www.ncbi.nlm.nih.gov/protein/XP_004997131.1","XP_004997131.1")</f>
        <v>XP_004997131.1</v>
      </c>
      <c r="BK269" s="2">
        <v>29</v>
      </c>
      <c r="BL269" s="2">
        <v>46</v>
      </c>
      <c r="BM269" s="2">
        <v>97</v>
      </c>
      <c r="BN269" s="2" t="s">
        <v>435</v>
      </c>
      <c r="BO269" s="9" t="str">
        <f>HYPERLINK(".\links\SWISSP\AGAP004588-PA-SWISSP.txt","Kanadaptin")</f>
        <v>Kanadaptin</v>
      </c>
      <c r="BP269" s="2" t="str">
        <f>HYPERLINK("http://www.uniprot.org/uniprot/Q9BWU0","3E-093")</f>
        <v>3E-093</v>
      </c>
      <c r="BQ269" s="2" t="str">
        <f>HYPERLINK("http://www.uniprot.org/uniprot/Q9BWU0#expression","Q9BWU0")</f>
        <v>Q9BWU0</v>
      </c>
      <c r="BR269" s="2">
        <v>33</v>
      </c>
      <c r="BS269" s="2">
        <v>52</v>
      </c>
      <c r="BT269" s="2">
        <v>83</v>
      </c>
      <c r="BU269" s="2" t="s">
        <v>127</v>
      </c>
      <c r="BV269" s="9" t="str">
        <f>HYPERLINK(".\links\FLYBASE\AGAP004588-PA-FLYBASE.txt","FBpp0083082")</f>
        <v>FBpp0083082</v>
      </c>
      <c r="BW269" s="2" t="str">
        <f>HYPERLINK("http://flybase.org/reports/FBgn0038640#alliance_summary_container","1E-151")</f>
        <v>1E-151</v>
      </c>
      <c r="BX269" s="2">
        <v>726</v>
      </c>
      <c r="BY269" s="2">
        <v>40</v>
      </c>
      <c r="BZ269" s="2">
        <v>58</v>
      </c>
      <c r="CA269" s="2">
        <v>95</v>
      </c>
      <c r="CB269" s="9" t="str">
        <f>HYPERLINK(".\links\CDD\AGAP004588-PA-CDD.txt","FHA, Forkhead associated domain (FHA)")</f>
        <v>FHA, Forkhead associated domain (FHA)</v>
      </c>
      <c r="CC269" s="15">
        <v>2.9999999999999999E-16</v>
      </c>
      <c r="CD269" s="2">
        <v>114.7</v>
      </c>
      <c r="CE269" s="2" t="s">
        <v>2969</v>
      </c>
      <c r="CF269" s="2" t="s">
        <v>2970</v>
      </c>
      <c r="CG269" s="9" t="str">
        <f>HYPERLINK(".\links\KOG\AGAP004588-PA-KOG.txt","contains FHA domain")</f>
        <v>contains FHA domain</v>
      </c>
      <c r="CH269" s="15">
        <v>1.0000000000000001E-101</v>
      </c>
      <c r="CI269" s="2">
        <v>84.4</v>
      </c>
      <c r="CJ269" s="2" t="s">
        <v>2971</v>
      </c>
      <c r="CK269" s="2" t="s">
        <v>191</v>
      </c>
      <c r="CL269" s="9" t="str">
        <f>HYPERLINK(".\links\PFAM\AGAP004588-PA-PFAM.txt","FHA, FHA domain")</f>
        <v>FHA, FHA domain</v>
      </c>
      <c r="CM269" s="15">
        <v>8E-14</v>
      </c>
      <c r="CN269" s="2">
        <v>130.30000000000001</v>
      </c>
      <c r="CO269" s="2" t="s">
        <v>2972</v>
      </c>
      <c r="CP269" s="9" t="str">
        <f>HYPERLINK(".\links\SMART\AGAP004588-PA-SMART.txt","FHA, Forkhead associated domain")</f>
        <v>FHA, Forkhead associated domain</v>
      </c>
      <c r="CQ269" s="15">
        <v>4.0000000000000001E-10</v>
      </c>
      <c r="CR269" s="2">
        <v>136.5</v>
      </c>
      <c r="CS269" s="2" t="s">
        <v>2973</v>
      </c>
      <c r="CT269" s="2" t="s">
        <v>2967</v>
      </c>
      <c r="CU269" s="2" t="s">
        <v>2967</v>
      </c>
      <c r="CV269" s="2" t="s">
        <v>2967</v>
      </c>
      <c r="CW269" s="2" t="str">
        <f>HYPERLINK(".\links\pep\AGAP004588-PA-pep.txt","AGAP004588-PA")</f>
        <v>AGAP004588-PA</v>
      </c>
      <c r="CX269" s="2" t="s">
        <v>95</v>
      </c>
      <c r="CY269" s="2">
        <v>665</v>
      </c>
      <c r="CZ269" s="2" t="s">
        <v>113</v>
      </c>
      <c r="DA269" s="2" t="s">
        <v>2974</v>
      </c>
      <c r="DB269" s="2">
        <v>0</v>
      </c>
      <c r="DC269" s="2">
        <v>5</v>
      </c>
      <c r="DD269" s="2" t="str">
        <f>HYPERLINK("https://www.kegg.jp/kegg-bin/search_pathway_text?map=aga&amp;keyword=AGAP004588&amp;mode=1&amp;viewImage=true","AGAP004588")</f>
        <v>AGAP004588</v>
      </c>
      <c r="DE269" s="2" t="s">
        <v>2965</v>
      </c>
      <c r="DF269" s="2" t="s">
        <v>93</v>
      </c>
      <c r="DG269" s="2" t="s">
        <v>94</v>
      </c>
      <c r="DH269" s="2" t="str">
        <f>HYPERLINK("https://vectorbase.org/vectorbase/app/record/gene/AGAP004588","AGAP004588-RA")</f>
        <v>AGAP004588-RA</v>
      </c>
      <c r="DI269" s="2" t="s">
        <v>115</v>
      </c>
      <c r="DJ269" s="2">
        <v>2265</v>
      </c>
      <c r="DK269" s="2" t="str">
        <f>HYPERLINK(".\links\netoglyc\AGAP004588-PA-netoglyc.txt","2")</f>
        <v>2</v>
      </c>
      <c r="DL269" s="2">
        <v>12.5</v>
      </c>
      <c r="DM269" s="2">
        <v>5.4</v>
      </c>
      <c r="DN269" s="2">
        <v>5.7</v>
      </c>
      <c r="DO269" s="2" t="s">
        <v>104</v>
      </c>
      <c r="DP269" s="2" t="s">
        <v>102</v>
      </c>
      <c r="DQ269" s="2" t="str">
        <f>HYPERLINK(".\links\Sigp\AGAP004588-PA-SigP.txt","CYT")</f>
        <v>CYT</v>
      </c>
      <c r="DR269" s="2" t="s">
        <v>102</v>
      </c>
      <c r="DS269" s="2">
        <v>75.622</v>
      </c>
      <c r="DT269" s="2">
        <v>5.81</v>
      </c>
      <c r="DU269" s="2" t="s">
        <v>102</v>
      </c>
      <c r="DV269" s="2" t="s">
        <v>102</v>
      </c>
      <c r="DW269" s="2" t="s">
        <v>124</v>
      </c>
      <c r="DX269" s="2">
        <v>665</v>
      </c>
      <c r="DY269" s="12">
        <v>0</v>
      </c>
      <c r="DZ269" s="2" t="s">
        <v>102</v>
      </c>
      <c r="EA269" s="2" t="s">
        <v>102</v>
      </c>
      <c r="EB269" s="2" t="s">
        <v>102</v>
      </c>
      <c r="EC269" s="2" t="str">
        <f>HYPERLINK(".\links\gpi\AGAP004588-PA-gpi.txt","N")</f>
        <v>N</v>
      </c>
      <c r="ED269" s="2">
        <v>0.25</v>
      </c>
      <c r="EF269" s="2">
        <v>8</v>
      </c>
      <c r="EG269" s="2" t="str">
        <f>HYPERLINK(".\links\pep\AGAP004588-PA-sulf.txt","2")</f>
        <v>2</v>
      </c>
      <c r="EH269" s="2" t="s">
        <v>102</v>
      </c>
      <c r="EI269" s="2">
        <v>12.481203007518801</v>
      </c>
      <c r="EJ269" s="2">
        <v>5.71428571428571</v>
      </c>
      <c r="EK269" s="2">
        <v>5.4135338345864703</v>
      </c>
      <c r="EL269" s="2">
        <v>11.1278195488722</v>
      </c>
      <c r="EM269" s="2" t="s">
        <v>102</v>
      </c>
      <c r="EN269" s="2">
        <v>1</v>
      </c>
      <c r="EO269" s="2">
        <v>2</v>
      </c>
      <c r="EP269" s="2" t="s">
        <v>102</v>
      </c>
      <c r="EQ269" s="2" t="s">
        <v>102</v>
      </c>
      <c r="ER269" s="2" t="s">
        <v>102</v>
      </c>
      <c r="ES269" s="2" t="s">
        <v>102</v>
      </c>
      <c r="ET269" s="2" t="str">
        <f>HYPERLINK(".\links\REFSEQ-INVERTEBRATE\AGAP004588-PA-REFSEQ-INVERTEBRATE.txt","AGAP004588-PA")</f>
        <v>AGAP004588-PA</v>
      </c>
      <c r="EU269" s="2" t="str">
        <f>HYPERLINK("http://www.ncbi.nlm.nih.gov/sutils/blink.cgi?pid=XP_315239.4","0.0")</f>
        <v>0.0</v>
      </c>
      <c r="EV269" s="2" t="str">
        <f>HYPERLINK("http://www.ncbi.nlm.nih.gov/protein/XP_315239.4","XP_315239.4")</f>
        <v>XP_315239.4</v>
      </c>
      <c r="EW269" s="2">
        <v>100</v>
      </c>
      <c r="EX269" s="2">
        <v>100</v>
      </c>
      <c r="EY269" s="2">
        <v>100</v>
      </c>
      <c r="EZ269" s="2" t="s">
        <v>105</v>
      </c>
    </row>
    <row r="270" spans="1:156" x14ac:dyDescent="0.25">
      <c r="A270" s="2" t="s">
        <v>2975</v>
      </c>
      <c r="B270" s="2">
        <v>0.27443452328356299</v>
      </c>
      <c r="C270" s="2">
        <f t="shared" si="4"/>
        <v>1.209519914574636</v>
      </c>
      <c r="D270" s="2">
        <v>5.4504077472192201</v>
      </c>
      <c r="E270" s="2">
        <v>9.9786029056486694</v>
      </c>
      <c r="F270" s="2">
        <v>1.5836980244013301E-3</v>
      </c>
      <c r="G270" s="2">
        <v>3.9012040862794299E-2</v>
      </c>
      <c r="H270" s="2" t="s">
        <v>2976</v>
      </c>
      <c r="I270" s="2" t="s">
        <v>102</v>
      </c>
      <c r="J270" s="2" t="str">
        <f>HYPERLINK("https://vectorbase.org/vectorbase/app/record/gene/AGAP001310","AGAP001310-RA")</f>
        <v>AGAP001310-RA</v>
      </c>
      <c r="K270" s="2" t="str">
        <f>HYPERLINK(".\links\pep\AGAP001310-PA-pep.txt","AGAP001310-PA")</f>
        <v>AGAP001310-PA</v>
      </c>
      <c r="L270" s="12" t="s">
        <v>95</v>
      </c>
      <c r="M270" s="2">
        <v>286</v>
      </c>
      <c r="N270" s="2">
        <v>0</v>
      </c>
      <c r="O270" s="2">
        <v>0</v>
      </c>
      <c r="P270" s="2" t="s">
        <v>2977</v>
      </c>
      <c r="Q270" s="9" t="s">
        <v>2978</v>
      </c>
      <c r="R270" s="2" t="s">
        <v>2125</v>
      </c>
      <c r="S270" s="2" t="str">
        <f>HYPERLINK(".\links\KOG\AGAP001310-PA-KOG.txt","KOG")</f>
        <v>KOG</v>
      </c>
      <c r="T270" s="2">
        <v>4.0000000000000001E-59</v>
      </c>
      <c r="U270" s="2">
        <v>99</v>
      </c>
      <c r="V270" s="2" t="s">
        <v>2979</v>
      </c>
      <c r="W270" s="10" t="s">
        <v>2980</v>
      </c>
      <c r="X270" s="2" t="s">
        <v>2981</v>
      </c>
      <c r="Y270" s="2" t="str">
        <f>HYPERLINK(".\links\ARTHORPODA\AGAP001310-PA-ARTHORPODA.txt","ARTHORPODA")</f>
        <v>ARTHORPODA</v>
      </c>
      <c r="Z270" s="2">
        <v>0</v>
      </c>
      <c r="AA270" s="2">
        <v>100</v>
      </c>
      <c r="AB270" s="13" t="str">
        <f>HYPERLINK(".\links\pep\AGAP001310-PA-sulf.txt","1")</f>
        <v>1</v>
      </c>
      <c r="AC270" s="13" t="str">
        <f>HYPERLINK(".\links\Sigp\AGAP001310-PA-SigP.txt","SIG")</f>
        <v>SIG</v>
      </c>
      <c r="AD270" s="2" t="s">
        <v>2268</v>
      </c>
      <c r="AE270" s="2">
        <v>32.915999999999997</v>
      </c>
      <c r="AF270" s="2">
        <v>6.41</v>
      </c>
      <c r="AG270" s="2">
        <v>29.515999999999998</v>
      </c>
      <c r="AH270" s="2">
        <v>6.63</v>
      </c>
      <c r="AI270" s="2" t="s">
        <v>2982</v>
      </c>
      <c r="AJ270" s="13" t="str">
        <f>HYPERLINK(".\links\tmhmm\AGAP001310-PA-tmhmm.txt","6")</f>
        <v>6</v>
      </c>
      <c r="AK270" s="2">
        <v>46.2</v>
      </c>
      <c r="AL270" s="2">
        <v>28</v>
      </c>
      <c r="AM270" s="2">
        <v>25.9</v>
      </c>
      <c r="AN270" s="13" t="str">
        <f>HYPERLINK(".\links\gpi\AGAP001310-PA-gpi.txt","N")</f>
        <v>N</v>
      </c>
      <c r="AO270" s="14" t="str">
        <f>HYPERLINK(".\links\netoglyc\AGAP001310-PA-netoglyc.txt","0")</f>
        <v>0</v>
      </c>
      <c r="AP270" s="13">
        <v>10.8</v>
      </c>
      <c r="AQ270" s="2">
        <v>6.6</v>
      </c>
      <c r="AR270" s="2">
        <v>3.1</v>
      </c>
      <c r="AS270" s="2" t="s">
        <v>104</v>
      </c>
      <c r="AT270" s="9" t="str">
        <f>HYPERLINK(".\links\NR-LIGHT\AGAP001310-PA-NR-LIGHT.txt","AGAP001310-PA")</f>
        <v>AGAP001310-PA</v>
      </c>
      <c r="AU270" s="2" t="str">
        <f>HYPERLINK("http://www.ncbi.nlm.nih.gov/sutils/blink.cgi?pid=XP_321837.3","1E-166")</f>
        <v>1E-166</v>
      </c>
      <c r="AV270" s="2" t="str">
        <f>HYPERLINK("http://www.ncbi.nlm.nih.gov/protein/XP_321837.3","XP_321837.3")</f>
        <v>XP_321837.3</v>
      </c>
      <c r="AW270" s="2">
        <v>100</v>
      </c>
      <c r="AX270" s="2">
        <v>100</v>
      </c>
      <c r="AY270" s="2">
        <v>100</v>
      </c>
      <c r="AZ270" s="2" t="s">
        <v>105</v>
      </c>
      <c r="BA270" s="9" t="str">
        <f>HYPERLINK(".\links\REFSEQ-INVERTEBRATE\AGAP001310-PA-REFSEQ-INVERTEBRATE.txt","AGAP001310-PA")</f>
        <v>AGAP001310-PA</v>
      </c>
      <c r="BB270" s="2" t="str">
        <f>HYPERLINK("http://www.ncbi.nlm.nih.gov/sutils/blink.cgi?pid=XP_321837.3","1E-166")</f>
        <v>1E-166</v>
      </c>
      <c r="BC270" s="2" t="str">
        <f>HYPERLINK("http://www.ncbi.nlm.nih.gov/protein/XP_321837.3","XP_321837.3")</f>
        <v>XP_321837.3</v>
      </c>
      <c r="BD270" s="2">
        <v>100</v>
      </c>
      <c r="BE270" s="2">
        <v>100</v>
      </c>
      <c r="BF270" s="2">
        <v>100</v>
      </c>
      <c r="BG270" s="2" t="s">
        <v>105</v>
      </c>
      <c r="BH270" s="9" t="str">
        <f>HYPERLINK(".\links\REFSEQ-PROTOZOA\AGAP001310-PA-REFSEQ-PROTOZOA.txt","protein-S-isoprenylcysteine O-methyltransferase")</f>
        <v>protein-S-isoprenylcysteine O-methyltransferase</v>
      </c>
      <c r="BI270" s="2" t="str">
        <f>HYPERLINK("http://www.ncbi.nlm.nih.gov/sutils/blink.cgi?pid=XP_004342712.1","1E-051")</f>
        <v>1E-051</v>
      </c>
      <c r="BJ270" s="2" t="str">
        <f>HYPERLINK("http://www.ncbi.nlm.nih.gov/protein/XP_004342712.1","XP_004342712.1")</f>
        <v>XP_004342712.1</v>
      </c>
      <c r="BK270" s="2">
        <v>45</v>
      </c>
      <c r="BL270" s="2">
        <v>67</v>
      </c>
      <c r="BM270" s="2">
        <v>94</v>
      </c>
      <c r="BN270" s="2" t="s">
        <v>106</v>
      </c>
      <c r="BO270" s="9" t="str">
        <f>HYPERLINK(".\links\SWISSP\AGAP001310-PA-SWISSP.txt","Protein-S-isoprenylcysteine O-methyltransferase")</f>
        <v>Protein-S-isoprenylcysteine O-methyltransferase</v>
      </c>
      <c r="BP270" s="2" t="str">
        <f>HYPERLINK("http://www.uniprot.org/uniprot/Q9EQK7","2E-074")</f>
        <v>2E-074</v>
      </c>
      <c r="BQ270" s="2" t="str">
        <f>HYPERLINK("http://www.uniprot.org/uniprot/Q9EQK7#expression","Q9EQK7")</f>
        <v>Q9EQK7</v>
      </c>
      <c r="BR270" s="2">
        <v>50</v>
      </c>
      <c r="BS270" s="2">
        <v>67</v>
      </c>
      <c r="BT270" s="2">
        <v>98</v>
      </c>
      <c r="BU270" s="2" t="s">
        <v>662</v>
      </c>
      <c r="BV270" s="9" t="str">
        <f>HYPERLINK(".\links\FLYBASE\AGAP001310-PA-FLYBASE.txt","FBpp0304385")</f>
        <v>FBpp0304385</v>
      </c>
      <c r="BW270" s="2" t="str">
        <f>HYPERLINK("http://flybase.org/reports/FBgn0036336#alliance_summary_container","1E-110")</f>
        <v>1E-110</v>
      </c>
      <c r="BX270" s="2">
        <v>299</v>
      </c>
      <c r="BY270" s="2">
        <v>52</v>
      </c>
      <c r="BZ270" s="2">
        <v>72</v>
      </c>
      <c r="CA270" s="2">
        <v>96</v>
      </c>
      <c r="CB270" s="9" t="str">
        <f>HYPERLINK(".\links\CDD\AGAP001310-PA-CDD.txt","ICMT, Isoprenylcysteine carboxyl methyltransferase (ICMT) family")</f>
        <v>ICMT, Isoprenylcysteine carboxyl methyltransferase (ICMT) family</v>
      </c>
      <c r="CC270" s="15">
        <v>4.0000000000000003E-18</v>
      </c>
      <c r="CD270" s="2">
        <v>100</v>
      </c>
      <c r="CE270" s="2" t="s">
        <v>2983</v>
      </c>
      <c r="CF270" s="2" t="s">
        <v>2984</v>
      </c>
      <c r="CG270" s="9" t="str">
        <f>HYPERLINK(".\links\KOG\AGAP001310-PA-KOG.txt","Farnesyl cysteine-carboxyl methyltransferase")</f>
        <v>Farnesyl cysteine-carboxyl methyltransferase</v>
      </c>
      <c r="CH270" s="15">
        <v>4.0000000000000001E-59</v>
      </c>
      <c r="CI270" s="2">
        <v>99.5</v>
      </c>
      <c r="CJ270" s="2" t="s">
        <v>2985</v>
      </c>
      <c r="CK270" s="2" t="s">
        <v>111</v>
      </c>
      <c r="CL270" s="9" t="str">
        <f>HYPERLINK(".\links\PFAM\AGAP001310-PA-PFAM.txt","ICMT, Isoprenylcysteine carboxyl methyltransferase (ICMT) family")</f>
        <v>ICMT, Isoprenylcysteine carboxyl methyltransferase (ICMT) family</v>
      </c>
      <c r="CM270" s="15">
        <v>7.9999999999999998E-19</v>
      </c>
      <c r="CN270" s="2">
        <v>100</v>
      </c>
      <c r="CO270" s="2" t="s">
        <v>2983</v>
      </c>
      <c r="CP270" s="9" t="str">
        <f>HYPERLINK(".\links\SMART\AGAP001310-PA-SMART.txt","IL4_13, Interleukins 4 and 13")</f>
        <v>IL4_13, Interleukins 4 and 13</v>
      </c>
      <c r="CQ270" s="15">
        <v>4.4000000000000004</v>
      </c>
      <c r="CR270" s="2">
        <v>10.9</v>
      </c>
      <c r="CS270" s="2" t="s">
        <v>2986</v>
      </c>
      <c r="CT270" s="2" t="s">
        <v>2979</v>
      </c>
      <c r="CU270" s="2" t="s">
        <v>2979</v>
      </c>
      <c r="CV270" s="2" t="s">
        <v>2979</v>
      </c>
      <c r="CW270" s="2" t="str">
        <f>HYPERLINK(".\links\pep\AGAP001310-PA-pep.txt","AGAP001310-PA")</f>
        <v>AGAP001310-PA</v>
      </c>
      <c r="CX270" s="2" t="s">
        <v>95</v>
      </c>
      <c r="CY270" s="2">
        <v>286</v>
      </c>
      <c r="CZ270" s="2" t="s">
        <v>113</v>
      </c>
      <c r="DA270" s="2">
        <v>0</v>
      </c>
      <c r="DB270" s="2">
        <v>0</v>
      </c>
      <c r="DD270" s="2" t="str">
        <f>HYPERLINK("https://www.kegg.jp/kegg-bin/search_pathway_text?map=aga&amp;keyword=AGAP001310&amp;mode=1&amp;viewImage=true","AGAP001310")</f>
        <v>AGAP001310</v>
      </c>
      <c r="DE270" s="2" t="s">
        <v>2975</v>
      </c>
      <c r="DF270" s="2" t="s">
        <v>2976</v>
      </c>
      <c r="DG270" s="2" t="s">
        <v>102</v>
      </c>
      <c r="DH270" s="2" t="str">
        <f>HYPERLINK("https://vectorbase.org/vectorbase/app/record/gene/AGAP001310","AGAP001310-RA")</f>
        <v>AGAP001310-RA</v>
      </c>
      <c r="DI270" s="2" t="s">
        <v>115</v>
      </c>
      <c r="DJ270" s="2">
        <v>1754</v>
      </c>
      <c r="DK270" s="2" t="str">
        <f>HYPERLINK(".\links\netoglyc\AGAP001310-PA-netoglyc.txt","0")</f>
        <v>0</v>
      </c>
      <c r="DL270" s="2">
        <v>10.8</v>
      </c>
      <c r="DM270" s="2">
        <v>6.6</v>
      </c>
      <c r="DN270" s="2">
        <v>3.1</v>
      </c>
      <c r="DO270" s="2" t="s">
        <v>104</v>
      </c>
      <c r="DP270" s="2" t="s">
        <v>102</v>
      </c>
      <c r="DQ270" s="2" t="str">
        <f>HYPERLINK(".\links\Sigp\AGAP001310-PA-SigP.txt","SIG")</f>
        <v>SIG</v>
      </c>
      <c r="DR270" s="2" t="s">
        <v>2268</v>
      </c>
      <c r="DS270" s="2">
        <v>32.915999999999997</v>
      </c>
      <c r="DT270" s="2">
        <v>6.41</v>
      </c>
      <c r="DU270" s="2">
        <v>29.515999999999998</v>
      </c>
      <c r="DV270" s="2">
        <v>6.63</v>
      </c>
      <c r="DW270" s="2" t="s">
        <v>2982</v>
      </c>
      <c r="DX270" s="2">
        <v>286</v>
      </c>
      <c r="DY270" s="12" t="str">
        <f>HYPERLINK(".\links\tmhmm\AGAP001310-PA-tmhmm.txt","6")</f>
        <v>6</v>
      </c>
      <c r="DZ270" s="2">
        <v>46.2</v>
      </c>
      <c r="EA270" s="2">
        <v>28</v>
      </c>
      <c r="EB270" s="2">
        <v>25.9</v>
      </c>
      <c r="EC270" s="2" t="str">
        <f>HYPERLINK(".\links\gpi\AGAP001310-PA-gpi.txt","N")</f>
        <v>N</v>
      </c>
      <c r="ED270" s="2">
        <v>0.37</v>
      </c>
      <c r="EF270" s="2">
        <v>5</v>
      </c>
      <c r="EG270" s="2" t="str">
        <f>HYPERLINK(".\links\pep\AGAP001310-PA-sulf.txt","1")</f>
        <v>1</v>
      </c>
      <c r="EH270" s="2" t="s">
        <v>102</v>
      </c>
      <c r="EI270" s="2">
        <v>10.839160839160799</v>
      </c>
      <c r="EJ270" s="2">
        <v>3.1468531468531502</v>
      </c>
      <c r="EK270" s="2">
        <v>6.6433566433566398</v>
      </c>
      <c r="EL270" s="2">
        <v>9.79020979020979</v>
      </c>
      <c r="EM270" s="2" t="s">
        <v>102</v>
      </c>
      <c r="EN270" s="2" t="s">
        <v>102</v>
      </c>
      <c r="EO270" s="2" t="s">
        <v>102</v>
      </c>
      <c r="EP270" s="2" t="s">
        <v>102</v>
      </c>
      <c r="EQ270" s="2" t="s">
        <v>102</v>
      </c>
      <c r="ER270" s="2" t="s">
        <v>102</v>
      </c>
      <c r="ES270" s="2" t="s">
        <v>102</v>
      </c>
      <c r="ET270" s="2" t="str">
        <f>HYPERLINK(".\links\REFSEQ-INVERTEBRATE\AGAP001310-PA-REFSEQ-INVERTEBRATE.txt","AGAP001310-PA")</f>
        <v>AGAP001310-PA</v>
      </c>
      <c r="EU270" s="2" t="str">
        <f>HYPERLINK("http://www.ncbi.nlm.nih.gov/sutils/blink.cgi?pid=XP_321837.3","0.0")</f>
        <v>0.0</v>
      </c>
      <c r="EV270" s="2" t="str">
        <f>HYPERLINK("http://www.ncbi.nlm.nih.gov/protein/XP_321837.3","XP_321837.3")</f>
        <v>XP_321837.3</v>
      </c>
      <c r="EW270" s="2">
        <v>100</v>
      </c>
      <c r="EX270" s="2">
        <v>100</v>
      </c>
      <c r="EY270" s="2">
        <v>100</v>
      </c>
      <c r="EZ270" s="2" t="s">
        <v>105</v>
      </c>
    </row>
    <row r="271" spans="1:156" x14ac:dyDescent="0.25">
      <c r="A271" s="2" t="s">
        <v>2987</v>
      </c>
      <c r="B271" s="2">
        <v>0.274380238858005</v>
      </c>
      <c r="C271" s="2">
        <f t="shared" si="4"/>
        <v>1.2094744047082704</v>
      </c>
      <c r="D271" s="2">
        <v>8.4663830199240806</v>
      </c>
      <c r="E271" s="2">
        <v>10.907503262615799</v>
      </c>
      <c r="F271" s="2">
        <v>9.5775525682546998E-4</v>
      </c>
      <c r="G271" s="2">
        <v>3.1567485137173897E-2</v>
      </c>
      <c r="H271" s="2" t="s">
        <v>2988</v>
      </c>
      <c r="I271" s="2" t="s">
        <v>94</v>
      </c>
      <c r="J271" s="2" t="str">
        <f>HYPERLINK("https://vectorbase.org/vectorbase/app/record/gene/AGAP004459","AGAP004459-RA")</f>
        <v>AGAP004459-RA</v>
      </c>
      <c r="K271" s="2" t="str">
        <f>HYPERLINK(".\links\pep\AGAP004459-PA-pep.txt","AGAP004459-PA")</f>
        <v>AGAP004459-PA</v>
      </c>
      <c r="L271" s="12" t="s">
        <v>95</v>
      </c>
      <c r="M271" s="2">
        <v>332</v>
      </c>
      <c r="N271" s="2">
        <v>0</v>
      </c>
      <c r="O271" s="2">
        <v>1</v>
      </c>
      <c r="P271" s="2" t="s">
        <v>2989</v>
      </c>
      <c r="Q271" s="9" t="s">
        <v>2990</v>
      </c>
      <c r="R271" s="2" t="s">
        <v>101</v>
      </c>
      <c r="S271" s="2" t="str">
        <f>HYPERLINK(".\links\KOG\AGAP004459-PA-KOG.txt","KOG")</f>
        <v>KOG</v>
      </c>
      <c r="T271" s="2">
        <v>4.9999999999999999E-96</v>
      </c>
      <c r="U271" s="2">
        <v>99</v>
      </c>
      <c r="V271" s="2" t="s">
        <v>2991</v>
      </c>
      <c r="W271" s="10" t="s">
        <v>2992</v>
      </c>
      <c r="X271" s="2" t="s">
        <v>822</v>
      </c>
      <c r="Y271" s="2" t="str">
        <f>HYPERLINK(".\links\UNIPROTKB\AGAP004459-PA-UNIPROTKB.txt","UNIPROTKB")</f>
        <v>UNIPROTKB</v>
      </c>
      <c r="Z271" s="15">
        <v>3.0000000000000001E-99</v>
      </c>
      <c r="AA271" s="2">
        <v>99.7</v>
      </c>
      <c r="AB271" s="13" t="s">
        <v>102</v>
      </c>
      <c r="AC271" s="13" t="str">
        <f>HYPERLINK(".\links\Sigp\AGAP004459-PA-SigP.txt","CYT")</f>
        <v>CYT</v>
      </c>
      <c r="AD271" s="2" t="s">
        <v>102</v>
      </c>
      <c r="AE271" s="2">
        <v>37.369999999999997</v>
      </c>
      <c r="AF271" s="2">
        <v>5.83</v>
      </c>
      <c r="AG271" s="2" t="s">
        <v>102</v>
      </c>
      <c r="AH271" s="2" t="s">
        <v>102</v>
      </c>
      <c r="AI271" s="2" t="s">
        <v>2993</v>
      </c>
      <c r="AJ271" s="13">
        <v>0</v>
      </c>
      <c r="AK271" s="2" t="s">
        <v>102</v>
      </c>
      <c r="AL271" s="2" t="s">
        <v>102</v>
      </c>
      <c r="AM271" s="2" t="s">
        <v>102</v>
      </c>
      <c r="AN271" s="13" t="str">
        <f>HYPERLINK(".\links\gpi\AGAP004459-PA-gpi.txt","N")</f>
        <v>N</v>
      </c>
      <c r="AO271" s="14" t="str">
        <f>HYPERLINK(".\links\netoglyc\AGAP004459-PA-netoglyc.txt","0")</f>
        <v>0</v>
      </c>
      <c r="AP271" s="13">
        <v>10.5</v>
      </c>
      <c r="AQ271" s="2">
        <v>4.8</v>
      </c>
      <c r="AR271" s="2">
        <v>4.5</v>
      </c>
      <c r="AS271" s="2" t="s">
        <v>104</v>
      </c>
      <c r="AT271" s="9" t="str">
        <f>HYPERLINK(".\links\NR-LIGHT\AGAP004459-PA-NR-LIGHT.txt","AGAP004459-PA")</f>
        <v>AGAP004459-PA</v>
      </c>
      <c r="AU271" s="2" t="str">
        <f>HYPERLINK("http://www.ncbi.nlm.nih.gov/sutils/blink.cgi?pid=XP_313754.3","0.0")</f>
        <v>0.0</v>
      </c>
      <c r="AV271" s="2" t="str">
        <f>HYPERLINK("http://www.ncbi.nlm.nih.gov/protein/XP_313754.3","XP_313754.3")</f>
        <v>XP_313754.3</v>
      </c>
      <c r="AW271" s="2">
        <v>100</v>
      </c>
      <c r="AX271" s="2">
        <v>100</v>
      </c>
      <c r="AY271" s="2">
        <v>100</v>
      </c>
      <c r="AZ271" s="2" t="s">
        <v>105</v>
      </c>
      <c r="BA271" s="9" t="str">
        <f>HYPERLINK(".\links\REFSEQ-INVERTEBRATE\AGAP004459-PA-REFSEQ-INVERTEBRATE.txt","AGAP004459-PA")</f>
        <v>AGAP004459-PA</v>
      </c>
      <c r="BB271" s="2" t="str">
        <f>HYPERLINK("http://www.ncbi.nlm.nih.gov/sutils/blink.cgi?pid=XP_313754.3","0.0")</f>
        <v>0.0</v>
      </c>
      <c r="BC271" s="2" t="str">
        <f>HYPERLINK("http://www.ncbi.nlm.nih.gov/protein/XP_313754.3","XP_313754.3")</f>
        <v>XP_313754.3</v>
      </c>
      <c r="BD271" s="2">
        <v>100</v>
      </c>
      <c r="BE271" s="2">
        <v>100</v>
      </c>
      <c r="BF271" s="2">
        <v>100</v>
      </c>
      <c r="BG271" s="2" t="s">
        <v>105</v>
      </c>
      <c r="BH271" s="9" t="str">
        <f>HYPERLINK(".\links\REFSEQ-PROTOZOA\AGAP004459-PA-REFSEQ-PROTOZOA.txt","aos protein")</f>
        <v>aos protein</v>
      </c>
      <c r="BI271" s="2" t="str">
        <f>HYPERLINK("http://www.ncbi.nlm.nih.gov/sutils/blink.cgi?pid=XP_004346370.2","3E-051")</f>
        <v>3E-051</v>
      </c>
      <c r="BJ271" s="2" t="str">
        <f>HYPERLINK("http://www.ncbi.nlm.nih.gov/protein/XP_004346370.2","XP_004346370.2")</f>
        <v>XP_004346370.2</v>
      </c>
      <c r="BK271" s="2">
        <v>39</v>
      </c>
      <c r="BL271" s="2">
        <v>54</v>
      </c>
      <c r="BM271" s="2">
        <v>99</v>
      </c>
      <c r="BN271" s="2" t="s">
        <v>106</v>
      </c>
      <c r="BO271" s="9" t="str">
        <f>HYPERLINK(".\links\SWISSP\AGAP004459-PA-SWISSP.txt","SUMO-activating enzyme subunit 1")</f>
        <v>SUMO-activating enzyme subunit 1</v>
      </c>
      <c r="BP271" s="2" t="str">
        <f>HYPERLINK("http://www.uniprot.org/uniprot/Q28DS0","2E-078")</f>
        <v>2E-078</v>
      </c>
      <c r="BQ271" s="2" t="str">
        <f>HYPERLINK("http://www.uniprot.org/uniprot/Q28DS0#expression","Q28DS0")</f>
        <v>Q28DS0</v>
      </c>
      <c r="BR271" s="2">
        <v>45</v>
      </c>
      <c r="BS271" s="2">
        <v>65</v>
      </c>
      <c r="BT271" s="2">
        <v>100</v>
      </c>
      <c r="BU271" s="2" t="s">
        <v>459</v>
      </c>
      <c r="BV271" s="9" t="str">
        <f>HYPERLINK(".\links\FLYBASE\AGAP004459-PA-FLYBASE.txt","FBpp0082065")</f>
        <v>FBpp0082065</v>
      </c>
      <c r="BW271" s="2" t="str">
        <f>HYPERLINK("http://flybase.org/reports/FBgn0029512#alliance_summary_container","1E-129")</f>
        <v>1E-129</v>
      </c>
      <c r="BX271" s="2">
        <v>337</v>
      </c>
      <c r="BY271" s="2">
        <v>56</v>
      </c>
      <c r="BZ271" s="2">
        <v>74</v>
      </c>
      <c r="CA271" s="2">
        <v>97</v>
      </c>
      <c r="CB271" s="9" t="str">
        <f>HYPERLINK(".\links\CDD\AGAP004459-PA-CDD.txt","Aos1_SUMO, Ubiquitin activating enzyme (E1) subunit Aos1")</f>
        <v>Aos1_SUMO, Ubiquitin activating enzyme (E1) subunit Aos1</v>
      </c>
      <c r="CC271" s="15">
        <v>8.9999999999999999E-63</v>
      </c>
      <c r="CD271" s="2">
        <v>78.2</v>
      </c>
      <c r="CE271" s="2" t="s">
        <v>2994</v>
      </c>
      <c r="CF271" s="2" t="s">
        <v>2995</v>
      </c>
      <c r="CG271" s="9" t="str">
        <f>HYPERLINK(".\links\KOG\AGAP004459-PA-KOG.txt","AOS1/RAD31 component")</f>
        <v>AOS1/RAD31 component</v>
      </c>
      <c r="CH271" s="15">
        <v>4.9999999999999999E-96</v>
      </c>
      <c r="CI271" s="2">
        <v>99.7</v>
      </c>
      <c r="CJ271" s="2" t="s">
        <v>2996</v>
      </c>
      <c r="CK271" s="2" t="s">
        <v>111</v>
      </c>
      <c r="CL271" s="9" t="str">
        <f>HYPERLINK(".\links\PFAM\AGAP004459-PA-PFAM.txt","ThiF, ThiF family")</f>
        <v>ThiF, ThiF family</v>
      </c>
      <c r="CM271" s="15">
        <v>1.0000000000000001E-30</v>
      </c>
      <c r="CN271" s="2">
        <v>74.099999999999994</v>
      </c>
      <c r="CO271" s="2" t="s">
        <v>2997</v>
      </c>
      <c r="CP271" s="9" t="str">
        <f>HYPERLINK(".\links\SMART\AGAP004459-PA-SMART.txt","TFIIE, Transcription initiation factor IIE")</f>
        <v>TFIIE, Transcription initiation factor IIE</v>
      </c>
      <c r="CQ271" s="15">
        <v>3.4</v>
      </c>
      <c r="CR271" s="2">
        <v>13.6</v>
      </c>
      <c r="CS271" s="2" t="s">
        <v>1933</v>
      </c>
      <c r="CT271" s="2" t="s">
        <v>2991</v>
      </c>
      <c r="CU271" s="2" t="s">
        <v>2991</v>
      </c>
      <c r="CV271" s="2" t="s">
        <v>2991</v>
      </c>
      <c r="CW271" s="2" t="str">
        <f>HYPERLINK(".\links\pep\AGAP004459-PA-pep.txt","AGAP004459-PA")</f>
        <v>AGAP004459-PA</v>
      </c>
      <c r="CX271" s="2" t="s">
        <v>95</v>
      </c>
      <c r="CY271" s="2">
        <v>332</v>
      </c>
      <c r="CZ271" s="2" t="s">
        <v>113</v>
      </c>
      <c r="DA271" s="2" t="s">
        <v>2998</v>
      </c>
      <c r="DB271" s="2">
        <v>0</v>
      </c>
      <c r="DC271" s="2">
        <v>1</v>
      </c>
      <c r="DD271" s="2" t="str">
        <f>HYPERLINK("https://www.kegg.jp/kegg-bin/search_pathway_text?map=aga&amp;keyword=AGAP004459&amp;mode=1&amp;viewImage=true","AGAP004459")</f>
        <v>AGAP004459</v>
      </c>
      <c r="DE271" s="2" t="s">
        <v>2987</v>
      </c>
      <c r="DF271" s="2" t="s">
        <v>2988</v>
      </c>
      <c r="DG271" s="2" t="s">
        <v>94</v>
      </c>
      <c r="DH271" s="2" t="str">
        <f>HYPERLINK("https://vectorbase.org/vectorbase/app/record/gene/AGAP004459","AGAP004459-RA")</f>
        <v>AGAP004459-RA</v>
      </c>
      <c r="DI271" s="2" t="s">
        <v>115</v>
      </c>
      <c r="DJ271" s="2">
        <v>1312</v>
      </c>
      <c r="DK271" s="2" t="str">
        <f>HYPERLINK(".\links\netoglyc\AGAP004459-PA-netoglyc.txt","0")</f>
        <v>0</v>
      </c>
      <c r="DL271" s="2">
        <v>10.5</v>
      </c>
      <c r="DM271" s="2">
        <v>4.8</v>
      </c>
      <c r="DN271" s="2">
        <v>4.5</v>
      </c>
      <c r="DO271" s="2" t="s">
        <v>104</v>
      </c>
      <c r="DP271" s="2" t="s">
        <v>2999</v>
      </c>
      <c r="DQ271" s="2" t="str">
        <f>HYPERLINK(".\links\Sigp\AGAP004459-PA-SigP.txt","CYT")</f>
        <v>CYT</v>
      </c>
      <c r="DR271" s="2" t="s">
        <v>102</v>
      </c>
      <c r="DS271" s="2">
        <v>37.369999999999997</v>
      </c>
      <c r="DT271" s="2">
        <v>5.83</v>
      </c>
      <c r="DU271" s="2" t="s">
        <v>102</v>
      </c>
      <c r="DV271" s="2" t="s">
        <v>102</v>
      </c>
      <c r="DW271" s="2" t="s">
        <v>2993</v>
      </c>
      <c r="DX271" s="2">
        <v>332</v>
      </c>
      <c r="DY271" s="12">
        <v>0</v>
      </c>
      <c r="DZ271" s="2" t="s">
        <v>102</v>
      </c>
      <c r="EA271" s="2" t="s">
        <v>102</v>
      </c>
      <c r="EB271" s="2" t="s">
        <v>102</v>
      </c>
      <c r="EC271" s="2" t="str">
        <f>HYPERLINK(".\links\gpi\AGAP004459-PA-gpi.txt","N")</f>
        <v>N</v>
      </c>
      <c r="ED271" s="2">
        <v>0.22</v>
      </c>
      <c r="EF271" s="2">
        <v>8</v>
      </c>
      <c r="EG271" s="2" t="s">
        <v>102</v>
      </c>
      <c r="EH271" s="2" t="s">
        <v>102</v>
      </c>
      <c r="EI271" s="2">
        <v>10.5421686746988</v>
      </c>
      <c r="EJ271" s="2">
        <v>4.5180722891566303</v>
      </c>
      <c r="EK271" s="2">
        <v>4.8192771084337398</v>
      </c>
      <c r="EL271" s="2">
        <v>9.3373493975903603</v>
      </c>
      <c r="EM271" s="2" t="s">
        <v>102</v>
      </c>
      <c r="EN271" s="2" t="s">
        <v>102</v>
      </c>
      <c r="EO271" s="2" t="s">
        <v>102</v>
      </c>
      <c r="EP271" s="2" t="s">
        <v>102</v>
      </c>
      <c r="EQ271" s="2" t="s">
        <v>102</v>
      </c>
      <c r="ER271" s="2" t="s">
        <v>102</v>
      </c>
      <c r="ES271" s="2" t="s">
        <v>102</v>
      </c>
      <c r="ET271" s="2" t="str">
        <f>HYPERLINK(".\links\REFSEQ-INVERTEBRATE\AGAP004459-PA-REFSEQ-INVERTEBRATE.txt","AGAP004459-PA")</f>
        <v>AGAP004459-PA</v>
      </c>
      <c r="EU271" s="2" t="str">
        <f>HYPERLINK("http://www.ncbi.nlm.nih.gov/sutils/blink.cgi?pid=XP_313754.3","0.0")</f>
        <v>0.0</v>
      </c>
      <c r="EV271" s="2" t="str">
        <f>HYPERLINK("http://www.ncbi.nlm.nih.gov/protein/XP_313754.3","XP_313754.3")</f>
        <v>XP_313754.3</v>
      </c>
      <c r="EW271" s="2">
        <v>100</v>
      </c>
      <c r="EX271" s="2">
        <v>100</v>
      </c>
      <c r="EY271" s="2">
        <v>100</v>
      </c>
      <c r="EZ271" s="2" t="s">
        <v>105</v>
      </c>
    </row>
    <row r="272" spans="1:156" x14ac:dyDescent="0.25">
      <c r="A272" s="2" t="s">
        <v>3000</v>
      </c>
      <c r="B272" s="2">
        <v>0.27173105577675999</v>
      </c>
      <c r="C272" s="2">
        <f t="shared" si="4"/>
        <v>1.2072555164337002</v>
      </c>
      <c r="D272" s="2">
        <v>6.6138648412675298</v>
      </c>
      <c r="E272" s="2">
        <v>11.382646117335501</v>
      </c>
      <c r="F272" s="2">
        <v>7.4133435532071996E-4</v>
      </c>
      <c r="G272" s="2">
        <v>2.94295511267493E-2</v>
      </c>
      <c r="H272" s="2" t="s">
        <v>3001</v>
      </c>
      <c r="I272" s="2" t="s">
        <v>94</v>
      </c>
      <c r="J272" s="2" t="str">
        <f>HYPERLINK("https://vectorbase.org/vectorbase/app/record/gene/AGAP001134","AGAP001134-RA")</f>
        <v>AGAP001134-RA</v>
      </c>
      <c r="K272" s="2" t="str">
        <f>HYPERLINK(".\links\pep\AGAP001134-PA-pep.txt","AGAP001134-PA")</f>
        <v>AGAP001134-PA</v>
      </c>
      <c r="L272" s="12" t="s">
        <v>95</v>
      </c>
      <c r="M272" s="2">
        <v>573</v>
      </c>
      <c r="N272" s="2">
        <v>0</v>
      </c>
      <c r="O272" s="2">
        <v>4</v>
      </c>
      <c r="P272" s="2" t="s">
        <v>3002</v>
      </c>
      <c r="Q272" s="9" t="s">
        <v>3003</v>
      </c>
      <c r="R272" s="2" t="s">
        <v>447</v>
      </c>
      <c r="S272" s="2" t="str">
        <f>HYPERLINK(".\links\CDD\AGAP001134-PA-CDD.txt","CDD")</f>
        <v>CDD</v>
      </c>
      <c r="T272" s="2">
        <v>0</v>
      </c>
      <c r="U272" s="2">
        <v>101.8</v>
      </c>
      <c r="V272" s="2" t="s">
        <v>3004</v>
      </c>
      <c r="W272" s="10" t="s">
        <v>3005</v>
      </c>
      <c r="X272" s="2" t="s">
        <v>672</v>
      </c>
      <c r="Y272" s="2" t="str">
        <f>HYPERLINK(".\links\ARTHORPODA\AGAP001134-PA-ARTHORPODA.txt","ARTHORPODA")</f>
        <v>ARTHORPODA</v>
      </c>
      <c r="Z272" s="2">
        <v>0</v>
      </c>
      <c r="AA272" s="2">
        <v>100</v>
      </c>
      <c r="AB272" s="13" t="str">
        <f>HYPERLINK(".\links\pep\AGAP001134-PA-sulf.txt","3")</f>
        <v>3</v>
      </c>
      <c r="AC272" s="13" t="str">
        <f>HYPERLINK(".\links\Sigp\AGAP001134-PA-SigP.txt","CYT")</f>
        <v>CYT</v>
      </c>
      <c r="AD272" s="2" t="s">
        <v>102</v>
      </c>
      <c r="AE272" s="2">
        <v>67.628</v>
      </c>
      <c r="AF272" s="2">
        <v>8.58</v>
      </c>
      <c r="AG272" s="2" t="s">
        <v>102</v>
      </c>
      <c r="AH272" s="2" t="s">
        <v>102</v>
      </c>
      <c r="AI272" s="2" t="s">
        <v>211</v>
      </c>
      <c r="AJ272" s="13">
        <v>0</v>
      </c>
      <c r="AK272" s="2" t="s">
        <v>102</v>
      </c>
      <c r="AL272" s="2" t="s">
        <v>102</v>
      </c>
      <c r="AM272" s="2" t="s">
        <v>102</v>
      </c>
      <c r="AN272" s="13" t="str">
        <f>HYPERLINK(".\links\gpi\AGAP001134-PA-gpi.txt","N")</f>
        <v>N</v>
      </c>
      <c r="AO272" s="14" t="str">
        <f>HYPERLINK(".\links\netoglyc\AGAP001134-PA-netoglyc.txt","0")</f>
        <v>0</v>
      </c>
      <c r="AP272" s="13">
        <v>9.1</v>
      </c>
      <c r="AQ272" s="2">
        <v>4.2</v>
      </c>
      <c r="AR272" s="2">
        <v>7</v>
      </c>
      <c r="AS272" s="2" t="s">
        <v>104</v>
      </c>
      <c r="AT272" s="9" t="str">
        <f>HYPERLINK(".\links\NR-LIGHT\AGAP001134-PA-NR-LIGHT.txt","AGAP001134-PA")</f>
        <v>AGAP001134-PA</v>
      </c>
      <c r="AU272" s="2" t="str">
        <f>HYPERLINK("http://www.ncbi.nlm.nih.gov/sutils/blink.cgi?pid=XP_322027.4","0.0")</f>
        <v>0.0</v>
      </c>
      <c r="AV272" s="2" t="str">
        <f>HYPERLINK("http://www.ncbi.nlm.nih.gov/protein/XP_322027.4","XP_322027.4")</f>
        <v>XP_322027.4</v>
      </c>
      <c r="AW272" s="2">
        <v>100</v>
      </c>
      <c r="AX272" s="2">
        <v>100</v>
      </c>
      <c r="AY272" s="2">
        <v>100</v>
      </c>
      <c r="AZ272" s="2" t="s">
        <v>105</v>
      </c>
      <c r="BA272" s="9" t="str">
        <f>HYPERLINK(".\links\REFSEQ-INVERTEBRATE\AGAP001134-PA-REFSEQ-INVERTEBRATE.txt","AGAP001134-PA")</f>
        <v>AGAP001134-PA</v>
      </c>
      <c r="BB272" s="2" t="str">
        <f>HYPERLINK("http://www.ncbi.nlm.nih.gov/sutils/blink.cgi?pid=XP_322027.4","0.0")</f>
        <v>0.0</v>
      </c>
      <c r="BC272" s="2" t="str">
        <f>HYPERLINK("http://www.ncbi.nlm.nih.gov/protein/XP_322027.4","XP_322027.4")</f>
        <v>XP_322027.4</v>
      </c>
      <c r="BD272" s="2">
        <v>100</v>
      </c>
      <c r="BE272" s="2">
        <v>100</v>
      </c>
      <c r="BF272" s="2">
        <v>100</v>
      </c>
      <c r="BG272" s="2" t="s">
        <v>105</v>
      </c>
      <c r="BH272" s="9" t="str">
        <f>HYPERLINK(".\links\REFSEQ-PROTOZOA\AGAP001134-PA-REFSEQ-PROTOZOA.txt","hypothetical protein cyc_00162")</f>
        <v>hypothetical protein cyc_00162</v>
      </c>
      <c r="BI272" s="2" t="str">
        <f>HYPERLINK("http://www.ncbi.nlm.nih.gov/sutils/blink.cgi?pid=XP_022588732.1","0.10")</f>
        <v>0.10</v>
      </c>
      <c r="BJ272" s="2" t="str">
        <f>HYPERLINK("http://www.ncbi.nlm.nih.gov/protein/XP_022588732.1","XP_022588732.1")</f>
        <v>XP_022588732.1</v>
      </c>
      <c r="BK272" s="2">
        <v>28</v>
      </c>
      <c r="BL272" s="2">
        <v>52</v>
      </c>
      <c r="BM272" s="2">
        <v>12</v>
      </c>
      <c r="BN272" s="2" t="s">
        <v>3006</v>
      </c>
      <c r="BO272" s="9" t="str">
        <f>HYPERLINK(".\links\SWISSP\AGAP001134-PA-SWISSP.txt","39S ribosomal protein S30, mitochondrial")</f>
        <v>39S ribosomal protein S30, mitochondrial</v>
      </c>
      <c r="BP272" s="2" t="str">
        <f>HYPERLINK("http://www.uniprot.org/uniprot/Q9NP92","8E-032")</f>
        <v>8E-032</v>
      </c>
      <c r="BQ272" s="2" t="str">
        <f>HYPERLINK("http://www.uniprot.org/uniprot/Q9NP92#expression","Q9NP92")</f>
        <v>Q9NP92</v>
      </c>
      <c r="BR272" s="2">
        <v>30</v>
      </c>
      <c r="BS272" s="2">
        <v>43</v>
      </c>
      <c r="BT272" s="2">
        <v>94</v>
      </c>
      <c r="BU272" s="2" t="s">
        <v>127</v>
      </c>
      <c r="BV272" s="9" t="str">
        <f>HYPERLINK(".\links\FLYBASE\AGAP001134-PA-FLYBASE.txt","FBpp0312012")</f>
        <v>FBpp0312012</v>
      </c>
      <c r="BW272" s="2" t="str">
        <f>HYPERLINK("http://flybase.org/reports/FBgn0030692#alliance_summary_container","1E-149")</f>
        <v>1E-149</v>
      </c>
      <c r="BX272" s="2">
        <v>557</v>
      </c>
      <c r="BY272" s="2">
        <v>42</v>
      </c>
      <c r="BZ272" s="2">
        <v>62</v>
      </c>
      <c r="CA272" s="2">
        <v>96</v>
      </c>
      <c r="CB272" s="9" t="str">
        <f>HYPERLINK(".\links\CDD\AGAP001134-PA-CDD.txt","PDCD9, Mitochondrial 28S ribosomal protein S30 (PDCD9)")</f>
        <v>PDCD9, Mitochondrial 28S ribosomal protein S30 (PDCD9)</v>
      </c>
      <c r="CC272" s="15">
        <v>9.9999999999999999E-160</v>
      </c>
      <c r="CD272" s="2">
        <v>101.8</v>
      </c>
      <c r="CE272" s="2" t="s">
        <v>3007</v>
      </c>
      <c r="CF272" s="2" t="s">
        <v>3008</v>
      </c>
      <c r="CG272" s="9" t="str">
        <f>HYPERLINK(".\links\KOG\AGAP001134-PA-KOG.txt","Mitochondrial 28S ribosomal protein S30")</f>
        <v>Mitochondrial 28S ribosomal protein S30</v>
      </c>
      <c r="CH272" s="15">
        <v>4.9999999999999998E-82</v>
      </c>
      <c r="CI272" s="2">
        <v>93.7</v>
      </c>
      <c r="CJ272" s="2" t="s">
        <v>3009</v>
      </c>
      <c r="CK272" s="2" t="s">
        <v>678</v>
      </c>
      <c r="CL272" s="9" t="str">
        <f>HYPERLINK(".\links\PFAM\AGAP001134-PA-PFAM.txt","PDCD9, Mitochondrial 28S ribosomal protein S30 (PDCD9)")</f>
        <v>PDCD9, Mitochondrial 28S ribosomal protein S30 (PDCD9)</v>
      </c>
      <c r="CM272" s="15">
        <v>9.9999999999999999E-160</v>
      </c>
      <c r="CN272" s="2">
        <v>101.8</v>
      </c>
      <c r="CO272" s="2" t="s">
        <v>3007</v>
      </c>
      <c r="CP272" s="9" t="str">
        <f>HYPERLINK(".\links\SMART\AGAP001134-PA-SMART.txt","Spc7, Spc7 kinetochore protein")</f>
        <v>Spc7, Spc7 kinetochore protein</v>
      </c>
      <c r="CQ272" s="15">
        <v>0.25</v>
      </c>
      <c r="CR272" s="2">
        <v>32.1</v>
      </c>
      <c r="CS272" s="2" t="s">
        <v>1061</v>
      </c>
      <c r="CT272" s="2" t="s">
        <v>3004</v>
      </c>
      <c r="CU272" s="2" t="s">
        <v>3004</v>
      </c>
      <c r="CV272" s="2" t="s">
        <v>3004</v>
      </c>
      <c r="CW272" s="2" t="str">
        <f>HYPERLINK(".\links\pep\AGAP001134-PA-pep.txt","AGAP001134-PA")</f>
        <v>AGAP001134-PA</v>
      </c>
      <c r="CX272" s="2" t="s">
        <v>95</v>
      </c>
      <c r="CY272" s="2">
        <v>573</v>
      </c>
      <c r="CZ272" s="2" t="s">
        <v>113</v>
      </c>
      <c r="DA272" s="2" t="s">
        <v>3010</v>
      </c>
      <c r="DB272" s="2">
        <v>0</v>
      </c>
      <c r="DC272" s="2">
        <v>4</v>
      </c>
      <c r="DD272" s="2" t="str">
        <f>HYPERLINK("https://www.kegg.jp/kegg-bin/search_pathway_text?map=aga&amp;keyword=AGAP001134&amp;mode=1&amp;viewImage=true","AGAP001134")</f>
        <v>AGAP001134</v>
      </c>
      <c r="DE272" s="2" t="s">
        <v>3000</v>
      </c>
      <c r="DF272" s="2" t="s">
        <v>3001</v>
      </c>
      <c r="DG272" s="2" t="s">
        <v>94</v>
      </c>
      <c r="DH272" s="2" t="str">
        <f>HYPERLINK("https://vectorbase.org/vectorbase/app/record/gene/AGAP001134","AGAP001134-RA")</f>
        <v>AGAP001134-RA</v>
      </c>
      <c r="DI272" s="2" t="s">
        <v>90</v>
      </c>
      <c r="DJ272" s="2">
        <v>1794</v>
      </c>
      <c r="DK272" s="2" t="str">
        <f>HYPERLINK(".\links\netoglyc\AGAP001134-PA-netoglyc.txt","0")</f>
        <v>0</v>
      </c>
      <c r="DL272" s="2">
        <v>9.1</v>
      </c>
      <c r="DM272" s="2">
        <v>4.2</v>
      </c>
      <c r="DN272" s="2">
        <v>7</v>
      </c>
      <c r="DO272" s="2" t="s">
        <v>104</v>
      </c>
      <c r="DP272" s="2" t="s">
        <v>102</v>
      </c>
      <c r="DQ272" s="2" t="str">
        <f>HYPERLINK(".\links\Sigp\AGAP001134-PA-SigP.txt","CYT")</f>
        <v>CYT</v>
      </c>
      <c r="DR272" s="2" t="s">
        <v>102</v>
      </c>
      <c r="DS272" s="2">
        <v>67.628</v>
      </c>
      <c r="DT272" s="2">
        <v>8.58</v>
      </c>
      <c r="DU272" s="2" t="s">
        <v>102</v>
      </c>
      <c r="DV272" s="2" t="s">
        <v>102</v>
      </c>
      <c r="DW272" s="2" t="s">
        <v>211</v>
      </c>
      <c r="DX272" s="2">
        <v>573</v>
      </c>
      <c r="DY272" s="12">
        <v>0</v>
      </c>
      <c r="DZ272" s="2" t="s">
        <v>102</v>
      </c>
      <c r="EA272" s="2" t="s">
        <v>102</v>
      </c>
      <c r="EB272" s="2" t="s">
        <v>102</v>
      </c>
      <c r="EC272" s="2" t="str">
        <f>HYPERLINK(".\links\gpi\AGAP001134-PA-gpi.txt","N")</f>
        <v>N</v>
      </c>
      <c r="ED272" s="2">
        <v>0.25</v>
      </c>
      <c r="EF272" s="2">
        <v>5</v>
      </c>
      <c r="EG272" s="2" t="str">
        <f>HYPERLINK(".\links\pep\AGAP001134-PA-sulf.txt","3")</f>
        <v>3</v>
      </c>
      <c r="EH272" s="2" t="s">
        <v>102</v>
      </c>
      <c r="EI272" s="2">
        <v>9.0750436300174506</v>
      </c>
      <c r="EJ272" s="2">
        <v>6.9808027923211204</v>
      </c>
      <c r="EK272" s="2">
        <v>4.1884816753926701</v>
      </c>
      <c r="EL272" s="2">
        <v>11.169284467713799</v>
      </c>
      <c r="EM272" s="2" t="s">
        <v>102</v>
      </c>
      <c r="EN272" s="2" t="s">
        <v>102</v>
      </c>
      <c r="EO272" s="2">
        <v>4</v>
      </c>
      <c r="EP272" s="2" t="s">
        <v>102</v>
      </c>
      <c r="EQ272" s="2" t="s">
        <v>102</v>
      </c>
      <c r="ER272" s="2" t="s">
        <v>102</v>
      </c>
      <c r="ES272" s="2" t="s">
        <v>102</v>
      </c>
      <c r="ET272" s="2" t="str">
        <f>HYPERLINK(".\links\REFSEQ-INVERTEBRATE\AGAP001134-PA-REFSEQ-INVERTEBRATE.txt","AGAP001134-PA")</f>
        <v>AGAP001134-PA</v>
      </c>
      <c r="EU272" s="2" t="str">
        <f>HYPERLINK("http://www.ncbi.nlm.nih.gov/sutils/blink.cgi?pid=XP_322027.4","0.0")</f>
        <v>0.0</v>
      </c>
      <c r="EV272" s="2" t="str">
        <f>HYPERLINK("http://www.ncbi.nlm.nih.gov/protein/XP_322027.4","XP_322027.4")</f>
        <v>XP_322027.4</v>
      </c>
      <c r="EW272" s="2">
        <v>100</v>
      </c>
      <c r="EX272" s="2">
        <v>100</v>
      </c>
      <c r="EY272" s="2">
        <v>100</v>
      </c>
      <c r="EZ272" s="2" t="s">
        <v>105</v>
      </c>
    </row>
    <row r="273" spans="1:156" x14ac:dyDescent="0.25">
      <c r="A273" s="2" t="s">
        <v>3011</v>
      </c>
      <c r="B273" s="2">
        <v>0.26972708515305899</v>
      </c>
      <c r="C273" s="2">
        <f t="shared" si="4"/>
        <v>1.205579746408824</v>
      </c>
      <c r="D273" s="2">
        <v>6.7734281282026396</v>
      </c>
      <c r="E273" s="2">
        <v>10.9975176111517</v>
      </c>
      <c r="F273" s="2">
        <v>9.123399960261E-4</v>
      </c>
      <c r="G273" s="2">
        <v>3.06863845079768E-2</v>
      </c>
      <c r="H273" s="2" t="s">
        <v>3012</v>
      </c>
      <c r="I273" s="2" t="s">
        <v>94</v>
      </c>
      <c r="J273" s="2" t="str">
        <f>HYPERLINK("https://vectorbase.org/vectorbase/app/record/gene/AGAP001585","AGAP001585-RA")</f>
        <v>AGAP001585-RA</v>
      </c>
      <c r="K273" s="2" t="str">
        <f>HYPERLINK(".\links\pep\AGAP001585-PA-pep.txt","AGAP001585-PA")</f>
        <v>AGAP001585-PA</v>
      </c>
      <c r="L273" s="12" t="s">
        <v>95</v>
      </c>
      <c r="M273" s="2">
        <v>246</v>
      </c>
      <c r="N273" s="2">
        <v>0</v>
      </c>
      <c r="O273" s="2">
        <v>0</v>
      </c>
      <c r="P273" s="2" t="s">
        <v>3013</v>
      </c>
      <c r="Q273" s="9" t="s">
        <v>3014</v>
      </c>
      <c r="R273" s="2" t="s">
        <v>1221</v>
      </c>
      <c r="S273" s="2" t="str">
        <f>HYPERLINK(".\links\KOG\AGAP001585-PA-KOG.txt","KOG")</f>
        <v>KOG</v>
      </c>
      <c r="T273" s="2">
        <v>5.9999999999999998E-69</v>
      </c>
      <c r="U273" s="2">
        <v>93.4</v>
      </c>
      <c r="V273" s="2" t="s">
        <v>3015</v>
      </c>
      <c r="W273" s="10" t="s">
        <v>3016</v>
      </c>
      <c r="X273" s="2" t="s">
        <v>1221</v>
      </c>
      <c r="Y273" s="2" t="str">
        <f>HYPERLINK(".\links\REFSEQVERTEBRATE95\AGAP001585-PA-REFSEQVERTEBRATE95.txt","REFSEQVERTEBRATE95")</f>
        <v>REFSEQVERTEBRATE95</v>
      </c>
      <c r="Z273" s="15">
        <v>7.9999999999999997E-75</v>
      </c>
      <c r="AA273" s="2">
        <v>83.1</v>
      </c>
      <c r="AB273" s="13" t="str">
        <f>HYPERLINK(".\links\pep\AGAP001585-PA-sulf.txt","1")</f>
        <v>1</v>
      </c>
      <c r="AC273" s="13" t="str">
        <f>HYPERLINK(".\links\Sigp\AGAP001585-PA-SigP.txt","CYT")</f>
        <v>CYT</v>
      </c>
      <c r="AD273" s="2" t="s">
        <v>102</v>
      </c>
      <c r="AE273" s="2">
        <v>28.117000000000001</v>
      </c>
      <c r="AF273" s="2">
        <v>5.99</v>
      </c>
      <c r="AG273" s="2" t="s">
        <v>102</v>
      </c>
      <c r="AH273" s="2" t="s">
        <v>102</v>
      </c>
      <c r="AI273" s="2" t="s">
        <v>124</v>
      </c>
      <c r="AJ273" s="13">
        <v>0</v>
      </c>
      <c r="AK273" s="2" t="s">
        <v>102</v>
      </c>
      <c r="AL273" s="2" t="s">
        <v>102</v>
      </c>
      <c r="AM273" s="2" t="s">
        <v>102</v>
      </c>
      <c r="AN273" s="13" t="str">
        <f>HYPERLINK(".\links\gpi\AGAP001585-PA-gpi.txt","N")</f>
        <v>N</v>
      </c>
      <c r="AO273" s="14" t="str">
        <f>HYPERLINK(".\links\netoglyc\AGAP001585-PA-netoglyc.txt","1")</f>
        <v>1</v>
      </c>
      <c r="AP273" s="13">
        <v>13</v>
      </c>
      <c r="AQ273" s="2">
        <v>4.5</v>
      </c>
      <c r="AR273" s="2">
        <v>4.9000000000000004</v>
      </c>
      <c r="AS273" s="2" t="s">
        <v>104</v>
      </c>
      <c r="AT273" s="9" t="str">
        <f>HYPERLINK(".\links\NR-LIGHT\AGAP001585-PA-NR-LIGHT.txt","AGAP001585-PA")</f>
        <v>AGAP001585-PA</v>
      </c>
      <c r="AU273" s="2" t="str">
        <f>HYPERLINK("http://www.ncbi.nlm.nih.gov/sutils/blink.cgi?pid=XP_321524.1","1E-142")</f>
        <v>1E-142</v>
      </c>
      <c r="AV273" s="2" t="str">
        <f>HYPERLINK("http://www.ncbi.nlm.nih.gov/protein/XP_321524.1","XP_321524.1")</f>
        <v>XP_321524.1</v>
      </c>
      <c r="AW273" s="2">
        <v>100</v>
      </c>
      <c r="AX273" s="2">
        <v>100</v>
      </c>
      <c r="AY273" s="2">
        <v>100</v>
      </c>
      <c r="AZ273" s="2" t="s">
        <v>105</v>
      </c>
      <c r="BA273" s="9" t="str">
        <f>HYPERLINK(".\links\REFSEQ-INVERTEBRATE\AGAP001585-PA-REFSEQ-INVERTEBRATE.txt","AGAP001585-PD")</f>
        <v>AGAP001585-PD</v>
      </c>
      <c r="BB273" s="2" t="str">
        <f>HYPERLINK("http://www.ncbi.nlm.nih.gov/sutils/blink.cgi?pid=XP_003435885.1","1E-142")</f>
        <v>1E-142</v>
      </c>
      <c r="BC273" s="2" t="str">
        <f>HYPERLINK("http://www.ncbi.nlm.nih.gov/protein/XP_003435885.1","XP_003435885.1")</f>
        <v>XP_003435885.1</v>
      </c>
      <c r="BD273" s="2">
        <v>100</v>
      </c>
      <c r="BE273" s="2">
        <v>100</v>
      </c>
      <c r="BF273" s="2">
        <v>100</v>
      </c>
      <c r="BG273" s="2" t="s">
        <v>105</v>
      </c>
      <c r="BH273" s="9" t="str">
        <f>HYPERLINK(".\links\REFSEQ-PROTOZOA\AGAP001585-PA-REFSEQ-PROTOZOA.txt","deoxynucleoside kinase")</f>
        <v>deoxynucleoside kinase</v>
      </c>
      <c r="BI273" s="2" t="str">
        <f>HYPERLINK("http://www.ncbi.nlm.nih.gov/sutils/blink.cgi?pid=XP_001027990.1","3E-026")</f>
        <v>3E-026</v>
      </c>
      <c r="BJ273" s="2" t="str">
        <f>HYPERLINK("http://www.ncbi.nlm.nih.gov/protein/XP_001027990.1","XP_001027990.1")</f>
        <v>XP_001027990.1</v>
      </c>
      <c r="BK273" s="2">
        <v>32</v>
      </c>
      <c r="BL273" s="2">
        <v>53</v>
      </c>
      <c r="BM273" s="2">
        <v>87</v>
      </c>
      <c r="BN273" s="2" t="s">
        <v>539</v>
      </c>
      <c r="BO273" s="9" t="str">
        <f>HYPERLINK(".\links\SWISSP\AGAP001585-PA-SWISSP.txt","Deoxynucleoside kinase")</f>
        <v>Deoxynucleoside kinase</v>
      </c>
      <c r="BP273" s="2" t="str">
        <f>HYPERLINK("http://www.uniprot.org/uniprot/Q9XZT6","2E-088")</f>
        <v>2E-088</v>
      </c>
      <c r="BQ273" s="2" t="str">
        <f>HYPERLINK("http://www.uniprot.org/uniprot/Q9XZT6#expression","Q9XZT6")</f>
        <v>Q9XZT6</v>
      </c>
      <c r="BR273" s="2">
        <v>67</v>
      </c>
      <c r="BS273" s="2">
        <v>81</v>
      </c>
      <c r="BT273" s="2">
        <v>94</v>
      </c>
      <c r="BU273" s="2" t="s">
        <v>107</v>
      </c>
      <c r="BV273" s="9" t="str">
        <f>HYPERLINK(".\links\FLYBASE\AGAP001585-PA-FLYBASE.txt","FBpp0302815")</f>
        <v>FBpp0302815</v>
      </c>
      <c r="BW273" s="2" t="str">
        <f>HYPERLINK("http://flybase.org/reports/FBgn0022338#alliance_summary_container","1E-117")</f>
        <v>1E-117</v>
      </c>
      <c r="BX273" s="2">
        <v>250</v>
      </c>
      <c r="BY273" s="2">
        <v>67</v>
      </c>
      <c r="BZ273" s="2">
        <v>81</v>
      </c>
      <c r="CA273" s="2">
        <v>94</v>
      </c>
      <c r="CB273" s="9" t="str">
        <f>HYPERLINK(".\links\CDD\AGAP001585-PA-CDD.txt","dNK, Deoxyribonucleoside kinase (dNK) catalyzes the phosphorylation of deoxyribonucleosides to yield corresponding monophosphates (dNMPs)")</f>
        <v>dNK, Deoxyribonucleoside kinase (dNK) catalyzes the phosphorylation of deoxyribonucleosides to yield corresponding monophosphates (dNMPs)</v>
      </c>
      <c r="CC273" s="15">
        <v>9.9999999999999997E-49</v>
      </c>
      <c r="CD273" s="2">
        <v>100.5</v>
      </c>
      <c r="CE273" s="2" t="s">
        <v>3017</v>
      </c>
      <c r="CF273" s="2" t="s">
        <v>3018</v>
      </c>
      <c r="CG273" s="9" t="str">
        <f>HYPERLINK(".\links\KOG\AGAP001585-PA-KOG.txt","Mitochondrial thymidine kinase 2/deoxyguanosine kinase")</f>
        <v>Mitochondrial thymidine kinase 2/deoxyguanosine kinase</v>
      </c>
      <c r="CH273" s="15">
        <v>5.9999999999999998E-69</v>
      </c>
      <c r="CI273" s="2">
        <v>93.4</v>
      </c>
      <c r="CJ273" s="2" t="s">
        <v>3019</v>
      </c>
      <c r="CK273" s="2" t="s">
        <v>1227</v>
      </c>
      <c r="CL273" s="9" t="str">
        <f>HYPERLINK(".\links\PFAM\AGAP001585-PA-PFAM.txt","dNK, Deoxynucleoside kinase")</f>
        <v>dNK, Deoxynucleoside kinase</v>
      </c>
      <c r="CM273" s="15">
        <v>3.0000000000000002E-44</v>
      </c>
      <c r="CN273" s="2">
        <v>103</v>
      </c>
      <c r="CO273" s="2" t="s">
        <v>3020</v>
      </c>
      <c r="CP273" s="9" t="str">
        <f>HYPERLINK(".\links\SMART\AGAP001585-PA-SMART.txt","AAA, ATPases associated with a variety of cellular activities")</f>
        <v>AAA, ATPases associated with a variety of cellular activities</v>
      </c>
      <c r="CQ273" s="15">
        <v>8.5000000000000006E-2</v>
      </c>
      <c r="CR273" s="2">
        <v>13.5</v>
      </c>
      <c r="CS273" s="2" t="s">
        <v>772</v>
      </c>
      <c r="CT273" s="2" t="s">
        <v>3015</v>
      </c>
      <c r="CU273" s="2" t="s">
        <v>3015</v>
      </c>
      <c r="CV273" s="2" t="s">
        <v>3015</v>
      </c>
      <c r="CW273" s="2" t="str">
        <f>HYPERLINK(".\links\pep\AGAP001585-PA-pep.txt","AGAP001585-PA")</f>
        <v>AGAP001585-PA</v>
      </c>
      <c r="CX273" s="2" t="s">
        <v>95</v>
      </c>
      <c r="CY273" s="2">
        <v>246</v>
      </c>
      <c r="CZ273" s="2" t="s">
        <v>113</v>
      </c>
      <c r="DA273" s="2" t="s">
        <v>3021</v>
      </c>
      <c r="DB273" s="2">
        <v>0</v>
      </c>
      <c r="DC273" s="2">
        <v>0</v>
      </c>
      <c r="DD273" s="2" t="str">
        <f>HYPERLINK("https://www.kegg.jp/kegg-bin/search_pathway_text?map=aga&amp;keyword=AGAP001585&amp;mode=1&amp;viewImage=true","AGAP001585")</f>
        <v>AGAP001585</v>
      </c>
      <c r="DE273" s="2" t="s">
        <v>3011</v>
      </c>
      <c r="DF273" s="2" t="s">
        <v>3012</v>
      </c>
      <c r="DG273" s="2" t="s">
        <v>94</v>
      </c>
      <c r="DH273" s="2" t="str">
        <f>HYPERLINK("https://vectorbase.org/vectorbase/app/record/gene/AGAP001585","AGAP001585-RA")</f>
        <v>AGAP001585-RA</v>
      </c>
      <c r="DI273" s="2" t="s">
        <v>90</v>
      </c>
      <c r="DJ273" s="2">
        <v>933</v>
      </c>
      <c r="DK273" s="2" t="str">
        <f>HYPERLINK(".\links\netoglyc\AGAP001585-PA-netoglyc.txt","1")</f>
        <v>1</v>
      </c>
      <c r="DL273" s="2">
        <v>13</v>
      </c>
      <c r="DM273" s="2">
        <v>4.5</v>
      </c>
      <c r="DN273" s="2">
        <v>4.9000000000000004</v>
      </c>
      <c r="DO273" s="2" t="s">
        <v>104</v>
      </c>
      <c r="DP273" s="2" t="s">
        <v>102</v>
      </c>
      <c r="DQ273" s="2" t="str">
        <f>HYPERLINK(".\links\Sigp\AGAP001585-PA-SigP.txt","CYT")</f>
        <v>CYT</v>
      </c>
      <c r="DR273" s="2" t="s">
        <v>102</v>
      </c>
      <c r="DS273" s="2">
        <v>28.117000000000001</v>
      </c>
      <c r="DT273" s="2">
        <v>5.99</v>
      </c>
      <c r="DU273" s="2" t="s">
        <v>102</v>
      </c>
      <c r="DV273" s="2" t="s">
        <v>102</v>
      </c>
      <c r="DW273" s="2" t="s">
        <v>124</v>
      </c>
      <c r="DX273" s="2">
        <v>246</v>
      </c>
      <c r="DY273" s="12">
        <v>0</v>
      </c>
      <c r="DZ273" s="2" t="s">
        <v>102</v>
      </c>
      <c r="EA273" s="2" t="s">
        <v>102</v>
      </c>
      <c r="EB273" s="2" t="s">
        <v>102</v>
      </c>
      <c r="EC273" s="2" t="str">
        <f>HYPERLINK(".\links\gpi\AGAP001585-PA-gpi.txt","N")</f>
        <v>N</v>
      </c>
      <c r="ED273" s="2">
        <v>0.22</v>
      </c>
      <c r="EF273" s="2">
        <v>7</v>
      </c>
      <c r="EG273" s="2" t="str">
        <f>HYPERLINK(".\links\pep\AGAP001585-PA-sulf.txt","1")</f>
        <v>1</v>
      </c>
      <c r="EH273" s="2" t="s">
        <v>102</v>
      </c>
      <c r="EI273" s="2">
        <v>13.0081300813008</v>
      </c>
      <c r="EJ273" s="2">
        <v>4.8780487804878003</v>
      </c>
      <c r="EK273" s="2">
        <v>4.4715447154471502</v>
      </c>
      <c r="EL273" s="2">
        <v>9.3495934959349594</v>
      </c>
      <c r="EM273" s="2" t="s">
        <v>102</v>
      </c>
      <c r="EN273" s="2" t="s">
        <v>102</v>
      </c>
      <c r="EO273" s="2" t="s">
        <v>102</v>
      </c>
      <c r="EP273" s="2" t="s">
        <v>102</v>
      </c>
      <c r="EQ273" s="2" t="s">
        <v>102</v>
      </c>
      <c r="ER273" s="2" t="s">
        <v>102</v>
      </c>
      <c r="ES273" s="2" t="s">
        <v>102</v>
      </c>
      <c r="ET273" s="2" t="str">
        <f>HYPERLINK(".\links\REFSEQ-INVERTEBRATE\AGAP001585-PA-REFSEQ-INVERTEBRATE.txt","AGAP001585-PD")</f>
        <v>AGAP001585-PD</v>
      </c>
      <c r="EU273" s="2" t="str">
        <f>HYPERLINK("http://www.ncbi.nlm.nih.gov/sutils/blink.cgi?pid=XP_003435885.1","0.0")</f>
        <v>0.0</v>
      </c>
      <c r="EV273" s="2" t="str">
        <f>HYPERLINK("http://www.ncbi.nlm.nih.gov/protein/XP_003435885.1","XP_003435885.1")</f>
        <v>XP_003435885.1</v>
      </c>
      <c r="EW273" s="2">
        <v>100</v>
      </c>
      <c r="EX273" s="2">
        <v>100</v>
      </c>
      <c r="EY273" s="2">
        <v>100</v>
      </c>
      <c r="EZ273" s="2" t="s">
        <v>105</v>
      </c>
    </row>
    <row r="274" spans="1:156" x14ac:dyDescent="0.25">
      <c r="A274" s="2" t="s">
        <v>3022</v>
      </c>
      <c r="B274" s="2">
        <v>0.26933814929982203</v>
      </c>
      <c r="C274" s="2">
        <f t="shared" si="4"/>
        <v>1.2052547782240737</v>
      </c>
      <c r="D274" s="2">
        <v>6.6392599403907404</v>
      </c>
      <c r="E274" s="2">
        <v>9.9525281324300892</v>
      </c>
      <c r="F274" s="2">
        <v>1.60628657474705E-3</v>
      </c>
      <c r="G274" s="2">
        <v>3.9012040862794299E-2</v>
      </c>
      <c r="H274" s="2" t="s">
        <v>3023</v>
      </c>
      <c r="I274" s="2" t="s">
        <v>94</v>
      </c>
      <c r="J274" s="2" t="str">
        <f>HYPERLINK("https://vectorbase.org/vectorbase/app/record/gene/AGAP010218","AGAP010218-RA")</f>
        <v>AGAP010218-RA</v>
      </c>
      <c r="K274" s="2" t="str">
        <f>HYPERLINK(".\links\pep\AGAP010218-PA-pep.txt","AGAP010218-PA")</f>
        <v>AGAP010218-PA</v>
      </c>
      <c r="L274" s="12" t="s">
        <v>95</v>
      </c>
      <c r="M274" s="2">
        <v>1410</v>
      </c>
      <c r="N274" s="2">
        <v>0</v>
      </c>
      <c r="O274" s="2">
        <v>7</v>
      </c>
      <c r="P274" s="2" t="s">
        <v>3024</v>
      </c>
      <c r="Q274" s="9" t="s">
        <v>3025</v>
      </c>
      <c r="R274" s="2" t="s">
        <v>355</v>
      </c>
      <c r="S274" s="2" t="str">
        <f>HYPERLINK(".\links\REFSEQ-INVERTEBRATE\AGAP010218-PA-REFSEQ-INVERTEBRATE.txt","REFSEQ-INVERTEBRATE")</f>
        <v>REFSEQ-INVERTEBRATE</v>
      </c>
      <c r="T274" s="2">
        <v>0</v>
      </c>
      <c r="U274" s="2">
        <v>104.3</v>
      </c>
      <c r="V274" s="2" t="s">
        <v>3026</v>
      </c>
      <c r="W274" s="10" t="s">
        <v>3027</v>
      </c>
      <c r="X274" s="2" t="s">
        <v>355</v>
      </c>
      <c r="Y274" s="2" t="str">
        <f>HYPERLINK(".\links\ARTHORPODA\AGAP010218-PA-ARTHORPODA.txt","ARTHORPODA")</f>
        <v>ARTHORPODA</v>
      </c>
      <c r="Z274" s="2">
        <v>0</v>
      </c>
      <c r="AA274" s="2">
        <v>100</v>
      </c>
      <c r="AB274" s="13" t="str">
        <f>HYPERLINK(".\links\pep\AGAP010218-PA-sulf.txt","7")</f>
        <v>7</v>
      </c>
      <c r="AC274" s="13" t="str">
        <f>HYPERLINK(".\links\Sigp\AGAP010218-PA-SigP.txt","CYT")</f>
        <v>CYT</v>
      </c>
      <c r="AD274" s="2" t="s">
        <v>102</v>
      </c>
      <c r="AE274" s="2">
        <v>157.98699999999999</v>
      </c>
      <c r="AF274" s="2">
        <v>5.4</v>
      </c>
      <c r="AG274" s="2" t="s">
        <v>102</v>
      </c>
      <c r="AH274" s="2" t="s">
        <v>102</v>
      </c>
      <c r="AI274" s="2" t="s">
        <v>3028</v>
      </c>
      <c r="AJ274" s="13">
        <v>0</v>
      </c>
      <c r="AK274" s="2" t="s">
        <v>102</v>
      </c>
      <c r="AL274" s="2" t="s">
        <v>102</v>
      </c>
      <c r="AM274" s="2" t="s">
        <v>102</v>
      </c>
      <c r="AN274" s="13" t="str">
        <f>HYPERLINK(".\links\gpi\AGAP010218-PA-gpi.txt","N")</f>
        <v>N</v>
      </c>
      <c r="AO274" s="14" t="str">
        <f>HYPERLINK(".\links\netoglyc\AGAP010218-PA-netoglyc.txt","0")</f>
        <v>0</v>
      </c>
      <c r="AP274" s="13">
        <v>17.8</v>
      </c>
      <c r="AQ274" s="2">
        <v>4.3</v>
      </c>
      <c r="AR274" s="2">
        <v>3.5</v>
      </c>
      <c r="AS274" s="2">
        <v>0.2</v>
      </c>
      <c r="AT274" s="9" t="str">
        <f>HYPERLINK(".\links\NR-LIGHT\AGAP010218-PA-NR-LIGHT.txt","AGAP010218-PA, partial")</f>
        <v>AGAP010218-PA, partial</v>
      </c>
      <c r="AU274" s="2" t="str">
        <f>HYPERLINK("http://www.ncbi.nlm.nih.gov/sutils/blink.cgi?pid=XP_319404.4","0.0")</f>
        <v>0.0</v>
      </c>
      <c r="AV274" s="2" t="str">
        <f>HYPERLINK("http://www.ncbi.nlm.nih.gov/protein/XP_319404.4","XP_319404.4")</f>
        <v>XP_319404.4</v>
      </c>
      <c r="AW274" s="2">
        <v>93</v>
      </c>
      <c r="AX274" s="2">
        <v>94</v>
      </c>
      <c r="AY274" s="2">
        <v>105</v>
      </c>
      <c r="AZ274" s="2" t="s">
        <v>105</v>
      </c>
      <c r="BA274" s="9" t="str">
        <f>HYPERLINK(".\links\REFSEQ-INVERTEBRATE\AGAP010218-PA-REFSEQ-INVERTEBRATE.txt","AGAP010218-PA, partial")</f>
        <v>AGAP010218-PA, partial</v>
      </c>
      <c r="BB274" s="2" t="str">
        <f>HYPERLINK("http://www.ncbi.nlm.nih.gov/sutils/blink.cgi?pid=XP_319404.4","0.0")</f>
        <v>0.0</v>
      </c>
      <c r="BC274" s="2" t="str">
        <f>HYPERLINK("http://www.ncbi.nlm.nih.gov/protein/XP_319404.4","XP_319404.4")</f>
        <v>XP_319404.4</v>
      </c>
      <c r="BD274" s="2">
        <v>93</v>
      </c>
      <c r="BE274" s="2">
        <v>94</v>
      </c>
      <c r="BF274" s="2">
        <v>105</v>
      </c>
      <c r="BG274" s="2" t="s">
        <v>105</v>
      </c>
      <c r="BH274" s="9" t="str">
        <f>HYPERLINK(".\links\REFSEQ-PROTOZOA\AGAP010218-PA-REFSEQ-PROTOZOA.txt","nisch protein")</f>
        <v>nisch protein</v>
      </c>
      <c r="BI274" s="2" t="str">
        <f>HYPERLINK("http://www.ncbi.nlm.nih.gov/sutils/blink.cgi?pid=XP_004346260.2","2E-020")</f>
        <v>2E-020</v>
      </c>
      <c r="BJ274" s="2" t="str">
        <f>HYPERLINK("http://www.ncbi.nlm.nih.gov/protein/XP_004346260.2","XP_004346260.2")</f>
        <v>XP_004346260.2</v>
      </c>
      <c r="BK274" s="2">
        <v>29</v>
      </c>
      <c r="BL274" s="2">
        <v>48</v>
      </c>
      <c r="BM274" s="2">
        <v>20</v>
      </c>
      <c r="BN274" s="2" t="s">
        <v>106</v>
      </c>
      <c r="BO274" s="9" t="str">
        <f>HYPERLINK(".\links\SWISSP\AGAP010218-PA-SWISSP.txt","Serine/threonine-protein kinase 11-interacting protein")</f>
        <v>Serine/threonine-protein kinase 11-interacting protein</v>
      </c>
      <c r="BP274" s="2" t="str">
        <f>HYPERLINK("http://www.uniprot.org/uniprot/Q5F479","8E-045")</f>
        <v>8E-045</v>
      </c>
      <c r="BQ274" s="2" t="str">
        <f>HYPERLINK("http://www.uniprot.org/uniprot/Q5F479#expression","Q5F479")</f>
        <v>Q5F479</v>
      </c>
      <c r="BR274" s="2">
        <v>27</v>
      </c>
      <c r="BS274" s="2">
        <v>47</v>
      </c>
      <c r="BT274" s="2">
        <v>50</v>
      </c>
      <c r="BU274" s="2" t="s">
        <v>483</v>
      </c>
      <c r="BV274" s="9" t="str">
        <f>HYPERLINK(".\links\FLYBASE\AGAP010218-PA-FLYBASE.txt","FBpp0305433")</f>
        <v>FBpp0305433</v>
      </c>
      <c r="BW274" s="2" t="str">
        <f>HYPERLINK("http://flybase.org/reports/FBgn0031752#alliance_summary_container","0.0")</f>
        <v>0.0</v>
      </c>
      <c r="BX274" s="2">
        <v>1318</v>
      </c>
      <c r="BY274" s="2">
        <v>35</v>
      </c>
      <c r="BZ274" s="2">
        <v>55</v>
      </c>
      <c r="CA274" s="2">
        <v>108</v>
      </c>
      <c r="CB274" s="9" t="str">
        <f>HYPERLINK(".\links\CDD\AGAP010218-PA-CDD.txt","LIP1, LKB1 serine/threonine kinase interacting protein 1")</f>
        <v>LIP1, LKB1 serine/threonine kinase interacting protein 1</v>
      </c>
      <c r="CC274" s="15">
        <v>9.9999999999999998E-17</v>
      </c>
      <c r="CD274" s="2">
        <v>94.4</v>
      </c>
      <c r="CE274" s="2" t="s">
        <v>3029</v>
      </c>
      <c r="CF274" s="2" t="s">
        <v>3030</v>
      </c>
      <c r="CG274" s="9" t="str">
        <f>HYPERLINK(".\links\KOG\AGAP010218-PA-KOG.txt","Leucine-rich repeat proteins")</f>
        <v>Leucine-rich repeat proteins</v>
      </c>
      <c r="CH274" s="15">
        <v>9.9999999999999999E-93</v>
      </c>
      <c r="CI274" s="2">
        <v>70.5</v>
      </c>
      <c r="CJ274" s="2" t="s">
        <v>3031</v>
      </c>
      <c r="CK274" s="2" t="s">
        <v>191</v>
      </c>
      <c r="CL274" s="9" t="str">
        <f>HYPERLINK(".\links\PFAM\AGAP010218-PA-PFAM.txt","LIP1, LKB1 serine/threonine kinase interacting protein 1")</f>
        <v>LIP1, LKB1 serine/threonine kinase interacting protein 1</v>
      </c>
      <c r="CM274" s="15">
        <v>3.0000000000000001E-17</v>
      </c>
      <c r="CN274" s="2">
        <v>94.4</v>
      </c>
      <c r="CO274" s="2" t="s">
        <v>3029</v>
      </c>
      <c r="CP274" s="9" t="str">
        <f>HYPERLINK(".\links\SMART\AGAP010218-PA-SMART.txt","RPOLCX, RNA polymerase subunit CX")</f>
        <v>RPOLCX, RNA polymerase subunit CX</v>
      </c>
      <c r="CQ274" s="15">
        <v>1.2999999999999999E-2</v>
      </c>
      <c r="CR274" s="2">
        <v>109.1</v>
      </c>
      <c r="CS274" s="2" t="s">
        <v>3032</v>
      </c>
      <c r="CT274" s="2" t="s">
        <v>3026</v>
      </c>
      <c r="CU274" s="2" t="s">
        <v>3026</v>
      </c>
      <c r="CV274" s="2" t="s">
        <v>3026</v>
      </c>
      <c r="CW274" s="2" t="str">
        <f>HYPERLINK(".\links\pep\AGAP010218-PA-pep.txt","AGAP010218-PA")</f>
        <v>AGAP010218-PA</v>
      </c>
      <c r="CX274" s="2" t="s">
        <v>95</v>
      </c>
      <c r="CY274" s="2">
        <v>1410</v>
      </c>
      <c r="CZ274" s="2" t="s">
        <v>113</v>
      </c>
      <c r="DA274" s="2" t="s">
        <v>3033</v>
      </c>
      <c r="DB274" s="2">
        <v>0</v>
      </c>
      <c r="DC274" s="2">
        <v>7</v>
      </c>
      <c r="DD274" s="2" t="str">
        <f>HYPERLINK("https://www.kegg.jp/kegg-bin/search_pathway_text?map=aga&amp;keyword=AGAP010218&amp;mode=1&amp;viewImage=true","AGAP010218")</f>
        <v>AGAP010218</v>
      </c>
      <c r="DE274" s="2" t="s">
        <v>3022</v>
      </c>
      <c r="DF274" s="2" t="s">
        <v>3023</v>
      </c>
      <c r="DG274" s="2" t="s">
        <v>94</v>
      </c>
      <c r="DH274" s="2" t="str">
        <f>HYPERLINK("https://vectorbase.org/vectorbase/app/record/gene/AGAP010218","AGAP010218-RA")</f>
        <v>AGAP010218-RA</v>
      </c>
      <c r="DI274" s="2" t="s">
        <v>90</v>
      </c>
      <c r="DJ274" s="2">
        <v>4725</v>
      </c>
      <c r="DK274" s="2" t="str">
        <f>HYPERLINK(".\links\netoglyc\AGAP010218-PA-netoglyc.txt","0")</f>
        <v>0</v>
      </c>
      <c r="DL274" s="2">
        <v>17.8</v>
      </c>
      <c r="DM274" s="2">
        <v>4.3</v>
      </c>
      <c r="DN274" s="2">
        <v>3.5</v>
      </c>
      <c r="DO274" s="2">
        <v>0.2</v>
      </c>
      <c r="DP274" s="2" t="s">
        <v>3034</v>
      </c>
      <c r="DQ274" s="2" t="str">
        <f>HYPERLINK(".\links\Sigp\AGAP010218-PA-SigP.txt","CYT")</f>
        <v>CYT</v>
      </c>
      <c r="DR274" s="2" t="s">
        <v>102</v>
      </c>
      <c r="DS274" s="2">
        <v>157.98699999999999</v>
      </c>
      <c r="DT274" s="2">
        <v>5.4</v>
      </c>
      <c r="DU274" s="2" t="s">
        <v>102</v>
      </c>
      <c r="DV274" s="2" t="s">
        <v>102</v>
      </c>
      <c r="DW274" s="2" t="s">
        <v>3028</v>
      </c>
      <c r="DX274" s="2">
        <v>1410</v>
      </c>
      <c r="DY274" s="12">
        <v>0</v>
      </c>
      <c r="DZ274" s="2" t="s">
        <v>102</v>
      </c>
      <c r="EA274" s="2" t="s">
        <v>102</v>
      </c>
      <c r="EB274" s="2" t="s">
        <v>102</v>
      </c>
      <c r="EC274" s="2" t="str">
        <f>HYPERLINK(".\links\gpi\AGAP010218-PA-gpi.txt","Y-NoSP")</f>
        <v>Y-NoSP</v>
      </c>
      <c r="ED274" s="2">
        <v>0.24</v>
      </c>
      <c r="EF274" s="2">
        <v>20</v>
      </c>
      <c r="EG274" s="2" t="str">
        <f>HYPERLINK(".\links\pep\AGAP010218-PA-sulf.txt","7")</f>
        <v>7</v>
      </c>
      <c r="EH274" s="2" t="s">
        <v>102</v>
      </c>
      <c r="EI274" s="2">
        <v>17.801418439716301</v>
      </c>
      <c r="EJ274" s="2">
        <v>3.4751773049645398</v>
      </c>
      <c r="EK274" s="2">
        <v>4.3262411347517702</v>
      </c>
      <c r="EL274" s="2">
        <v>7.8014184397163104</v>
      </c>
      <c r="EM274" s="2">
        <v>1</v>
      </c>
      <c r="EN274" s="2">
        <v>4</v>
      </c>
      <c r="EO274" s="2">
        <v>4</v>
      </c>
      <c r="EP274" s="2" t="s">
        <v>102</v>
      </c>
      <c r="EQ274" s="2" t="s">
        <v>102</v>
      </c>
      <c r="ER274" s="2" t="s">
        <v>102</v>
      </c>
      <c r="ES274" s="2" t="s">
        <v>102</v>
      </c>
      <c r="ET274" s="2" t="str">
        <f>HYPERLINK(".\links\REFSEQ-INVERTEBRATE\AGAP010218-PA-REFSEQ-INVERTEBRATE.txt","AGAP010218-PA, partial")</f>
        <v>AGAP010218-PA, partial</v>
      </c>
      <c r="EU274" s="2" t="str">
        <f>HYPERLINK("http://www.ncbi.nlm.nih.gov/sutils/blink.cgi?pid=XP_319404.4","0.0")</f>
        <v>0.0</v>
      </c>
      <c r="EV274" s="2" t="str">
        <f>HYPERLINK("http://www.ncbi.nlm.nih.gov/protein/XP_319404.4","XP_319404.4")</f>
        <v>XP_319404.4</v>
      </c>
      <c r="EW274" s="2">
        <v>93</v>
      </c>
      <c r="EX274" s="2">
        <v>94</v>
      </c>
      <c r="EY274" s="2">
        <v>105</v>
      </c>
      <c r="EZ274" s="2" t="s">
        <v>105</v>
      </c>
    </row>
    <row r="275" spans="1:156" x14ac:dyDescent="0.25">
      <c r="A275" s="2" t="s">
        <v>3035</v>
      </c>
      <c r="B275" s="2">
        <v>0.26928780280707698</v>
      </c>
      <c r="C275" s="2">
        <f t="shared" si="4"/>
        <v>1.2052127185437926</v>
      </c>
      <c r="D275" s="2">
        <v>7.8767947203240798</v>
      </c>
      <c r="E275" s="2">
        <v>9.4420071729091593</v>
      </c>
      <c r="F275" s="2">
        <v>2.1207127530485301E-3</v>
      </c>
      <c r="G275" s="2">
        <v>4.4498173263083501E-2</v>
      </c>
      <c r="H275" s="2" t="s">
        <v>3036</v>
      </c>
      <c r="I275" s="2" t="s">
        <v>88</v>
      </c>
      <c r="J275" s="8" t="s">
        <v>3037</v>
      </c>
      <c r="Q275" s="9"/>
      <c r="W275" s="10"/>
      <c r="AB275" s="9"/>
      <c r="AC275" s="9"/>
      <c r="AJ275" s="9"/>
      <c r="AN275" s="9"/>
      <c r="AO275" s="11"/>
      <c r="AP275" s="9"/>
      <c r="AT275" s="9"/>
      <c r="BA275" s="9"/>
      <c r="BH275" s="9"/>
      <c r="BO275" s="9"/>
      <c r="BV275" s="9"/>
      <c r="CB275" s="9"/>
      <c r="CG275" s="9"/>
      <c r="CL275" s="9"/>
      <c r="CP275" s="9"/>
      <c r="DE275" s="2" t="s">
        <v>3035</v>
      </c>
      <c r="DF275" s="2" t="s">
        <v>3036</v>
      </c>
      <c r="DG275" s="2" t="s">
        <v>88</v>
      </c>
      <c r="DH275" s="8" t="s">
        <v>3037</v>
      </c>
      <c r="DI275" s="2" t="s">
        <v>90</v>
      </c>
      <c r="DJ275" s="2">
        <v>4731</v>
      </c>
      <c r="DQ275" s="2" t="s">
        <v>141</v>
      </c>
      <c r="DS275" s="2">
        <v>78698</v>
      </c>
      <c r="DT275" s="2">
        <v>6.23</v>
      </c>
      <c r="DX275" s="2">
        <v>704</v>
      </c>
      <c r="DY275" s="12"/>
    </row>
    <row r="276" spans="1:156" x14ac:dyDescent="0.25">
      <c r="A276" s="2" t="s">
        <v>3038</v>
      </c>
      <c r="B276" s="2">
        <v>0.26892938913366099</v>
      </c>
      <c r="C276" s="2">
        <f t="shared" si="4"/>
        <v>1.2049133406068999</v>
      </c>
      <c r="D276" s="2">
        <v>7.9350569078088098</v>
      </c>
      <c r="E276" s="2">
        <v>11.2032747449867</v>
      </c>
      <c r="F276" s="2">
        <v>8.1653106448741704E-4</v>
      </c>
      <c r="G276" s="2">
        <v>3.0183174475144601E-2</v>
      </c>
      <c r="H276" s="2" t="s">
        <v>3039</v>
      </c>
      <c r="I276" s="2" t="s">
        <v>88</v>
      </c>
      <c r="J276" s="8" t="s">
        <v>3040</v>
      </c>
      <c r="Q276" s="9"/>
      <c r="W276" s="10"/>
      <c r="AB276" s="9"/>
      <c r="AC276" s="9"/>
      <c r="AJ276" s="9"/>
      <c r="AN276" s="9"/>
      <c r="AO276" s="11"/>
      <c r="AP276" s="9"/>
      <c r="AT276" s="9"/>
      <c r="BA276" s="9"/>
      <c r="BH276" s="9"/>
      <c r="BO276" s="9"/>
      <c r="BV276" s="9"/>
      <c r="CB276" s="9"/>
      <c r="CG276" s="9"/>
      <c r="CL276" s="9"/>
      <c r="CP276" s="9"/>
      <c r="DE276" s="2" t="s">
        <v>3038</v>
      </c>
      <c r="DF276" s="2" t="s">
        <v>3039</v>
      </c>
      <c r="DG276" s="2" t="s">
        <v>88</v>
      </c>
      <c r="DH276" s="8" t="s">
        <v>3040</v>
      </c>
      <c r="DI276" s="2" t="s">
        <v>135</v>
      </c>
      <c r="DJ276" s="2">
        <v>3231</v>
      </c>
      <c r="DQ276" s="2" t="s">
        <v>141</v>
      </c>
      <c r="DS276" s="2">
        <v>81999</v>
      </c>
      <c r="DT276" s="2">
        <v>7.47</v>
      </c>
      <c r="DX276" s="2">
        <v>752</v>
      </c>
      <c r="DY276" s="12"/>
    </row>
    <row r="277" spans="1:156" x14ac:dyDescent="0.25">
      <c r="A277" s="2" t="s">
        <v>3041</v>
      </c>
      <c r="B277" s="2">
        <v>0.26862695152176402</v>
      </c>
      <c r="C277" s="2">
        <f t="shared" si="4"/>
        <v>1.2046607765450723</v>
      </c>
      <c r="D277" s="2">
        <v>8.5157177699071909</v>
      </c>
      <c r="E277" s="2">
        <v>10.866683881646001</v>
      </c>
      <c r="F277" s="2">
        <v>9.7909687199426504E-4</v>
      </c>
      <c r="G277" s="2">
        <v>3.1950330044713503E-2</v>
      </c>
      <c r="H277" s="2" t="s">
        <v>3042</v>
      </c>
      <c r="I277" s="2" t="s">
        <v>102</v>
      </c>
      <c r="J277" s="2" t="str">
        <f>HYPERLINK("https://vectorbase.org/vectorbase/app/record/gene/AGAP007668","AGAP007668-RA")</f>
        <v>AGAP007668-RA</v>
      </c>
      <c r="K277" s="2" t="str">
        <f>HYPERLINK(".\links\pep\AGAP007668-PA-pep.txt","AGAP007668-PA")</f>
        <v>AGAP007668-PA</v>
      </c>
      <c r="L277" s="12" t="s">
        <v>95</v>
      </c>
      <c r="M277" s="2">
        <v>271</v>
      </c>
      <c r="N277" s="2">
        <v>0</v>
      </c>
      <c r="O277" s="2">
        <v>0</v>
      </c>
      <c r="P277" s="2" t="s">
        <v>3043</v>
      </c>
      <c r="Q277" s="9" t="s">
        <v>3044</v>
      </c>
      <c r="R277" s="2" t="s">
        <v>672</v>
      </c>
      <c r="S277" s="2" t="str">
        <f>HYPERLINK(".\links\KOG\AGAP007668-PA-KOG.txt","KOG")</f>
        <v>KOG</v>
      </c>
      <c r="T277" s="2">
        <v>3.9999999999999998E-94</v>
      </c>
      <c r="U277" s="2">
        <v>100</v>
      </c>
      <c r="V277" s="2" t="s">
        <v>3045</v>
      </c>
      <c r="W277" s="10" t="s">
        <v>3046</v>
      </c>
      <c r="X277" s="2" t="s">
        <v>672</v>
      </c>
      <c r="Y277" s="2" t="str">
        <f>HYPERLINK(".\links\REFSEQVERTEBRATE95\AGAP007668-PA-REFSEQVERTEBRATE95.txt","REFSEQVERTEBRATE95")</f>
        <v>REFSEQVERTEBRATE95</v>
      </c>
      <c r="Z277" s="2">
        <v>0</v>
      </c>
      <c r="AA277" s="2">
        <v>100</v>
      </c>
      <c r="AB277" s="13" t="s">
        <v>102</v>
      </c>
      <c r="AC277" s="13" t="str">
        <f>HYPERLINK(".\links\Sigp\AGAP007668-PA-SigP.txt","CYT")</f>
        <v>CYT</v>
      </c>
      <c r="AD277" s="2" t="s">
        <v>102</v>
      </c>
      <c r="AE277" s="2">
        <v>30.355</v>
      </c>
      <c r="AF277" s="2">
        <v>8.6300000000000008</v>
      </c>
      <c r="AG277" s="2" t="s">
        <v>102</v>
      </c>
      <c r="AH277" s="2" t="s">
        <v>102</v>
      </c>
      <c r="AI277" s="2" t="s">
        <v>211</v>
      </c>
      <c r="AJ277" s="13">
        <v>0</v>
      </c>
      <c r="AK277" s="2" t="s">
        <v>102</v>
      </c>
      <c r="AL277" s="2" t="s">
        <v>102</v>
      </c>
      <c r="AM277" s="2" t="s">
        <v>102</v>
      </c>
      <c r="AN277" s="13" t="str">
        <f>HYPERLINK(".\links\gpi\AGAP007668-PA-gpi.txt","N")</f>
        <v>N</v>
      </c>
      <c r="AO277" s="14" t="str">
        <f>HYPERLINK(".\links\netoglyc\AGAP007668-PA-netoglyc.txt","9")</f>
        <v>9</v>
      </c>
      <c r="AP277" s="13">
        <v>15.5</v>
      </c>
      <c r="AQ277" s="2">
        <v>5.9</v>
      </c>
      <c r="AR277" s="2">
        <v>7.4</v>
      </c>
      <c r="AS277" s="2" t="s">
        <v>104</v>
      </c>
      <c r="AT277" s="9" t="str">
        <f>HYPERLINK(".\links\NR-LIGHT\AGAP007668-PA-NR-LIGHT.txt","AGAP007668-PA")</f>
        <v>AGAP007668-PA</v>
      </c>
      <c r="AU277" s="2" t="str">
        <f>HYPERLINK("http://www.ncbi.nlm.nih.gov/sutils/blink.cgi?pid=XP_308202.3","1E-157")</f>
        <v>1E-157</v>
      </c>
      <c r="AV277" s="2" t="str">
        <f>HYPERLINK("http://www.ncbi.nlm.nih.gov/protein/XP_308202.3","XP_308202.3")</f>
        <v>XP_308202.3</v>
      </c>
      <c r="AW277" s="2">
        <v>100</v>
      </c>
      <c r="AX277" s="2">
        <v>100</v>
      </c>
      <c r="AY277" s="2">
        <v>100</v>
      </c>
      <c r="AZ277" s="2" t="s">
        <v>105</v>
      </c>
      <c r="BA277" s="9" t="str">
        <f>HYPERLINK(".\links\REFSEQ-INVERTEBRATE\AGAP007668-PA-REFSEQ-INVERTEBRATE.txt","AGAP007668-PA")</f>
        <v>AGAP007668-PA</v>
      </c>
      <c r="BB277" s="2" t="str">
        <f>HYPERLINK("http://www.ncbi.nlm.nih.gov/sutils/blink.cgi?pid=XP_308202.3","1E-157")</f>
        <v>1E-157</v>
      </c>
      <c r="BC277" s="2" t="str">
        <f>HYPERLINK("http://www.ncbi.nlm.nih.gov/protein/XP_308202.3","XP_308202.3")</f>
        <v>XP_308202.3</v>
      </c>
      <c r="BD277" s="2">
        <v>100</v>
      </c>
      <c r="BE277" s="2">
        <v>100</v>
      </c>
      <c r="BF277" s="2">
        <v>100</v>
      </c>
      <c r="BG277" s="2" t="s">
        <v>105</v>
      </c>
      <c r="BH277" s="9" t="str">
        <f>HYPERLINK(".\links\REFSEQ-PROTOZOA\AGAP007668-PA-REFSEQ-PROTOZOA.txt","hypothetical protein SARC_11385")</f>
        <v>hypothetical protein SARC_11385</v>
      </c>
      <c r="BI277" s="2" t="str">
        <f>HYPERLINK("http://www.ncbi.nlm.nih.gov/sutils/blink.cgi?pid=XP_014150006.1","6E-047")</f>
        <v>6E-047</v>
      </c>
      <c r="BJ277" s="2" t="str">
        <f>HYPERLINK("http://www.ncbi.nlm.nih.gov/protein/XP_014150006.1","XP_014150006.1")</f>
        <v>XP_014150006.1</v>
      </c>
      <c r="BK277" s="2">
        <v>40</v>
      </c>
      <c r="BL277" s="2">
        <v>58</v>
      </c>
      <c r="BM277" s="2">
        <v>101</v>
      </c>
      <c r="BN277" s="2" t="s">
        <v>393</v>
      </c>
      <c r="BO277" s="9" t="str">
        <f>HYPERLINK(".\links\SWISSP\AGAP007668-PA-SWISSP.txt","Eukaryotic translation initiation factor 3 subunit G")</f>
        <v>Eukaryotic translation initiation factor 3 subunit G</v>
      </c>
      <c r="BP277" s="2" t="str">
        <f>HYPERLINK("http://www.uniprot.org/uniprot/Q7QJV0","1E-158")</f>
        <v>1E-158</v>
      </c>
      <c r="BQ277" s="2" t="str">
        <f>HYPERLINK("http://www.uniprot.org/uniprot/Q7QJV0#expression","Q7QJV0")</f>
        <v>Q7QJV0</v>
      </c>
      <c r="BR277" s="2">
        <v>100</v>
      </c>
      <c r="BS277" s="2">
        <v>100</v>
      </c>
      <c r="BT277" s="2">
        <v>100</v>
      </c>
      <c r="BU277" s="2" t="s">
        <v>249</v>
      </c>
      <c r="BV277" s="9" t="str">
        <f>HYPERLINK(".\links\FLYBASE\AGAP007668-PA-FLYBASE.txt","FBpp0070430")</f>
        <v>FBpp0070430</v>
      </c>
      <c r="BW277" s="2" t="str">
        <f>HYPERLINK("http://flybase.org/reports/FBgn0029629#alliance_summary_container","1E-133")</f>
        <v>1E-133</v>
      </c>
      <c r="BX277" s="2">
        <v>269</v>
      </c>
      <c r="BY277" s="2">
        <v>67</v>
      </c>
      <c r="BZ277" s="2">
        <v>79</v>
      </c>
      <c r="CA277" s="2">
        <v>101</v>
      </c>
      <c r="CB277" s="9" t="str">
        <f>HYPERLINK(".\links\CDD\AGAP007668-PA-CDD.txt","eIF3g, Eukaryotic translation initiation factor 3 subunit G")</f>
        <v>eIF3g, Eukaryotic translation initiation factor 3 subunit G</v>
      </c>
      <c r="CC277" s="15">
        <v>4.9999999999999996E-41</v>
      </c>
      <c r="CD277" s="2">
        <v>100</v>
      </c>
      <c r="CE277" s="2" t="s">
        <v>3047</v>
      </c>
      <c r="CF277" s="2" t="s">
        <v>3048</v>
      </c>
      <c r="CG277" s="9" t="str">
        <f>HYPERLINK(".\links\KOG\AGAP007668-PA-KOG.txt","subunit g (eIF-3g)")</f>
        <v>subunit g (eIF-3g)</v>
      </c>
      <c r="CH277" s="15">
        <v>3.9999999999999998E-94</v>
      </c>
      <c r="CI277" s="2">
        <v>100</v>
      </c>
      <c r="CJ277" s="2" t="s">
        <v>3049</v>
      </c>
      <c r="CK277" s="2" t="s">
        <v>678</v>
      </c>
      <c r="CL277" s="9" t="str">
        <f>HYPERLINK(".\links\PFAM\AGAP007668-PA-PFAM.txt","eIF3g, Eukaryotic translation initiation factor 3 subunit G")</f>
        <v>eIF3g, Eukaryotic translation initiation factor 3 subunit G</v>
      </c>
      <c r="CM277" s="15">
        <v>1E-41</v>
      </c>
      <c r="CN277" s="2">
        <v>100</v>
      </c>
      <c r="CO277" s="2" t="s">
        <v>3047</v>
      </c>
      <c r="CP277" s="9" t="str">
        <f>HYPERLINK(".\links\SMART\AGAP007668-PA-SMART.txt","RRM, RNA recognition motif")</f>
        <v>RRM, RNA recognition motif</v>
      </c>
      <c r="CQ277" s="15">
        <v>2.0000000000000002E-15</v>
      </c>
      <c r="CR277" s="2">
        <v>98.6</v>
      </c>
      <c r="CS277" s="2" t="s">
        <v>1254</v>
      </c>
      <c r="CT277" s="2" t="s">
        <v>3045</v>
      </c>
      <c r="CU277" s="2" t="s">
        <v>3045</v>
      </c>
      <c r="CV277" s="2" t="s">
        <v>3045</v>
      </c>
      <c r="CW277" s="2" t="str">
        <f>HYPERLINK(".\links\pep\AGAP007668-PA-pep.txt","AGAP007668-PA")</f>
        <v>AGAP007668-PA</v>
      </c>
      <c r="CX277" s="2" t="s">
        <v>95</v>
      </c>
      <c r="CY277" s="2">
        <v>271</v>
      </c>
      <c r="CZ277" s="2" t="s">
        <v>113</v>
      </c>
      <c r="DA277" s="2">
        <v>0</v>
      </c>
      <c r="DB277" s="2">
        <v>0</v>
      </c>
      <c r="DD277" s="2" t="str">
        <f>HYPERLINK("https://www.kegg.jp/kegg-bin/search_pathway_text?map=aga&amp;keyword=AGAP007668&amp;mode=1&amp;viewImage=true","AGAP007668")</f>
        <v>AGAP007668</v>
      </c>
      <c r="DE277" s="2" t="s">
        <v>3041</v>
      </c>
      <c r="DF277" s="2" t="s">
        <v>3042</v>
      </c>
      <c r="DG277" s="2" t="s">
        <v>102</v>
      </c>
      <c r="DH277" s="2" t="str">
        <f>HYPERLINK("https://vectorbase.org/vectorbase/app/record/gene/AGAP007668","AGAP007668-RA")</f>
        <v>AGAP007668-RA</v>
      </c>
      <c r="DI277" s="2" t="s">
        <v>118</v>
      </c>
      <c r="DJ277" s="2">
        <v>1114</v>
      </c>
      <c r="DK277" s="2" t="str">
        <f>HYPERLINK(".\links\netoglyc\AGAP007668-PA-netoglyc.txt","9")</f>
        <v>9</v>
      </c>
      <c r="DL277" s="2">
        <v>15.5</v>
      </c>
      <c r="DM277" s="2">
        <v>5.9</v>
      </c>
      <c r="DN277" s="2">
        <v>7.4</v>
      </c>
      <c r="DO277" s="2" t="s">
        <v>104</v>
      </c>
      <c r="DP277" s="2" t="s">
        <v>3050</v>
      </c>
      <c r="DQ277" s="2" t="str">
        <f>HYPERLINK(".\links\Sigp\AGAP007668-PA-SigP.txt","CYT")</f>
        <v>CYT</v>
      </c>
      <c r="DR277" s="2" t="s">
        <v>102</v>
      </c>
      <c r="DS277" s="2">
        <v>30.355</v>
      </c>
      <c r="DT277" s="2">
        <v>8.6300000000000008</v>
      </c>
      <c r="DU277" s="2" t="s">
        <v>102</v>
      </c>
      <c r="DV277" s="2" t="s">
        <v>102</v>
      </c>
      <c r="DW277" s="2" t="s">
        <v>211</v>
      </c>
      <c r="DX277" s="2">
        <v>271</v>
      </c>
      <c r="DY277" s="12">
        <v>0</v>
      </c>
      <c r="DZ277" s="2" t="s">
        <v>102</v>
      </c>
      <c r="EA277" s="2" t="s">
        <v>102</v>
      </c>
      <c r="EB277" s="2" t="s">
        <v>102</v>
      </c>
      <c r="EC277" s="2" t="str">
        <f>HYPERLINK(".\links\gpi\AGAP007668-PA-gpi.txt","Y-NoSP")</f>
        <v>Y-NoSP</v>
      </c>
      <c r="ED277" s="2">
        <v>0.24</v>
      </c>
      <c r="EF277" s="2">
        <v>5</v>
      </c>
      <c r="EG277" s="2" t="s">
        <v>102</v>
      </c>
      <c r="EH277" s="2" t="s">
        <v>102</v>
      </c>
      <c r="EI277" s="2">
        <v>15.498154981549799</v>
      </c>
      <c r="EJ277" s="2">
        <v>7.3800738007380096</v>
      </c>
      <c r="EK277" s="2">
        <v>5.9040590405904103</v>
      </c>
      <c r="EL277" s="2">
        <v>13.2841328413284</v>
      </c>
      <c r="EM277" s="2" t="s">
        <v>102</v>
      </c>
      <c r="EN277" s="2">
        <v>1</v>
      </c>
      <c r="EO277" s="2">
        <v>1</v>
      </c>
      <c r="EP277" s="2" t="s">
        <v>102</v>
      </c>
      <c r="EQ277" s="2" t="s">
        <v>102</v>
      </c>
      <c r="ER277" s="2" t="s">
        <v>102</v>
      </c>
      <c r="ES277" s="2" t="s">
        <v>102</v>
      </c>
      <c r="ET277" s="2" t="str">
        <f>HYPERLINK(".\links\REFSEQ-INVERTEBRATE\AGAP007668-PA-REFSEQ-INVERTEBRATE.txt","AGAP007668-PA")</f>
        <v>AGAP007668-PA</v>
      </c>
      <c r="EU277" s="2" t="str">
        <f>HYPERLINK("http://www.ncbi.nlm.nih.gov/sutils/blink.cgi?pid=XP_308202.3","0.0")</f>
        <v>0.0</v>
      </c>
      <c r="EV277" s="2" t="str">
        <f>HYPERLINK("http://www.ncbi.nlm.nih.gov/protein/XP_308202.3","XP_308202.3")</f>
        <v>XP_308202.3</v>
      </c>
      <c r="EW277" s="2">
        <v>100</v>
      </c>
      <c r="EX277" s="2">
        <v>100</v>
      </c>
      <c r="EY277" s="2">
        <v>100</v>
      </c>
      <c r="EZ277" s="2" t="s">
        <v>105</v>
      </c>
    </row>
    <row r="278" spans="1:156" x14ac:dyDescent="0.25">
      <c r="A278" s="2" t="s">
        <v>3051</v>
      </c>
      <c r="B278" s="2">
        <v>0.26722914154664201</v>
      </c>
      <c r="C278" s="2">
        <f t="shared" si="4"/>
        <v>1.2034941603740408</v>
      </c>
      <c r="D278" s="2">
        <v>8.3495167081407597</v>
      </c>
      <c r="E278" s="2">
        <v>11.485905234193099</v>
      </c>
      <c r="F278" s="2">
        <v>7.0125963446669801E-4</v>
      </c>
      <c r="G278" s="2">
        <v>2.8954601187736202E-2</v>
      </c>
      <c r="H278" s="2" t="s">
        <v>3052</v>
      </c>
      <c r="I278" s="2" t="s">
        <v>94</v>
      </c>
      <c r="J278" s="2" t="str">
        <f>HYPERLINK("https://vectorbase.org/vectorbase/app/record/gene/AGAP010206","AGAP010206-RA")</f>
        <v>AGAP010206-RA</v>
      </c>
      <c r="K278" s="2" t="str">
        <f>HYPERLINK(".\links\pep\AGAP010206-PA-pep.txt","AGAP010206-PA")</f>
        <v>AGAP010206-PA</v>
      </c>
      <c r="L278" s="12" t="s">
        <v>95</v>
      </c>
      <c r="M278" s="2">
        <v>797</v>
      </c>
      <c r="N278" s="2">
        <v>0</v>
      </c>
      <c r="O278" s="2">
        <v>0</v>
      </c>
      <c r="P278" s="2" t="s">
        <v>3053</v>
      </c>
      <c r="Q278" s="9" t="s">
        <v>3054</v>
      </c>
      <c r="R278" s="2" t="s">
        <v>771</v>
      </c>
      <c r="S278" s="2" t="str">
        <f>HYPERLINK(".\links\KOG\AGAP010206-PA-KOG.txt","KOG")</f>
        <v>KOG</v>
      </c>
      <c r="T278" s="2">
        <v>0</v>
      </c>
      <c r="U278" s="2">
        <v>101</v>
      </c>
      <c r="V278" s="2" t="s">
        <v>3055</v>
      </c>
      <c r="W278" s="10" t="s">
        <v>3056</v>
      </c>
      <c r="X278" s="2" t="s">
        <v>358</v>
      </c>
      <c r="Y278" s="2" t="str">
        <f>HYPERLINK(".\links\CDD\AGAP010206-PA-CDD.txt","CDD")</f>
        <v>CDD</v>
      </c>
      <c r="Z278" s="2">
        <v>0</v>
      </c>
      <c r="AA278" s="2">
        <v>101.3</v>
      </c>
      <c r="AB278" s="13" t="str">
        <f>HYPERLINK(".\links\pep\AGAP010206-PA-sulf.txt","2")</f>
        <v>2</v>
      </c>
      <c r="AC278" s="13" t="str">
        <f>HYPERLINK(".\links\Sigp\AGAP010206-PA-SigP.txt","CYT")</f>
        <v>CYT</v>
      </c>
      <c r="AD278" s="2" t="s">
        <v>102</v>
      </c>
      <c r="AE278" s="2">
        <v>90.244</v>
      </c>
      <c r="AF278" s="2">
        <v>5.0599999999999996</v>
      </c>
      <c r="AG278" s="2" t="s">
        <v>102</v>
      </c>
      <c r="AH278" s="2" t="s">
        <v>102</v>
      </c>
      <c r="AI278" s="2" t="s">
        <v>211</v>
      </c>
      <c r="AJ278" s="13">
        <v>0</v>
      </c>
      <c r="AK278" s="2" t="s">
        <v>102</v>
      </c>
      <c r="AL278" s="2" t="s">
        <v>102</v>
      </c>
      <c r="AM278" s="2" t="s">
        <v>102</v>
      </c>
      <c r="AN278" s="13" t="str">
        <f>HYPERLINK(".\links\gpi\AGAP010206-PA-gpi.txt","N")</f>
        <v>N</v>
      </c>
      <c r="AO278" s="14" t="str">
        <f>HYPERLINK(".\links\netoglyc\AGAP010206-PA-netoglyc.txt","0")</f>
        <v>0</v>
      </c>
      <c r="AP278" s="13">
        <v>15.4</v>
      </c>
      <c r="AQ278" s="2">
        <v>2.6</v>
      </c>
      <c r="AR278" s="2">
        <v>1</v>
      </c>
      <c r="AS278" s="2" t="s">
        <v>104</v>
      </c>
      <c r="AT278" s="9" t="str">
        <f>HYPERLINK(".\links\NR-LIGHT\AGAP010206-PA-NR-LIGHT.txt","AGAP010206-PA")</f>
        <v>AGAP010206-PA</v>
      </c>
      <c r="AU278" s="2" t="str">
        <f>HYPERLINK("http://www.ncbi.nlm.nih.gov/sutils/blink.cgi?pid=XP_554113.3","0.0")</f>
        <v>0.0</v>
      </c>
      <c r="AV278" s="2" t="str">
        <f>HYPERLINK("http://www.ncbi.nlm.nih.gov/protein/XP_554113.3","XP_554113.3")</f>
        <v>XP_554113.3</v>
      </c>
      <c r="AW278" s="2">
        <v>100</v>
      </c>
      <c r="AX278" s="2">
        <v>100</v>
      </c>
      <c r="AY278" s="2">
        <v>100</v>
      </c>
      <c r="AZ278" s="2" t="s">
        <v>105</v>
      </c>
      <c r="BA278" s="9" t="str">
        <f>HYPERLINK(".\links\REFSEQ-INVERTEBRATE\AGAP010206-PA-REFSEQ-INVERTEBRATE.txt","AGAP010206-PA")</f>
        <v>AGAP010206-PA</v>
      </c>
      <c r="BB278" s="2" t="str">
        <f>HYPERLINK("http://www.ncbi.nlm.nih.gov/sutils/blink.cgi?pid=XP_554113.3","0.0")</f>
        <v>0.0</v>
      </c>
      <c r="BC278" s="2" t="str">
        <f>HYPERLINK("http://www.ncbi.nlm.nih.gov/protein/XP_554113.3","XP_554113.3")</f>
        <v>XP_554113.3</v>
      </c>
      <c r="BD278" s="2">
        <v>100</v>
      </c>
      <c r="BE278" s="2">
        <v>100</v>
      </c>
      <c r="BF278" s="2">
        <v>100</v>
      </c>
      <c r="BG278" s="2" t="s">
        <v>105</v>
      </c>
      <c r="BH278" s="9" t="str">
        <f>HYPERLINK(".\links\REFSEQ-PROTOZOA\AGAP010206-PA-REFSEQ-PROTOZOA.txt","hypothetical protein JH06_3373")</f>
        <v>hypothetical protein JH06_3373</v>
      </c>
      <c r="BI278" s="2" t="str">
        <f>HYPERLINK("http://www.ncbi.nlm.nih.gov/sutils/blink.cgi?pid=XP_014527187.1","4E-032")</f>
        <v>4E-032</v>
      </c>
      <c r="BJ278" s="2" t="str">
        <f>HYPERLINK("http://www.ncbi.nlm.nih.gov/protein/XP_014527187.1","XP_014527187.1")</f>
        <v>XP_014527187.1</v>
      </c>
      <c r="BK278" s="2">
        <v>23</v>
      </c>
      <c r="BL278" s="2">
        <v>43</v>
      </c>
      <c r="BM278" s="2">
        <v>28</v>
      </c>
      <c r="BN278" s="2" t="s">
        <v>3057</v>
      </c>
      <c r="BO278" s="9" t="str">
        <f>HYPERLINK(".\links\SWISSP\AGAP010206-PA-SWISSP.txt","Protein bicaudal D")</f>
        <v>Protein bicaudal D</v>
      </c>
      <c r="BP278" s="2" t="str">
        <f>HYPERLINK("http://www.uniprot.org/uniprot/P16568","0.0")</f>
        <v>0.0</v>
      </c>
      <c r="BQ278" s="2" t="str">
        <f>HYPERLINK("http://www.uniprot.org/uniprot/P16568#expression","P16568")</f>
        <v>P16568</v>
      </c>
      <c r="BR278" s="2">
        <v>72</v>
      </c>
      <c r="BS278" s="2">
        <v>83</v>
      </c>
      <c r="BT278" s="2">
        <v>101</v>
      </c>
      <c r="BU278" s="2" t="s">
        <v>107</v>
      </c>
      <c r="BV278" s="9" t="str">
        <f>HYPERLINK(".\links\FLYBASE\AGAP010206-PA-FLYBASE.txt","FBpp0303258")</f>
        <v>FBpp0303258</v>
      </c>
      <c r="BW278" s="2" t="str">
        <f>HYPERLINK("http://flybase.org/reports/FBgn0000183#alliance_summary_container","0.0")</f>
        <v>0.0</v>
      </c>
      <c r="BX278" s="2">
        <v>782</v>
      </c>
      <c r="BY278" s="2">
        <v>73</v>
      </c>
      <c r="BZ278" s="2">
        <v>84</v>
      </c>
      <c r="CA278" s="2">
        <v>101</v>
      </c>
      <c r="CB278" s="9" t="str">
        <f>HYPERLINK(".\links\CDD\AGAP010206-PA-CDD.txt","BicD, Microtubule-associated protein Bicaudal-D")</f>
        <v>BicD, Microtubule-associated protein Bicaudal-D</v>
      </c>
      <c r="CC278" s="15">
        <v>0</v>
      </c>
      <c r="CD278" s="2">
        <v>103.4</v>
      </c>
      <c r="CE278" s="2" t="s">
        <v>3058</v>
      </c>
      <c r="CF278" s="2" t="s">
        <v>3059</v>
      </c>
      <c r="CG278" s="9" t="str">
        <f>HYPERLINK(".\links\KOG\AGAP010206-PA-KOG.txt","Microtubule-associated protein Bicaudal-D")</f>
        <v>Microtubule-associated protein Bicaudal-D</v>
      </c>
      <c r="CH278" s="15">
        <v>0</v>
      </c>
      <c r="CI278" s="2">
        <v>101.3</v>
      </c>
      <c r="CJ278" s="2" t="s">
        <v>3060</v>
      </c>
      <c r="CK278" s="2" t="s">
        <v>154</v>
      </c>
      <c r="CL278" s="9" t="str">
        <f>HYPERLINK(".\links\PFAM\AGAP010206-PA-PFAM.txt","BicD, Microtubule-associated protein Bicaudal-D")</f>
        <v>BicD, Microtubule-associated protein Bicaudal-D</v>
      </c>
      <c r="CM278" s="15">
        <v>0</v>
      </c>
      <c r="CN278" s="2">
        <v>103.4</v>
      </c>
      <c r="CO278" s="2" t="s">
        <v>3058</v>
      </c>
      <c r="CP278" s="9" t="str">
        <f>HYPERLINK(".\links\SMART\AGAP010206-PA-SMART.txt","Spc7, Spc7 kinetochore protein")</f>
        <v>Spc7, Spc7 kinetochore protein</v>
      </c>
      <c r="CQ278" s="15">
        <v>6.0000000000000001E-3</v>
      </c>
      <c r="CR278" s="2">
        <v>37.5</v>
      </c>
      <c r="CS278" s="2" t="s">
        <v>1061</v>
      </c>
      <c r="CT278" s="2" t="s">
        <v>3055</v>
      </c>
      <c r="CU278" s="2" t="s">
        <v>3055</v>
      </c>
      <c r="CV278" s="2" t="s">
        <v>3055</v>
      </c>
      <c r="CW278" s="2" t="str">
        <f>HYPERLINK(".\links\pep\AGAP010206-PA-pep.txt","AGAP010206-PA")</f>
        <v>AGAP010206-PA</v>
      </c>
      <c r="CX278" s="2" t="s">
        <v>95</v>
      </c>
      <c r="CY278" s="2">
        <v>797</v>
      </c>
      <c r="CZ278" s="2" t="s">
        <v>113</v>
      </c>
      <c r="DA278" s="2" t="s">
        <v>3061</v>
      </c>
      <c r="DB278" s="2">
        <v>0</v>
      </c>
      <c r="DC278" s="2">
        <v>0</v>
      </c>
      <c r="DD278" s="2" t="str">
        <f>HYPERLINK("https://www.kegg.jp/kegg-bin/search_pathway_text?map=aga&amp;keyword=AGAP010206&amp;mode=1&amp;viewImage=true","AGAP010206")</f>
        <v>AGAP010206</v>
      </c>
      <c r="DE278" s="2" t="s">
        <v>3051</v>
      </c>
      <c r="DF278" s="2" t="s">
        <v>3052</v>
      </c>
      <c r="DG278" s="2" t="s">
        <v>94</v>
      </c>
      <c r="DH278" s="2" t="str">
        <f>HYPERLINK("https://vectorbase.org/vectorbase/app/record/gene/AGAP010206","AGAP010206-RA")</f>
        <v>AGAP010206-RA</v>
      </c>
      <c r="DI278" s="2" t="s">
        <v>135</v>
      </c>
      <c r="DJ278" s="2">
        <v>6491</v>
      </c>
      <c r="DK278" s="2" t="str">
        <f>HYPERLINK(".\links\netoglyc\AGAP010206-PA-netoglyc.txt","0")</f>
        <v>0</v>
      </c>
      <c r="DL278" s="2">
        <v>15.4</v>
      </c>
      <c r="DM278" s="2">
        <v>2.6</v>
      </c>
      <c r="DN278" s="2">
        <v>1</v>
      </c>
      <c r="DO278" s="2" t="s">
        <v>104</v>
      </c>
      <c r="DP278" s="2" t="s">
        <v>102</v>
      </c>
      <c r="DQ278" s="2" t="str">
        <f>HYPERLINK(".\links\Sigp\AGAP010206-PA-SigP.txt","CYT")</f>
        <v>CYT</v>
      </c>
      <c r="DR278" s="2" t="s">
        <v>102</v>
      </c>
      <c r="DS278" s="2">
        <v>90.244</v>
      </c>
      <c r="DT278" s="2">
        <v>5.0599999999999996</v>
      </c>
      <c r="DU278" s="2" t="s">
        <v>102</v>
      </c>
      <c r="DV278" s="2" t="s">
        <v>102</v>
      </c>
      <c r="DW278" s="2" t="s">
        <v>211</v>
      </c>
      <c r="DX278" s="2">
        <v>797</v>
      </c>
      <c r="DY278" s="12">
        <v>0</v>
      </c>
      <c r="DZ278" s="2" t="s">
        <v>102</v>
      </c>
      <c r="EA278" s="2" t="s">
        <v>102</v>
      </c>
      <c r="EB278" s="2" t="s">
        <v>102</v>
      </c>
      <c r="EC278" s="2" t="str">
        <f>HYPERLINK(".\links\gpi\AGAP010206-PA-gpi.txt","Y-NoSP")</f>
        <v>Y-NoSP</v>
      </c>
      <c r="ED278" s="2">
        <v>0.35</v>
      </c>
      <c r="EF278" s="2">
        <v>6</v>
      </c>
      <c r="EG278" s="2" t="str">
        <f>HYPERLINK(".\links\pep\AGAP010206-PA-sulf.txt","2")</f>
        <v>2</v>
      </c>
      <c r="EH278" s="2" t="s">
        <v>102</v>
      </c>
      <c r="EI278" s="2">
        <v>15.4328732747804</v>
      </c>
      <c r="EJ278" s="2">
        <v>1.00376411543287</v>
      </c>
      <c r="EK278" s="2">
        <v>2.6348808030112898</v>
      </c>
      <c r="EL278" s="2">
        <v>3.6386449184441698</v>
      </c>
      <c r="EM278" s="2" t="s">
        <v>102</v>
      </c>
      <c r="EN278" s="2">
        <v>2</v>
      </c>
      <c r="EO278" s="2">
        <v>2</v>
      </c>
      <c r="EP278" s="2" t="s">
        <v>102</v>
      </c>
      <c r="EQ278" s="2" t="s">
        <v>102</v>
      </c>
      <c r="ER278" s="2" t="s">
        <v>102</v>
      </c>
      <c r="ES278" s="2" t="s">
        <v>102</v>
      </c>
      <c r="ET278" s="2" t="str">
        <f>HYPERLINK(".\links\REFSEQ-INVERTEBRATE\AGAP010206-PA-REFSEQ-INVERTEBRATE.txt","AGAP010206-PA")</f>
        <v>AGAP010206-PA</v>
      </c>
      <c r="EU278" s="2" t="str">
        <f>HYPERLINK("http://www.ncbi.nlm.nih.gov/sutils/blink.cgi?pid=XP_554113.3","0.0")</f>
        <v>0.0</v>
      </c>
      <c r="EV278" s="2" t="str">
        <f>HYPERLINK("http://www.ncbi.nlm.nih.gov/protein/XP_554113.3","XP_554113.3")</f>
        <v>XP_554113.3</v>
      </c>
      <c r="EW278" s="2">
        <v>100</v>
      </c>
      <c r="EX278" s="2">
        <v>100</v>
      </c>
      <c r="EY278" s="2">
        <v>100</v>
      </c>
      <c r="EZ278" s="2" t="s">
        <v>105</v>
      </c>
    </row>
    <row r="279" spans="1:156" x14ac:dyDescent="0.25">
      <c r="A279" s="2" t="s">
        <v>3062</v>
      </c>
      <c r="B279" s="2">
        <v>0.266815227808399</v>
      </c>
      <c r="C279" s="2">
        <f t="shared" si="4"/>
        <v>1.2031489236467845</v>
      </c>
      <c r="D279" s="2">
        <v>6.1180783539605796</v>
      </c>
      <c r="E279" s="2">
        <v>10.7924640030511</v>
      </c>
      <c r="F279" s="2">
        <v>1.01914135373781E-3</v>
      </c>
      <c r="G279" s="2">
        <v>3.2294656080662801E-2</v>
      </c>
      <c r="H279" s="2" t="s">
        <v>3063</v>
      </c>
      <c r="I279" s="2" t="s">
        <v>94</v>
      </c>
      <c r="J279" s="2" t="str">
        <f>HYPERLINK("https://vectorbase.org/vectorbase/app/record/gene/AGAP002339","AGAP002339-RA")</f>
        <v>AGAP002339-RA</v>
      </c>
      <c r="K279" s="2" t="str">
        <f>HYPERLINK(".\links\pep\AGAP002339-PA-pep.txt","AGAP002339-PA")</f>
        <v>AGAP002339-PA</v>
      </c>
      <c r="L279" s="12" t="s">
        <v>95</v>
      </c>
      <c r="M279" s="2">
        <v>258</v>
      </c>
      <c r="N279" s="2">
        <v>0</v>
      </c>
      <c r="O279" s="2">
        <v>1</v>
      </c>
      <c r="P279" s="2" t="s">
        <v>3064</v>
      </c>
      <c r="Q279" s="9" t="s">
        <v>3065</v>
      </c>
      <c r="R279" s="2" t="s">
        <v>196</v>
      </c>
      <c r="S279" s="2" t="str">
        <f>HYPERLINK(".\links\REFSEQ-INVERTEBRATE\AGAP002339-PA-REFSEQ-INVERTEBRATE.txt","REFSEQ-INVERTEBRATE")</f>
        <v>REFSEQ-INVERTEBRATE</v>
      </c>
      <c r="T279" s="2">
        <v>0</v>
      </c>
      <c r="U279" s="2">
        <v>100</v>
      </c>
      <c r="V279" s="2" t="s">
        <v>3065</v>
      </c>
      <c r="W279" s="10" t="s">
        <v>3066</v>
      </c>
      <c r="X279" s="2" t="s">
        <v>822</v>
      </c>
      <c r="Y279" s="2" t="str">
        <f>HYPERLINK(".\links\UNIPROTKB\AGAP002339-PA-UNIPROTKB.txt","UNIPROTKB")</f>
        <v>UNIPROTKB</v>
      </c>
      <c r="Z279" s="15">
        <v>8.9999999999999995E-65</v>
      </c>
      <c r="AA279" s="2">
        <v>86.7</v>
      </c>
      <c r="AB279" s="13" t="s">
        <v>102</v>
      </c>
      <c r="AC279" s="13" t="str">
        <f>HYPERLINK(".\links\Sigp\AGAP002339-PA-SigP.txt","CYT")</f>
        <v>CYT</v>
      </c>
      <c r="AD279" s="2" t="s">
        <v>102</v>
      </c>
      <c r="AE279" s="2">
        <v>28.1</v>
      </c>
      <c r="AF279" s="2">
        <v>8.77</v>
      </c>
      <c r="AG279" s="2" t="s">
        <v>102</v>
      </c>
      <c r="AH279" s="2" t="s">
        <v>102</v>
      </c>
      <c r="AI279" s="2" t="s">
        <v>211</v>
      </c>
      <c r="AJ279" s="13">
        <v>0</v>
      </c>
      <c r="AK279" s="2" t="s">
        <v>102</v>
      </c>
      <c r="AL279" s="2" t="s">
        <v>102</v>
      </c>
      <c r="AM279" s="2" t="s">
        <v>102</v>
      </c>
      <c r="AN279" s="13" t="str">
        <f>HYPERLINK(".\links\gpi\AGAP002339-PA-gpi.txt","N")</f>
        <v>N</v>
      </c>
      <c r="AO279" s="14" t="str">
        <f>HYPERLINK(".\links\netoglyc\AGAP002339-PA-netoglyc.txt","8")</f>
        <v>8</v>
      </c>
      <c r="AP279" s="13">
        <v>16.7</v>
      </c>
      <c r="AQ279" s="2">
        <v>5.8</v>
      </c>
      <c r="AR279" s="2">
        <v>5</v>
      </c>
      <c r="AS279" s="2" t="s">
        <v>104</v>
      </c>
      <c r="AT279" s="9" t="str">
        <f>HYPERLINK(".\links\NR-LIGHT\AGAP002339-PA-NR-LIGHT.txt","AGAP002339-PA")</f>
        <v>AGAP002339-PA</v>
      </c>
      <c r="AU279" s="2" t="str">
        <f>HYPERLINK("http://www.ncbi.nlm.nih.gov/sutils/blink.cgi?pid=XP_312629.4","1E-150")</f>
        <v>1E-150</v>
      </c>
      <c r="AV279" s="2" t="str">
        <f>HYPERLINK("http://www.ncbi.nlm.nih.gov/protein/XP_312629.4","XP_312629.4")</f>
        <v>XP_312629.4</v>
      </c>
      <c r="AW279" s="2">
        <v>100</v>
      </c>
      <c r="AX279" s="2">
        <v>100</v>
      </c>
      <c r="AY279" s="2">
        <v>100</v>
      </c>
      <c r="AZ279" s="2" t="s">
        <v>105</v>
      </c>
      <c r="BA279" s="9" t="str">
        <f>HYPERLINK(".\links\REFSEQ-INVERTEBRATE\AGAP002339-PA-REFSEQ-INVERTEBRATE.txt","AGAP002339-PA")</f>
        <v>AGAP002339-PA</v>
      </c>
      <c r="BB279" s="2" t="str">
        <f>HYPERLINK("http://www.ncbi.nlm.nih.gov/sutils/blink.cgi?pid=XP_312629.4","1E-150")</f>
        <v>1E-150</v>
      </c>
      <c r="BC279" s="2" t="str">
        <f>HYPERLINK("http://www.ncbi.nlm.nih.gov/protein/XP_312629.4","XP_312629.4")</f>
        <v>XP_312629.4</v>
      </c>
      <c r="BD279" s="2">
        <v>100</v>
      </c>
      <c r="BE279" s="2">
        <v>100</v>
      </c>
      <c r="BF279" s="2">
        <v>100</v>
      </c>
      <c r="BG279" s="2" t="s">
        <v>105</v>
      </c>
      <c r="BH279" s="9" t="str">
        <f>HYPERLINK(".\links\REFSEQ-PROTOZOA\AGAP002339-PA-REFSEQ-PROTOZOA.txt","hypothetical protein CAOG_08122")</f>
        <v>hypothetical protein CAOG_08122</v>
      </c>
      <c r="BI279" s="2" t="str">
        <f>HYPERLINK("http://www.ncbi.nlm.nih.gov/sutils/blink.cgi?pid=XP_004342723.2","5E-042")</f>
        <v>5E-042</v>
      </c>
      <c r="BJ279" s="2" t="str">
        <f>HYPERLINK("http://www.ncbi.nlm.nih.gov/protein/XP_004342723.2","XP_004342723.2")</f>
        <v>XP_004342723.2</v>
      </c>
      <c r="BK279" s="2">
        <v>35</v>
      </c>
      <c r="BL279" s="2">
        <v>49</v>
      </c>
      <c r="BM279" s="2">
        <v>100</v>
      </c>
      <c r="BN279" s="2" t="s">
        <v>106</v>
      </c>
      <c r="BO279" s="9" t="str">
        <f>HYPERLINK(".\links\SWISSP\AGAP002339-PA-SWISSP.txt","AN1-type zinc finger protein 2B")</f>
        <v>AN1-type zinc finger protein 2B</v>
      </c>
      <c r="BP279" s="2" t="str">
        <f>HYPERLINK("http://www.uniprot.org/uniprot/Q4KLG9","1E-053")</f>
        <v>1E-053</v>
      </c>
      <c r="BQ279" s="2" t="str">
        <f>HYPERLINK("http://www.uniprot.org/uniprot/Q4KLG9#expression","Q4KLG9")</f>
        <v>Q4KLG9</v>
      </c>
      <c r="BR279" s="2">
        <v>44</v>
      </c>
      <c r="BS279" s="2">
        <v>60</v>
      </c>
      <c r="BT279" s="2">
        <v>101</v>
      </c>
      <c r="BU279" s="2" t="s">
        <v>305</v>
      </c>
      <c r="BV279" s="9" t="str">
        <f>HYPERLINK(".\links\FLYBASE\AGAP002339-PA-FLYBASE.txt","FBpp0111932")</f>
        <v>FBpp0111932</v>
      </c>
      <c r="BW279" s="2" t="str">
        <f>HYPERLINK("http://flybase.org/reports/FBgn0031535#alliance_summary_container","2E-83")</f>
        <v>2E-83</v>
      </c>
      <c r="BX279" s="2">
        <v>253</v>
      </c>
      <c r="BY279" s="2">
        <v>48</v>
      </c>
      <c r="BZ279" s="2">
        <v>63</v>
      </c>
      <c r="CA279" s="2">
        <v>108</v>
      </c>
      <c r="CB279" s="9" t="str">
        <f>HYPERLINK(".\links\CDD\AGAP002339-PA-CDD.txt","zf-AN1, AN1-like Zinc finger")</f>
        <v>zf-AN1, AN1-like Zinc finger</v>
      </c>
      <c r="CC279" s="15">
        <v>8.9999999999999995E-9</v>
      </c>
      <c r="CD279" s="2">
        <v>100</v>
      </c>
      <c r="CE279" s="2" t="s">
        <v>3067</v>
      </c>
      <c r="CF279" s="2" t="s">
        <v>3068</v>
      </c>
      <c r="CG279" s="9" t="str">
        <f>HYPERLINK(".\links\KOG\AGAP002339-PA-KOG.txt","Predicted Zn-finger protein")</f>
        <v>Predicted Zn-finger protein</v>
      </c>
      <c r="CH279" s="15">
        <v>6.0000000000000005E-44</v>
      </c>
      <c r="CI279" s="2">
        <v>88.4</v>
      </c>
      <c r="CJ279" s="2" t="s">
        <v>3069</v>
      </c>
      <c r="CK279" s="2" t="s">
        <v>191</v>
      </c>
      <c r="CL279" s="9" t="str">
        <f>HYPERLINK(".\links\PFAM\AGAP002339-PA-PFAM.txt","zf-AN1, AN1-like Zinc finger")</f>
        <v>zf-AN1, AN1-like Zinc finger</v>
      </c>
      <c r="CM279" s="15">
        <v>2.0000000000000001E-9</v>
      </c>
      <c r="CN279" s="2">
        <v>100</v>
      </c>
      <c r="CO279" s="2" t="s">
        <v>3067</v>
      </c>
      <c r="CP279" s="9" t="str">
        <f>HYPERLINK(".\links\SMART\AGAP002339-PA-SMART.txt","ZnF_AN1, AN1-like Zinc finger")</f>
        <v>ZnF_AN1, AN1-like Zinc finger</v>
      </c>
      <c r="CQ279" s="15">
        <v>1.0000000000000001E-5</v>
      </c>
      <c r="CR279" s="2">
        <v>94.9</v>
      </c>
      <c r="CS279" s="2" t="s">
        <v>3070</v>
      </c>
      <c r="CT279" s="2" t="s">
        <v>3065</v>
      </c>
      <c r="CU279" s="2" t="s">
        <v>3065</v>
      </c>
      <c r="CV279" s="2" t="s">
        <v>3065</v>
      </c>
      <c r="CW279" s="2" t="str">
        <f>HYPERLINK(".\links\pep\AGAP002339-PA-pep.txt","AGAP002339-PA")</f>
        <v>AGAP002339-PA</v>
      </c>
      <c r="CX279" s="2" t="s">
        <v>95</v>
      </c>
      <c r="CY279" s="2">
        <v>258</v>
      </c>
      <c r="CZ279" s="2" t="s">
        <v>113</v>
      </c>
      <c r="DA279" s="2" t="s">
        <v>3071</v>
      </c>
      <c r="DB279" s="2">
        <v>0</v>
      </c>
      <c r="DC279" s="2">
        <v>1</v>
      </c>
      <c r="DD279" s="2" t="str">
        <f>HYPERLINK("https://www.kegg.jp/kegg-bin/search_pathway_text?map=aga&amp;keyword=AGAP002339&amp;mode=1&amp;viewImage=true","AGAP002339")</f>
        <v>AGAP002339</v>
      </c>
      <c r="DE279" s="2" t="s">
        <v>3062</v>
      </c>
      <c r="DF279" s="2" t="s">
        <v>3063</v>
      </c>
      <c r="DG279" s="2" t="s">
        <v>94</v>
      </c>
      <c r="DH279" s="2" t="str">
        <f>HYPERLINK("https://vectorbase.org/vectorbase/app/record/gene/AGAP002339","AGAP002339-RA")</f>
        <v>AGAP002339-RA</v>
      </c>
      <c r="DI279" s="2" t="s">
        <v>118</v>
      </c>
      <c r="DJ279" s="2">
        <v>986</v>
      </c>
      <c r="DK279" s="2" t="str">
        <f>HYPERLINK(".\links\netoglyc\AGAP002339-PA-netoglyc.txt","8")</f>
        <v>8</v>
      </c>
      <c r="DL279" s="2">
        <v>16.7</v>
      </c>
      <c r="DM279" s="2">
        <v>5.8</v>
      </c>
      <c r="DN279" s="2">
        <v>5</v>
      </c>
      <c r="DO279" s="2" t="s">
        <v>104</v>
      </c>
      <c r="DP279" s="2" t="s">
        <v>102</v>
      </c>
      <c r="DQ279" s="2" t="str">
        <f>HYPERLINK(".\links\Sigp\AGAP002339-PA-SigP.txt","CYT")</f>
        <v>CYT</v>
      </c>
      <c r="DR279" s="2" t="s">
        <v>102</v>
      </c>
      <c r="DS279" s="2">
        <v>28.1</v>
      </c>
      <c r="DT279" s="2">
        <v>8.77</v>
      </c>
      <c r="DU279" s="2" t="s">
        <v>102</v>
      </c>
      <c r="DV279" s="2" t="s">
        <v>102</v>
      </c>
      <c r="DW279" s="2" t="s">
        <v>211</v>
      </c>
      <c r="DX279" s="2">
        <v>258</v>
      </c>
      <c r="DY279" s="12">
        <v>0</v>
      </c>
      <c r="DZ279" s="2" t="s">
        <v>102</v>
      </c>
      <c r="EA279" s="2" t="s">
        <v>102</v>
      </c>
      <c r="EB279" s="2" t="s">
        <v>102</v>
      </c>
      <c r="EC279" s="2" t="str">
        <f>HYPERLINK(".\links\gpi\AGAP002339-PA-gpi.txt","Y-NoSP")</f>
        <v>Y-NoSP</v>
      </c>
      <c r="ED279" s="2">
        <v>0.26</v>
      </c>
      <c r="EE279" s="2" t="s">
        <v>3072</v>
      </c>
      <c r="EF279" s="2">
        <v>16</v>
      </c>
      <c r="EG279" s="2" t="s">
        <v>102</v>
      </c>
      <c r="EH279" s="2" t="s">
        <v>102</v>
      </c>
      <c r="EI279" s="2">
        <v>16.6666666666667</v>
      </c>
      <c r="EJ279" s="2">
        <v>5.0387596899224798</v>
      </c>
      <c r="EK279" s="2">
        <v>5.81395348837209</v>
      </c>
      <c r="EL279" s="2">
        <v>10.8527131782946</v>
      </c>
      <c r="EM279" s="2" t="s">
        <v>102</v>
      </c>
      <c r="EN279" s="2" t="s">
        <v>102</v>
      </c>
      <c r="EO279" s="2" t="s">
        <v>102</v>
      </c>
      <c r="EP279" s="2" t="s">
        <v>102</v>
      </c>
      <c r="EQ279" s="2" t="s">
        <v>102</v>
      </c>
      <c r="ER279" s="2" t="s">
        <v>102</v>
      </c>
      <c r="ES279" s="2" t="s">
        <v>102</v>
      </c>
      <c r="ET279" s="2" t="str">
        <f>HYPERLINK(".\links\REFSEQ-INVERTEBRATE\AGAP002339-PA-REFSEQ-INVERTEBRATE.txt","AGAP002339-PA")</f>
        <v>AGAP002339-PA</v>
      </c>
      <c r="EU279" s="2" t="str">
        <f>HYPERLINK("http://www.ncbi.nlm.nih.gov/sutils/blink.cgi?pid=XP_312629.4","0.0")</f>
        <v>0.0</v>
      </c>
      <c r="EV279" s="2" t="str">
        <f>HYPERLINK("http://www.ncbi.nlm.nih.gov/protein/XP_312629.4","XP_312629.4")</f>
        <v>XP_312629.4</v>
      </c>
      <c r="EW279" s="2">
        <v>100</v>
      </c>
      <c r="EX279" s="2">
        <v>100</v>
      </c>
      <c r="EY279" s="2">
        <v>100</v>
      </c>
      <c r="EZ279" s="2" t="s">
        <v>105</v>
      </c>
    </row>
    <row r="280" spans="1:156" x14ac:dyDescent="0.25">
      <c r="A280" s="2" t="s">
        <v>3073</v>
      </c>
      <c r="B280" s="2">
        <v>0.26658247536426199</v>
      </c>
      <c r="C280" s="2">
        <f t="shared" si="4"/>
        <v>1.2029548332419602</v>
      </c>
      <c r="D280" s="2">
        <v>6.1920629092169301</v>
      </c>
      <c r="E280" s="2">
        <v>9.0727712822132904</v>
      </c>
      <c r="F280" s="2">
        <v>2.5944358493617198E-3</v>
      </c>
      <c r="G280" s="2">
        <v>4.7269525491001697E-2</v>
      </c>
      <c r="H280" s="2" t="s">
        <v>3074</v>
      </c>
      <c r="I280" s="2" t="s">
        <v>94</v>
      </c>
      <c r="J280" s="2" t="str">
        <f>HYPERLINK("https://vectorbase.org/vectorbase/app/record/gene/AGAP001551","AGAP001551-RA")</f>
        <v>AGAP001551-RA</v>
      </c>
      <c r="K280" s="2" t="str">
        <f>HYPERLINK(".\links\pep\AGAP001551-PA-pep.txt","AGAP001551-PA")</f>
        <v>AGAP001551-PA</v>
      </c>
      <c r="L280" s="12" t="s">
        <v>95</v>
      </c>
      <c r="M280" s="2">
        <v>423</v>
      </c>
      <c r="N280" s="2">
        <v>0</v>
      </c>
      <c r="O280" s="2">
        <v>1</v>
      </c>
      <c r="P280" s="2" t="s">
        <v>3075</v>
      </c>
      <c r="Q280" s="9" t="s">
        <v>3076</v>
      </c>
      <c r="R280" s="2" t="s">
        <v>420</v>
      </c>
      <c r="S280" s="2" t="str">
        <f>HYPERLINK(".\links\PFAM\AGAP001551-PA-PFAM.txt","PFAM")</f>
        <v>PFAM</v>
      </c>
      <c r="T280" s="2">
        <v>1E-13</v>
      </c>
      <c r="U280" s="2">
        <v>96.7</v>
      </c>
      <c r="V280" s="2" t="s">
        <v>3077</v>
      </c>
      <c r="W280" s="10" t="s">
        <v>3078</v>
      </c>
      <c r="X280" s="2" t="s">
        <v>420</v>
      </c>
      <c r="Y280" s="2" t="str">
        <f>HYPERLINK(".\links\UNIPROTKB\AGAP001551-PA-UNIPROTKB.txt","UNIPROTKB")</f>
        <v>UNIPROTKB</v>
      </c>
      <c r="Z280" s="15">
        <v>6.9999999999999993E-24</v>
      </c>
      <c r="AA280" s="2">
        <v>66</v>
      </c>
      <c r="AB280" s="13" t="str">
        <f>HYPERLINK(".\links\pep\AGAP001551-PA-sulf.txt","1")</f>
        <v>1</v>
      </c>
      <c r="AC280" s="13" t="str">
        <f>HYPERLINK(".\links\Sigp\AGAP001551-PA-SigP.txt","CYT")</f>
        <v>CYT</v>
      </c>
      <c r="AD280" s="2" t="s">
        <v>102</v>
      </c>
      <c r="AE280" s="2">
        <v>47.100999999999999</v>
      </c>
      <c r="AF280" s="2">
        <v>9.92</v>
      </c>
      <c r="AG280" s="2" t="s">
        <v>102</v>
      </c>
      <c r="AH280" s="2" t="s">
        <v>102</v>
      </c>
      <c r="AI280" s="2" t="s">
        <v>211</v>
      </c>
      <c r="AJ280" s="13">
        <v>0</v>
      </c>
      <c r="AK280" s="2" t="s">
        <v>102</v>
      </c>
      <c r="AL280" s="2" t="s">
        <v>102</v>
      </c>
      <c r="AM280" s="2" t="s">
        <v>102</v>
      </c>
      <c r="AN280" s="13" t="str">
        <f>HYPERLINK(".\links\gpi\AGAP001551-PA-gpi.txt","N")</f>
        <v>N</v>
      </c>
      <c r="AO280" s="14" t="str">
        <f>HYPERLINK(".\links\netoglyc\AGAP001551-PA-netoglyc.txt","3")</f>
        <v>3</v>
      </c>
      <c r="AP280" s="13">
        <v>16.3</v>
      </c>
      <c r="AQ280" s="2">
        <v>7.1</v>
      </c>
      <c r="AR280" s="2">
        <v>6.9</v>
      </c>
      <c r="AS280" s="2" t="s">
        <v>104</v>
      </c>
      <c r="AT280" s="9" t="str">
        <f>HYPERLINK(".\links\NR-LIGHT\AGAP001551-PA-NR-LIGHT.txt","AGAP001551-PA")</f>
        <v>AGAP001551-PA</v>
      </c>
      <c r="AU280" s="2" t="str">
        <f>HYPERLINK("http://www.ncbi.nlm.nih.gov/sutils/blink.cgi?pid=XP_001689338.1","0.0")</f>
        <v>0.0</v>
      </c>
      <c r="AV280" s="2" t="str">
        <f>HYPERLINK("http://www.ncbi.nlm.nih.gov/protein/XP_001689338.1","XP_001689338.1")</f>
        <v>XP_001689338.1</v>
      </c>
      <c r="AW280" s="2">
        <v>100</v>
      </c>
      <c r="AX280" s="2">
        <v>100</v>
      </c>
      <c r="AY280" s="2">
        <v>100</v>
      </c>
      <c r="AZ280" s="2" t="s">
        <v>105</v>
      </c>
      <c r="BA280" s="9" t="str">
        <f>HYPERLINK(".\links\REFSEQ-INVERTEBRATE\AGAP001551-PA-REFSEQ-INVERTEBRATE.txt","AGAP001551-PA")</f>
        <v>AGAP001551-PA</v>
      </c>
      <c r="BB280" s="2" t="str">
        <f>HYPERLINK("http://www.ncbi.nlm.nih.gov/sutils/blink.cgi?pid=XP_001689338.1","0.0")</f>
        <v>0.0</v>
      </c>
      <c r="BC280" s="2" t="str">
        <f>HYPERLINK("http://www.ncbi.nlm.nih.gov/protein/XP_001689338.1","XP_001689338.1")</f>
        <v>XP_001689338.1</v>
      </c>
      <c r="BD280" s="2">
        <v>100</v>
      </c>
      <c r="BE280" s="2">
        <v>100</v>
      </c>
      <c r="BF280" s="2">
        <v>100</v>
      </c>
      <c r="BG280" s="2" t="s">
        <v>105</v>
      </c>
      <c r="BH280" s="9" t="str">
        <f>HYPERLINK(".\links\REFSEQ-PROTOZOA\AGAP001551-PA-REFSEQ-PROTOZOA.txt","hypothetical protein CAOG_02964")</f>
        <v>hypothetical protein CAOG_02964</v>
      </c>
      <c r="BI280" s="2" t="str">
        <f>HYPERLINK("http://www.ncbi.nlm.nih.gov/sutils/blink.cgi?pid=XP_004363803.1","3E-008")</f>
        <v>3E-008</v>
      </c>
      <c r="BJ280" s="2" t="str">
        <f>HYPERLINK("http://www.ncbi.nlm.nih.gov/protein/XP_004363803.1","XP_004363803.1")</f>
        <v>XP_004363803.1</v>
      </c>
      <c r="BK280" s="2">
        <v>32</v>
      </c>
      <c r="BL280" s="2">
        <v>46</v>
      </c>
      <c r="BM280" s="2">
        <v>8</v>
      </c>
      <c r="BN280" s="2" t="s">
        <v>106</v>
      </c>
      <c r="BO280" s="9" t="str">
        <f>HYPERLINK(".\links\SWISSP\AGAP001551-PA-SWISSP.txt","G-patch domain and KOW motifs-containing protein")</f>
        <v>G-patch domain and KOW motifs-containing protein</v>
      </c>
      <c r="BP280" s="2" t="str">
        <f>HYPERLINK("http://www.uniprot.org/uniprot/Q90X38","1E-026")</f>
        <v>1E-026</v>
      </c>
      <c r="BQ280" s="2" t="str">
        <f>HYPERLINK("http://www.uniprot.org/uniprot/Q90X38#expression","Q90X38")</f>
        <v>Q90X38</v>
      </c>
      <c r="BR280" s="2">
        <v>27</v>
      </c>
      <c r="BS280" s="2">
        <v>47</v>
      </c>
      <c r="BT280" s="2">
        <v>71</v>
      </c>
      <c r="BU280" s="2" t="s">
        <v>213</v>
      </c>
      <c r="BV280" s="9" t="str">
        <f>HYPERLINK(".\links\FLYBASE\AGAP001551-PA-FLYBASE.txt","FBpp0082801")</f>
        <v>FBpp0082801</v>
      </c>
      <c r="BW280" s="2" t="str">
        <f>HYPERLINK("http://flybase.org/reports/FBgn0038454#alliance_summary_container","8E-37")</f>
        <v>8E-37</v>
      </c>
      <c r="BX280" s="2">
        <v>543</v>
      </c>
      <c r="BY280" s="2">
        <v>40</v>
      </c>
      <c r="BZ280" s="2">
        <v>60</v>
      </c>
      <c r="CA280" s="2">
        <v>37</v>
      </c>
      <c r="CB280" s="9" t="s">
        <v>3079</v>
      </c>
      <c r="CC280" s="15">
        <v>6.0000000000000001E-17</v>
      </c>
      <c r="CD280" s="2">
        <v>100</v>
      </c>
      <c r="CE280" s="2" t="s">
        <v>3080</v>
      </c>
      <c r="CF280" s="2" t="s">
        <v>3081</v>
      </c>
      <c r="CG280" s="9" t="str">
        <f>HYPERLINK(".\links\KOG\AGAP001551-PA-KOG.txt","G-patch nucleic acid binding protein")</f>
        <v>G-patch nucleic acid binding protein</v>
      </c>
      <c r="CH280" s="15">
        <v>9.0000000000000003E-20</v>
      </c>
      <c r="CI280" s="2">
        <v>81.099999999999994</v>
      </c>
      <c r="CJ280" s="2" t="s">
        <v>3082</v>
      </c>
      <c r="CK280" s="2" t="s">
        <v>191</v>
      </c>
      <c r="CL280" s="9" t="str">
        <f>HYPERLINK(".\links\PFAM\AGAP001551-PA-PFAM.txt","G-patch_2, G-patch domain")</f>
        <v>G-patch_2, G-patch domain</v>
      </c>
      <c r="CM280" s="15">
        <v>1E-13</v>
      </c>
      <c r="CN280" s="2">
        <v>96.7</v>
      </c>
      <c r="CO280" s="2" t="s">
        <v>3083</v>
      </c>
      <c r="CP280" s="9" t="str">
        <f>HYPERLINK(".\links\SMART\AGAP001551-PA-SMART.txt","G_patch, glycine rich nucleic binding domain")</f>
        <v>G_patch, glycine rich nucleic binding domain</v>
      </c>
      <c r="CQ280" s="15">
        <v>3.5</v>
      </c>
      <c r="CR280" s="2">
        <v>97.9</v>
      </c>
      <c r="CS280" s="2" t="s">
        <v>1337</v>
      </c>
      <c r="CT280" s="2" t="s">
        <v>3077</v>
      </c>
      <c r="CU280" s="2" t="s">
        <v>3077</v>
      </c>
      <c r="CV280" s="2" t="s">
        <v>3077</v>
      </c>
      <c r="CW280" s="2" t="str">
        <f>HYPERLINK(".\links\pep\AGAP001551-PA-pep.txt","AGAP001551-PA")</f>
        <v>AGAP001551-PA</v>
      </c>
      <c r="CX280" s="2" t="s">
        <v>95</v>
      </c>
      <c r="CY280" s="2">
        <v>423</v>
      </c>
      <c r="CZ280" s="2" t="s">
        <v>113</v>
      </c>
      <c r="DA280" s="2" t="s">
        <v>3084</v>
      </c>
      <c r="DB280" s="2">
        <v>0</v>
      </c>
      <c r="DC280" s="2">
        <v>1</v>
      </c>
      <c r="DD280" s="2" t="str">
        <f>HYPERLINK("https://www.kegg.jp/kegg-bin/search_pathway_text?map=aga&amp;keyword=AGAP001551&amp;mode=1&amp;viewImage=true","AGAP001551")</f>
        <v>AGAP001551</v>
      </c>
      <c r="DE280" s="2" t="s">
        <v>3073</v>
      </c>
      <c r="DF280" s="2" t="s">
        <v>3074</v>
      </c>
      <c r="DG280" s="2" t="s">
        <v>94</v>
      </c>
      <c r="DH280" s="2" t="str">
        <f>HYPERLINK("https://vectorbase.org/vectorbase/app/record/gene/AGAP001551","AGAP001551-RA")</f>
        <v>AGAP001551-RA</v>
      </c>
      <c r="DI280" s="2" t="s">
        <v>90</v>
      </c>
      <c r="DJ280" s="2">
        <v>1500</v>
      </c>
      <c r="DK280" s="2" t="str">
        <f>HYPERLINK(".\links\netoglyc\AGAP001551-PA-netoglyc.txt","3")</f>
        <v>3</v>
      </c>
      <c r="DL280" s="2">
        <v>16.3</v>
      </c>
      <c r="DM280" s="2">
        <v>7.1</v>
      </c>
      <c r="DN280" s="2">
        <v>6.9</v>
      </c>
      <c r="DO280" s="2" t="s">
        <v>104</v>
      </c>
      <c r="DP280" s="2" t="s">
        <v>3085</v>
      </c>
      <c r="DQ280" s="2" t="str">
        <f>HYPERLINK(".\links\Sigp\AGAP001551-PA-SigP.txt","CYT")</f>
        <v>CYT</v>
      </c>
      <c r="DR280" s="2" t="s">
        <v>102</v>
      </c>
      <c r="DS280" s="2">
        <v>47.100999999999999</v>
      </c>
      <c r="DT280" s="2">
        <v>9.92</v>
      </c>
      <c r="DU280" s="2" t="s">
        <v>102</v>
      </c>
      <c r="DV280" s="2" t="s">
        <v>102</v>
      </c>
      <c r="DW280" s="2" t="s">
        <v>211</v>
      </c>
      <c r="DX280" s="2">
        <v>423</v>
      </c>
      <c r="DY280" s="12">
        <v>0</v>
      </c>
      <c r="DZ280" s="2" t="s">
        <v>102</v>
      </c>
      <c r="EA280" s="2" t="s">
        <v>102</v>
      </c>
      <c r="EB280" s="2" t="s">
        <v>102</v>
      </c>
      <c r="EC280" s="2" t="str">
        <f>HYPERLINK(".\links\gpi\AGAP001551-PA-gpi.txt","Y-NoSP")</f>
        <v>Y-NoSP</v>
      </c>
      <c r="ED280" s="2">
        <v>0.31</v>
      </c>
      <c r="EF280" s="2">
        <v>1</v>
      </c>
      <c r="EG280" s="2" t="str">
        <f>HYPERLINK(".\links\pep\AGAP001551-PA-sulf.txt","1")</f>
        <v>1</v>
      </c>
      <c r="EH280" s="2" t="s">
        <v>102</v>
      </c>
      <c r="EI280" s="2">
        <v>16.312056737588701</v>
      </c>
      <c r="EJ280" s="2">
        <v>6.8557919621749397</v>
      </c>
      <c r="EK280" s="2">
        <v>7.0921985815602797</v>
      </c>
      <c r="EL280" s="2">
        <v>13.9479905437352</v>
      </c>
      <c r="EM280" s="2" t="s">
        <v>102</v>
      </c>
      <c r="EN280" s="2">
        <v>2</v>
      </c>
      <c r="EO280" s="2">
        <v>2</v>
      </c>
      <c r="EP280" s="2" t="s">
        <v>102</v>
      </c>
      <c r="EQ280" s="2" t="s">
        <v>102</v>
      </c>
      <c r="ER280" s="2" t="s">
        <v>102</v>
      </c>
      <c r="ES280" s="2" t="s">
        <v>102</v>
      </c>
      <c r="ET280" s="2" t="str">
        <f>HYPERLINK(".\links\REFSEQ-INVERTEBRATE\AGAP001551-PA-REFSEQ-INVERTEBRATE.txt","AGAP001551-PA")</f>
        <v>AGAP001551-PA</v>
      </c>
      <c r="EU280" s="2" t="str">
        <f>HYPERLINK("http://www.ncbi.nlm.nih.gov/sutils/blink.cgi?pid=XP_001689338.1","0.0")</f>
        <v>0.0</v>
      </c>
      <c r="EV280" s="2" t="str">
        <f>HYPERLINK("http://www.ncbi.nlm.nih.gov/protein/XP_001689338.1","XP_001689338.1")</f>
        <v>XP_001689338.1</v>
      </c>
      <c r="EW280" s="2">
        <v>100</v>
      </c>
      <c r="EX280" s="2">
        <v>100</v>
      </c>
      <c r="EY280" s="2">
        <v>100</v>
      </c>
      <c r="EZ280" s="2" t="s">
        <v>105</v>
      </c>
    </row>
    <row r="281" spans="1:156" x14ac:dyDescent="0.25">
      <c r="A281" s="2" t="s">
        <v>3086</v>
      </c>
      <c r="B281" s="2">
        <v>0.26539016187452602</v>
      </c>
      <c r="C281" s="2">
        <f t="shared" si="4"/>
        <v>1.2019610634497206</v>
      </c>
      <c r="D281" s="2">
        <v>7.3482131308629199</v>
      </c>
      <c r="E281" s="2">
        <v>9.9514893965690998</v>
      </c>
      <c r="F281" s="2">
        <v>1.6071931598472301E-3</v>
      </c>
      <c r="G281" s="2">
        <v>3.9012040862794299E-2</v>
      </c>
      <c r="H281" s="2" t="s">
        <v>93</v>
      </c>
      <c r="I281" s="2" t="s">
        <v>94</v>
      </c>
      <c r="J281" s="2" t="str">
        <f>HYPERLINK("https://vectorbase.org/vectorbase/app/record/gene/AGAP001525","AGAP001525-RA")</f>
        <v>AGAP001525-RA</v>
      </c>
      <c r="K281" s="2" t="str">
        <f>HYPERLINK(".\links\pep\AGAP001525-PA-pep.txt","AGAP001525-PA")</f>
        <v>AGAP001525-PA</v>
      </c>
      <c r="L281" s="12" t="s">
        <v>95</v>
      </c>
      <c r="M281" s="2">
        <v>532</v>
      </c>
      <c r="N281" s="2">
        <v>0</v>
      </c>
      <c r="O281" s="2">
        <v>1</v>
      </c>
      <c r="P281" s="2" t="s">
        <v>102</v>
      </c>
      <c r="Q281" s="9" t="s">
        <v>2503</v>
      </c>
      <c r="R281" s="2" t="s">
        <v>420</v>
      </c>
      <c r="S281" s="2" t="str">
        <f>HYPERLINK(".\links\KOG\AGAP001525-PA-KOG.txt","KOG")</f>
        <v>KOG</v>
      </c>
      <c r="T281" s="2">
        <v>1E-10</v>
      </c>
      <c r="U281" s="2">
        <v>48.7</v>
      </c>
      <c r="V281" s="2" t="s">
        <v>3087</v>
      </c>
      <c r="W281" s="10" t="s">
        <v>740</v>
      </c>
      <c r="X281" s="2" t="s">
        <v>420</v>
      </c>
      <c r="Y281" s="2" t="str">
        <f>HYPERLINK(".\links\UNIPROTKB\AGAP001525-PA-UNIPROTKB.txt","UNIPROTKB")</f>
        <v>UNIPROTKB</v>
      </c>
      <c r="Z281" s="15">
        <v>4.9999999999999999E-29</v>
      </c>
      <c r="AA281" s="2">
        <v>31.9</v>
      </c>
      <c r="AB281" s="13" t="str">
        <f>HYPERLINK(".\links\pep\AGAP001525-PA-sulf.txt","6")</f>
        <v>6</v>
      </c>
      <c r="AC281" s="13" t="str">
        <f>HYPERLINK(".\links\Sigp\AGAP001525-PA-SigP.txt","CYT")</f>
        <v>CYT</v>
      </c>
      <c r="AD281" s="2" t="s">
        <v>102</v>
      </c>
      <c r="AE281" s="2">
        <v>61.968000000000004</v>
      </c>
      <c r="AF281" s="2">
        <v>6.28</v>
      </c>
      <c r="AG281" s="2" t="s">
        <v>102</v>
      </c>
      <c r="AH281" s="2" t="s">
        <v>102</v>
      </c>
      <c r="AI281" s="2" t="s">
        <v>211</v>
      </c>
      <c r="AJ281" s="13">
        <v>0</v>
      </c>
      <c r="AK281" s="2" t="s">
        <v>102</v>
      </c>
      <c r="AL281" s="2" t="s">
        <v>102</v>
      </c>
      <c r="AM281" s="2" t="s">
        <v>102</v>
      </c>
      <c r="AN281" s="13" t="str">
        <f>HYPERLINK(".\links\gpi\AGAP001525-PA-gpi.txt","N")</f>
        <v>N</v>
      </c>
      <c r="AO281" s="14" t="str">
        <f>HYPERLINK(".\links\netoglyc\AGAP001525-PA-netoglyc.txt","0")</f>
        <v>0</v>
      </c>
      <c r="AP281" s="13">
        <v>13</v>
      </c>
      <c r="AQ281" s="2">
        <v>3.2</v>
      </c>
      <c r="AR281" s="2">
        <v>2.6</v>
      </c>
      <c r="AS281" s="2" t="s">
        <v>104</v>
      </c>
      <c r="AT281" s="9" t="str">
        <f>HYPERLINK(".\links\NR-LIGHT\AGAP001525-PA-NR-LIGHT.txt","AGAP001525-PA")</f>
        <v>AGAP001525-PA</v>
      </c>
      <c r="AU281" s="2" t="str">
        <f>HYPERLINK("http://www.ncbi.nlm.nih.gov/sutils/blink.cgi?pid=XP_321600.5","0.0")</f>
        <v>0.0</v>
      </c>
      <c r="AV281" s="2" t="str">
        <f>HYPERLINK("http://www.ncbi.nlm.nih.gov/protein/XP_321600.5","XP_321600.5")</f>
        <v>XP_321600.5</v>
      </c>
      <c r="AW281" s="2">
        <v>100</v>
      </c>
      <c r="AX281" s="2">
        <v>100</v>
      </c>
      <c r="AY281" s="2">
        <v>100</v>
      </c>
      <c r="AZ281" s="2" t="s">
        <v>105</v>
      </c>
      <c r="BA281" s="9" t="str">
        <f>HYPERLINK(".\links\REFSEQ-INVERTEBRATE\AGAP001525-PA-REFSEQ-INVERTEBRATE.txt","AGAP001525-PA")</f>
        <v>AGAP001525-PA</v>
      </c>
      <c r="BB281" s="2" t="str">
        <f>HYPERLINK("http://www.ncbi.nlm.nih.gov/sutils/blink.cgi?pid=XP_321600.5","0.0")</f>
        <v>0.0</v>
      </c>
      <c r="BC281" s="2" t="str">
        <f>HYPERLINK("http://www.ncbi.nlm.nih.gov/protein/XP_321600.5","XP_321600.5")</f>
        <v>XP_321600.5</v>
      </c>
      <c r="BD281" s="2">
        <v>100</v>
      </c>
      <c r="BE281" s="2">
        <v>100</v>
      </c>
      <c r="BF281" s="2">
        <v>100</v>
      </c>
      <c r="BG281" s="2" t="s">
        <v>105</v>
      </c>
      <c r="BH281" s="9" t="str">
        <f>HYPERLINK(".\links\REFSEQ-PROTOZOA\AGAP001525-PA-REFSEQ-PROTOZOA.txt","zinc finger, c2h2 type family protein")</f>
        <v>zinc finger, c2h2 type family protein</v>
      </c>
      <c r="BI281" s="2" t="str">
        <f>HYPERLINK("http://www.ncbi.nlm.nih.gov/sutils/blink.cgi?pid=XP_002372116.1","2E-021")</f>
        <v>2E-021</v>
      </c>
      <c r="BJ281" s="2" t="str">
        <f>HYPERLINK("http://www.ncbi.nlm.nih.gov/protein/XP_002372116.1","XP_002372116.1")</f>
        <v>XP_002372116.1</v>
      </c>
      <c r="BK281" s="2">
        <v>26</v>
      </c>
      <c r="BL281" s="2">
        <v>45</v>
      </c>
      <c r="BM281" s="2">
        <v>88</v>
      </c>
      <c r="BN281" s="2" t="s">
        <v>741</v>
      </c>
      <c r="BO281" s="9" t="str">
        <f>HYPERLINK(".\links\SWISSP\AGAP001525-PA-SWISSP.txt","Zinc finger protein 850")</f>
        <v>Zinc finger protein 850</v>
      </c>
      <c r="BP281" s="2" t="str">
        <f>HYPERLINK("http://www.uniprot.org/uniprot/A8MQ14","3E-036")</f>
        <v>3E-036</v>
      </c>
      <c r="BQ281" s="2" t="str">
        <f>HYPERLINK("http://www.uniprot.org/uniprot/A8MQ14#expression","A8MQ14")</f>
        <v>A8MQ14</v>
      </c>
      <c r="BR281" s="2">
        <v>29</v>
      </c>
      <c r="BS281" s="2">
        <v>45</v>
      </c>
      <c r="BT281" s="2">
        <v>33</v>
      </c>
      <c r="BU281" s="2" t="s">
        <v>127</v>
      </c>
      <c r="BV281" s="9" t="str">
        <f>HYPERLINK(".\links\FLYBASE\AGAP001525-PA-FLYBASE.txt","FBpp0079702")</f>
        <v>FBpp0079702</v>
      </c>
      <c r="BW281" s="2" t="str">
        <f>HYPERLINK("http://flybase.org/reports/FBgn0032295#alliance_summary_container","1E-23")</f>
        <v>1E-23</v>
      </c>
      <c r="BX281" s="2">
        <v>736</v>
      </c>
      <c r="BY281" s="2">
        <v>28</v>
      </c>
      <c r="BZ281" s="2">
        <v>41</v>
      </c>
      <c r="CA281" s="2">
        <v>42</v>
      </c>
      <c r="CB281" s="9" t="str">
        <f>HYPERLINK(".\links\CDD\AGAP001525-PA-CDD.txt","ZF_C2H2, Zinc finger, C2H2 type")</f>
        <v>ZF_C2H2, Zinc finger, C2H2 type</v>
      </c>
      <c r="CC281" s="15">
        <v>2.0000000000000001E-17</v>
      </c>
      <c r="CD281" s="2">
        <v>101.3</v>
      </c>
      <c r="CE281" s="2" t="s">
        <v>569</v>
      </c>
      <c r="CF281" s="2" t="s">
        <v>3088</v>
      </c>
      <c r="CG281" s="9" t="str">
        <f>HYPERLINK(".\links\KOG\AGAP001525-PA-KOG.txt","Homeobox transcription factor SIP1")</f>
        <v>Homeobox transcription factor SIP1</v>
      </c>
      <c r="CH281" s="15">
        <v>7.0000000000000005E-14</v>
      </c>
      <c r="CI281" s="2">
        <v>13.6</v>
      </c>
      <c r="CJ281" s="2" t="s">
        <v>3089</v>
      </c>
      <c r="CK281" s="2" t="s">
        <v>309</v>
      </c>
      <c r="CL281" s="9" t="str">
        <f>HYPERLINK(".\links\PFAM\AGAP001525-PA-PFAM.txt","zf-AD, Zinc-finger associated domain (zf-AD)")</f>
        <v>zf-AD, Zinc-finger associated domain (zf-AD)</v>
      </c>
      <c r="CM281" s="15">
        <v>8.9999999999999998E-4</v>
      </c>
      <c r="CN281" s="2">
        <v>100</v>
      </c>
      <c r="CO281" s="2" t="s">
        <v>687</v>
      </c>
      <c r="CP281" s="9" t="str">
        <f>HYPERLINK(".\links\SMART\AGAP001525-PA-SMART.txt","zf-AD, Zinc-finger associated domain (zf-AD)")</f>
        <v>zf-AD, Zinc-finger associated domain (zf-AD)</v>
      </c>
      <c r="CQ281" s="15">
        <v>6.9999999999999999E-4</v>
      </c>
      <c r="CR281" s="2">
        <v>98.6</v>
      </c>
      <c r="CS281" s="2" t="s">
        <v>684</v>
      </c>
      <c r="CT281" s="2" t="s">
        <v>3087</v>
      </c>
      <c r="CU281" s="2" t="s">
        <v>3087</v>
      </c>
      <c r="CV281" s="2" t="s">
        <v>3087</v>
      </c>
      <c r="CW281" s="2" t="str">
        <f>HYPERLINK(".\links\pep\AGAP001525-PA-pep.txt","AGAP001525-PA")</f>
        <v>AGAP001525-PA</v>
      </c>
      <c r="CX281" s="2" t="s">
        <v>95</v>
      </c>
      <c r="CY281" s="2">
        <v>532</v>
      </c>
      <c r="CZ281" s="2" t="s">
        <v>113</v>
      </c>
      <c r="DA281" s="2" t="s">
        <v>3090</v>
      </c>
      <c r="DB281" s="2">
        <v>0</v>
      </c>
      <c r="DC281" s="2">
        <v>1</v>
      </c>
      <c r="DD281" s="2" t="str">
        <f>HYPERLINK("https://www.kegg.jp/kegg-bin/search_pathway_text?map=aga&amp;keyword=AGAP001525&amp;mode=1&amp;viewImage=true","AGAP001525")</f>
        <v>AGAP001525</v>
      </c>
      <c r="DE281" s="2" t="s">
        <v>3086</v>
      </c>
      <c r="DF281" s="2" t="s">
        <v>93</v>
      </c>
      <c r="DG281" s="2" t="s">
        <v>94</v>
      </c>
      <c r="DH281" s="2" t="str">
        <f>HYPERLINK("https://vectorbase.org/vectorbase/app/record/gene/AGAP001525","AGAP001525-RA")</f>
        <v>AGAP001525-RA</v>
      </c>
      <c r="DI281" s="2" t="s">
        <v>115</v>
      </c>
      <c r="DJ281" s="2">
        <v>1969</v>
      </c>
      <c r="DK281" s="2" t="str">
        <f>HYPERLINK(".\links\netoglyc\AGAP001525-PA-netoglyc.txt","0")</f>
        <v>0</v>
      </c>
      <c r="DL281" s="2">
        <v>13</v>
      </c>
      <c r="DM281" s="2">
        <v>3.2</v>
      </c>
      <c r="DN281" s="2">
        <v>2.6</v>
      </c>
      <c r="DO281" s="2" t="s">
        <v>104</v>
      </c>
      <c r="DP281" s="2" t="s">
        <v>102</v>
      </c>
      <c r="DQ281" s="2" t="str">
        <f>HYPERLINK(".\links\Sigp\AGAP001525-PA-SigP.txt","CYT")</f>
        <v>CYT</v>
      </c>
      <c r="DR281" s="2" t="s">
        <v>102</v>
      </c>
      <c r="DS281" s="2">
        <v>61.968000000000004</v>
      </c>
      <c r="DT281" s="2">
        <v>6.28</v>
      </c>
      <c r="DU281" s="2" t="s">
        <v>102</v>
      </c>
      <c r="DV281" s="2" t="s">
        <v>102</v>
      </c>
      <c r="DW281" s="2" t="s">
        <v>211</v>
      </c>
      <c r="DX281" s="2">
        <v>532</v>
      </c>
      <c r="DY281" s="12">
        <v>0</v>
      </c>
      <c r="DZ281" s="2" t="s">
        <v>102</v>
      </c>
      <c r="EA281" s="2" t="s">
        <v>102</v>
      </c>
      <c r="EB281" s="2" t="s">
        <v>102</v>
      </c>
      <c r="EC281" s="2" t="str">
        <f>HYPERLINK(".\links\gpi\AGAP001525-PA-gpi.txt","Y-NoSP")</f>
        <v>Y-NoSP</v>
      </c>
      <c r="ED281" s="2">
        <v>0.32</v>
      </c>
      <c r="EE281" s="2" t="s">
        <v>3091</v>
      </c>
      <c r="EF281" s="2">
        <v>34</v>
      </c>
      <c r="EG281" s="2" t="str">
        <f>HYPERLINK(".\links\pep\AGAP001525-PA-sulf.txt","6")</f>
        <v>6</v>
      </c>
      <c r="EH281" s="2" t="s">
        <v>102</v>
      </c>
      <c r="EI281" s="2">
        <v>12.969924812030101</v>
      </c>
      <c r="EJ281" s="2">
        <v>2.6315789473684199</v>
      </c>
      <c r="EK281" s="2">
        <v>3.19548872180451</v>
      </c>
      <c r="EL281" s="2">
        <v>5.82706766917293</v>
      </c>
      <c r="EM281" s="2" t="s">
        <v>102</v>
      </c>
      <c r="EN281" s="2">
        <v>2</v>
      </c>
      <c r="EO281" s="2">
        <v>2</v>
      </c>
      <c r="EP281" s="2" t="s">
        <v>102</v>
      </c>
      <c r="EQ281" s="2" t="s">
        <v>102</v>
      </c>
      <c r="ER281" s="2" t="s">
        <v>102</v>
      </c>
      <c r="ES281" s="2" t="s">
        <v>102</v>
      </c>
      <c r="ET281" s="2" t="str">
        <f>HYPERLINK(".\links\REFSEQ-INVERTEBRATE\AGAP001525-PA-REFSEQ-INVERTEBRATE.txt","AGAP001525-PA")</f>
        <v>AGAP001525-PA</v>
      </c>
      <c r="EU281" s="2" t="str">
        <f>HYPERLINK("http://www.ncbi.nlm.nih.gov/sutils/blink.cgi?pid=XP_321600.5","0.0")</f>
        <v>0.0</v>
      </c>
      <c r="EV281" s="2" t="str">
        <f>HYPERLINK("http://www.ncbi.nlm.nih.gov/protein/XP_321600.5","XP_321600.5")</f>
        <v>XP_321600.5</v>
      </c>
      <c r="EW281" s="2">
        <v>100</v>
      </c>
      <c r="EX281" s="2">
        <v>100</v>
      </c>
      <c r="EY281" s="2">
        <v>100</v>
      </c>
      <c r="EZ281" s="2" t="s">
        <v>105</v>
      </c>
    </row>
    <row r="282" spans="1:156" x14ac:dyDescent="0.25">
      <c r="A282" s="2" t="s">
        <v>3092</v>
      </c>
      <c r="B282" s="2">
        <v>0.26461671309374502</v>
      </c>
      <c r="C282" s="2">
        <f t="shared" si="4"/>
        <v>1.2013168481882031</v>
      </c>
      <c r="D282" s="2">
        <v>8.0686135646994206</v>
      </c>
      <c r="E282" s="2">
        <v>9.9105096387992404</v>
      </c>
      <c r="F282" s="2">
        <v>1.6433760443130599E-3</v>
      </c>
      <c r="G282" s="2">
        <v>3.9597728402702197E-2</v>
      </c>
      <c r="H282" s="2" t="s">
        <v>3093</v>
      </c>
      <c r="I282" s="2" t="s">
        <v>94</v>
      </c>
      <c r="J282" s="2" t="str">
        <f>HYPERLINK("https://vectorbase.org/vectorbase/app/record/gene/AGAP004322","AGAP004322-RA")</f>
        <v>AGAP004322-RA</v>
      </c>
      <c r="K282" s="2" t="str">
        <f>HYPERLINK(".\links\pep\AGAP004322-PA-pep.txt","AGAP004322-PA")</f>
        <v>AGAP004322-PA</v>
      </c>
      <c r="L282" s="12" t="s">
        <v>95</v>
      </c>
      <c r="M282" s="2">
        <v>682</v>
      </c>
      <c r="N282" s="2">
        <v>0</v>
      </c>
      <c r="O282" s="2">
        <v>1</v>
      </c>
      <c r="P282" s="2" t="s">
        <v>3094</v>
      </c>
      <c r="Q282" s="9" t="s">
        <v>3095</v>
      </c>
      <c r="R282" s="2" t="s">
        <v>420</v>
      </c>
      <c r="S282" s="2" t="str">
        <f>HYPERLINK(".\links\KOG\AGAP004322-PA-KOG.txt","KOG")</f>
        <v>KOG</v>
      </c>
      <c r="T282" s="2">
        <v>9.9999999999999996E-76</v>
      </c>
      <c r="U282" s="2">
        <v>107.6</v>
      </c>
      <c r="V282" s="2" t="s">
        <v>3096</v>
      </c>
      <c r="W282" s="10" t="s">
        <v>3097</v>
      </c>
      <c r="X282" s="2" t="s">
        <v>420</v>
      </c>
      <c r="Y282" s="2" t="str">
        <f>HYPERLINK(".\links\KOG\AGAP004322-PA-KOG.txt","KOG")</f>
        <v>KOG</v>
      </c>
      <c r="Z282" s="15">
        <v>3E-68</v>
      </c>
      <c r="AA282" s="2">
        <v>98.7</v>
      </c>
      <c r="AB282" s="13" t="s">
        <v>102</v>
      </c>
      <c r="AC282" s="13" t="str">
        <f>HYPERLINK(".\links\Sigp\AGAP004322-PA-SigP.txt","CYT")</f>
        <v>CYT</v>
      </c>
      <c r="AD282" s="2" t="s">
        <v>102</v>
      </c>
      <c r="AE282" s="2">
        <v>76.832999999999998</v>
      </c>
      <c r="AF282" s="2">
        <v>9.41</v>
      </c>
      <c r="AG282" s="2" t="s">
        <v>102</v>
      </c>
      <c r="AH282" s="2" t="s">
        <v>102</v>
      </c>
      <c r="AI282" s="2" t="s">
        <v>124</v>
      </c>
      <c r="AJ282" s="13">
        <v>0</v>
      </c>
      <c r="AK282" s="2" t="s">
        <v>102</v>
      </c>
      <c r="AL282" s="2" t="s">
        <v>102</v>
      </c>
      <c r="AM282" s="2" t="s">
        <v>102</v>
      </c>
      <c r="AN282" s="13" t="str">
        <f>HYPERLINK(".\links\gpi\AGAP004322-PA-gpi.txt","N")</f>
        <v>N</v>
      </c>
      <c r="AO282" s="14" t="str">
        <f>HYPERLINK(".\links\netoglyc\AGAP004322-PA-netoglyc.txt","0")</f>
        <v>0</v>
      </c>
      <c r="AP282" s="13">
        <v>12</v>
      </c>
      <c r="AQ282" s="2">
        <v>5.4</v>
      </c>
      <c r="AR282" s="2">
        <v>3.2</v>
      </c>
      <c r="AS282" s="2" t="s">
        <v>104</v>
      </c>
      <c r="AT282" s="9" t="str">
        <f>HYPERLINK(".\links\NR-LIGHT\AGAP004322-PA-NR-LIGHT.txt","AGAP004322-PA")</f>
        <v>AGAP004322-PA</v>
      </c>
      <c r="AU282" s="2" t="str">
        <f>HYPERLINK("http://www.ncbi.nlm.nih.gov/sutils/blink.cgi?pid=XP_313594.4","0.0")</f>
        <v>0.0</v>
      </c>
      <c r="AV282" s="2" t="str">
        <f>HYPERLINK("http://www.ncbi.nlm.nih.gov/protein/XP_313594.4","XP_313594.4")</f>
        <v>XP_313594.4</v>
      </c>
      <c r="AW282" s="2">
        <v>100</v>
      </c>
      <c r="AX282" s="2">
        <v>100</v>
      </c>
      <c r="AY282" s="2">
        <v>100</v>
      </c>
      <c r="AZ282" s="2" t="s">
        <v>105</v>
      </c>
      <c r="BA282" s="9" t="str">
        <f>HYPERLINK(".\links\REFSEQ-INVERTEBRATE\AGAP004322-PA-REFSEQ-INVERTEBRATE.txt","AGAP004322-PA")</f>
        <v>AGAP004322-PA</v>
      </c>
      <c r="BB282" s="2" t="str">
        <f>HYPERLINK("http://www.ncbi.nlm.nih.gov/sutils/blink.cgi?pid=XP_313594.4","0.0")</f>
        <v>0.0</v>
      </c>
      <c r="BC282" s="2" t="str">
        <f>HYPERLINK("http://www.ncbi.nlm.nih.gov/protein/XP_313594.4","XP_313594.4")</f>
        <v>XP_313594.4</v>
      </c>
      <c r="BD282" s="2">
        <v>100</v>
      </c>
      <c r="BE282" s="2">
        <v>100</v>
      </c>
      <c r="BF282" s="2">
        <v>100</v>
      </c>
      <c r="BG282" s="2" t="s">
        <v>105</v>
      </c>
      <c r="BH282" s="9" t="str">
        <f>HYPERLINK(".\links\REFSEQ-PROTOZOA\AGAP004322-PA-REFSEQ-PROTOZOA.txt","hypothetical protein PTSG_06419")</f>
        <v>hypothetical protein PTSG_06419</v>
      </c>
      <c r="BI282" s="2" t="str">
        <f>HYPERLINK("http://www.ncbi.nlm.nih.gov/sutils/blink.cgi?pid=XP_004993308.1","3E-046")</f>
        <v>3E-046</v>
      </c>
      <c r="BJ282" s="2" t="str">
        <f>HYPERLINK("http://www.ncbi.nlm.nih.gov/protein/XP_004993308.1","XP_004993308.1")</f>
        <v>XP_004993308.1</v>
      </c>
      <c r="BK282" s="2">
        <v>26</v>
      </c>
      <c r="BL282" s="2">
        <v>49</v>
      </c>
      <c r="BM282" s="2">
        <v>62</v>
      </c>
      <c r="BN282" s="2" t="s">
        <v>435</v>
      </c>
      <c r="BO282" s="9" t="str">
        <f>HYPERLINK(".\links\SWISSP\AGAP004322-PA-SWISSP.txt","Protein penguin")</f>
        <v>Protein penguin</v>
      </c>
      <c r="BP282" s="2" t="str">
        <f>HYPERLINK("http://www.uniprot.org/uniprot/O61345","8E-096")</f>
        <v>8E-096</v>
      </c>
      <c r="BQ282" s="2" t="str">
        <f>HYPERLINK("http://www.uniprot.org/uniprot/O61345#expression","O61345")</f>
        <v>O61345</v>
      </c>
      <c r="BR282" s="2">
        <v>31</v>
      </c>
      <c r="BS282" s="2">
        <v>51</v>
      </c>
      <c r="BT282" s="2">
        <v>98</v>
      </c>
      <c r="BU282" s="2" t="s">
        <v>107</v>
      </c>
      <c r="BV282" s="9" t="str">
        <f>HYPERLINK(".\links\FLYBASE\AGAP004322-PA-FLYBASE.txt","FBpp0076918")</f>
        <v>FBpp0076918</v>
      </c>
      <c r="BW282" s="2" t="str">
        <f>HYPERLINK("http://flybase.org/reports/FBgn0015527#alliance_summary_container","1E-98")</f>
        <v>1E-98</v>
      </c>
      <c r="BX282" s="2">
        <v>737</v>
      </c>
      <c r="BY282" s="2">
        <v>30</v>
      </c>
      <c r="BZ282" s="2">
        <v>51</v>
      </c>
      <c r="CA282" s="2">
        <v>98</v>
      </c>
      <c r="CB282" s="9" t="str">
        <f>HYPERLINK(".\links\CDD\AGAP004322-PA-CDD.txt","CPL, CPL (NUC119) domain")</f>
        <v>CPL, CPL (NUC119) domain</v>
      </c>
      <c r="CC282" s="15">
        <v>2.0000000000000001E-9</v>
      </c>
      <c r="CD282" s="2">
        <v>76.2</v>
      </c>
      <c r="CE282" s="2" t="s">
        <v>3098</v>
      </c>
      <c r="CF282" s="2" t="s">
        <v>3099</v>
      </c>
      <c r="CG282" s="9" t="str">
        <f>HYPERLINK(".\links\KOG\AGAP004322-PA-KOG.txt","Puf family RNA-binding protein")</f>
        <v>Puf family RNA-binding protein</v>
      </c>
      <c r="CH282" s="15">
        <v>9.9999999999999996E-76</v>
      </c>
      <c r="CI282" s="2">
        <v>107.7</v>
      </c>
      <c r="CJ282" s="2" t="s">
        <v>3100</v>
      </c>
      <c r="CK282" s="2" t="s">
        <v>678</v>
      </c>
      <c r="CL282" s="9" t="str">
        <f>HYPERLINK(".\links\PFAM\AGAP004322-PA-PFAM.txt","CPL, CPL (NUC119) domain")</f>
        <v>CPL, CPL (NUC119) domain</v>
      </c>
      <c r="CM282" s="15">
        <v>3E-10</v>
      </c>
      <c r="CN282" s="2">
        <v>76.2</v>
      </c>
      <c r="CO282" s="2" t="s">
        <v>3098</v>
      </c>
      <c r="CP282" s="9" t="str">
        <f>HYPERLINK(".\links\SMART\AGAP004322-PA-SMART.txt","COG6, Conserved oligomeric complex COG6")</f>
        <v>COG6, Conserved oligomeric complex COG6</v>
      </c>
      <c r="CQ282" s="15">
        <v>7.0999999999999994E-2</v>
      </c>
      <c r="CR282" s="2">
        <v>23.4</v>
      </c>
      <c r="CS282" s="2" t="s">
        <v>3101</v>
      </c>
      <c r="CT282" s="2" t="s">
        <v>3096</v>
      </c>
      <c r="CU282" s="2" t="s">
        <v>3096</v>
      </c>
      <c r="CV282" s="2" t="s">
        <v>3096</v>
      </c>
      <c r="CW282" s="2" t="str">
        <f>HYPERLINK(".\links\pep\AGAP004322-PA-pep.txt","AGAP004322-PA")</f>
        <v>AGAP004322-PA</v>
      </c>
      <c r="CX282" s="2" t="s">
        <v>95</v>
      </c>
      <c r="CY282" s="2">
        <v>682</v>
      </c>
      <c r="CZ282" s="2" t="s">
        <v>113</v>
      </c>
      <c r="DA282" s="2" t="s">
        <v>3102</v>
      </c>
      <c r="DB282" s="2">
        <v>0</v>
      </c>
      <c r="DC282" s="2">
        <v>1</v>
      </c>
      <c r="DD282" s="2" t="str">
        <f>HYPERLINK("https://www.kegg.jp/kegg-bin/search_pathway_text?map=aga&amp;keyword=AGAP004322&amp;mode=1&amp;viewImage=true","AGAP004322")</f>
        <v>AGAP004322</v>
      </c>
      <c r="DE282" s="2" t="s">
        <v>3092</v>
      </c>
      <c r="DF282" s="2" t="s">
        <v>3093</v>
      </c>
      <c r="DG282" s="2" t="s">
        <v>94</v>
      </c>
      <c r="DH282" s="2" t="str">
        <f>HYPERLINK("https://vectorbase.org/vectorbase/app/record/gene/AGAP004322","AGAP004322-RA")</f>
        <v>AGAP004322-RA</v>
      </c>
      <c r="DI282" s="2" t="s">
        <v>135</v>
      </c>
      <c r="DJ282" s="2">
        <v>2214</v>
      </c>
      <c r="DK282" s="2" t="str">
        <f>HYPERLINK(".\links\netoglyc\AGAP004322-PA-netoglyc.txt","0")</f>
        <v>0</v>
      </c>
      <c r="DL282" s="2">
        <v>12</v>
      </c>
      <c r="DM282" s="2">
        <v>5.4</v>
      </c>
      <c r="DN282" s="2">
        <v>3.2</v>
      </c>
      <c r="DO282" s="2" t="s">
        <v>104</v>
      </c>
      <c r="DP282" s="2" t="s">
        <v>3103</v>
      </c>
      <c r="DQ282" s="2" t="str">
        <f>HYPERLINK(".\links\Sigp\AGAP004322-PA-SigP.txt","CYT")</f>
        <v>CYT</v>
      </c>
      <c r="DR282" s="2" t="s">
        <v>102</v>
      </c>
      <c r="DS282" s="2">
        <v>76.832999999999998</v>
      </c>
      <c r="DT282" s="2">
        <v>9.41</v>
      </c>
      <c r="DU282" s="2" t="s">
        <v>102</v>
      </c>
      <c r="DV282" s="2" t="s">
        <v>102</v>
      </c>
      <c r="DW282" s="2" t="s">
        <v>124</v>
      </c>
      <c r="DX282" s="2">
        <v>682</v>
      </c>
      <c r="DY282" s="12">
        <v>0</v>
      </c>
      <c r="DZ282" s="2" t="s">
        <v>102</v>
      </c>
      <c r="EA282" s="2" t="s">
        <v>102</v>
      </c>
      <c r="EB282" s="2" t="s">
        <v>102</v>
      </c>
      <c r="EC282" s="2" t="str">
        <f>HYPERLINK(".\links\gpi\AGAP004322-PA-gpi.txt","Y-NoSP")</f>
        <v>Y-NoSP</v>
      </c>
      <c r="ED282" s="2">
        <v>0.25</v>
      </c>
      <c r="EF282" s="2">
        <v>9</v>
      </c>
      <c r="EG282" s="2" t="s">
        <v>102</v>
      </c>
      <c r="EH282" s="2" t="s">
        <v>102</v>
      </c>
      <c r="EI282" s="2">
        <v>12.023460410557201</v>
      </c>
      <c r="EJ282" s="2">
        <v>3.2258064516128999</v>
      </c>
      <c r="EK282" s="2">
        <v>5.4252199413489697</v>
      </c>
      <c r="EL282" s="2">
        <v>8.6510263929618798</v>
      </c>
      <c r="EM282" s="2" t="s">
        <v>102</v>
      </c>
      <c r="EN282" s="2" t="s">
        <v>102</v>
      </c>
      <c r="EO282" s="2">
        <v>2</v>
      </c>
      <c r="EP282" s="2" t="s">
        <v>102</v>
      </c>
      <c r="EQ282" s="2" t="s">
        <v>102</v>
      </c>
      <c r="ER282" s="2" t="s">
        <v>102</v>
      </c>
      <c r="ES282" s="2" t="s">
        <v>102</v>
      </c>
      <c r="ET282" s="2" t="str">
        <f>HYPERLINK(".\links\REFSEQ-INVERTEBRATE\AGAP004322-PA-REFSEQ-INVERTEBRATE.txt","AGAP004322-PA")</f>
        <v>AGAP004322-PA</v>
      </c>
      <c r="EU282" s="2" t="str">
        <f>HYPERLINK("http://www.ncbi.nlm.nih.gov/sutils/blink.cgi?pid=XP_313594.4","0.0")</f>
        <v>0.0</v>
      </c>
      <c r="EV282" s="2" t="str">
        <f>HYPERLINK("http://www.ncbi.nlm.nih.gov/protein/XP_313594.4","XP_313594.4")</f>
        <v>XP_313594.4</v>
      </c>
      <c r="EW282" s="2">
        <v>100</v>
      </c>
      <c r="EX282" s="2">
        <v>100</v>
      </c>
      <c r="EY282" s="2">
        <v>100</v>
      </c>
      <c r="EZ282" s="2" t="s">
        <v>105</v>
      </c>
    </row>
    <row r="283" spans="1:156" x14ac:dyDescent="0.25">
      <c r="A283" s="2" t="s">
        <v>3104</v>
      </c>
      <c r="B283" s="2">
        <v>0.26438221342962498</v>
      </c>
      <c r="C283" s="2">
        <f t="shared" si="4"/>
        <v>1.2011215986754331</v>
      </c>
      <c r="D283" s="2">
        <v>6.46657227899661</v>
      </c>
      <c r="E283" s="2">
        <v>11.900496393341999</v>
      </c>
      <c r="F283" s="2">
        <v>5.61189868793883E-4</v>
      </c>
      <c r="G283" s="2">
        <v>2.6335838842684402E-2</v>
      </c>
      <c r="H283" s="2" t="s">
        <v>3105</v>
      </c>
      <c r="I283" s="2" t="s">
        <v>94</v>
      </c>
      <c r="J283" s="2" t="str">
        <f>HYPERLINK("https://vectorbase.org/vectorbase/app/record/gene/AGAP003868","AGAP003868-RA")</f>
        <v>AGAP003868-RA</v>
      </c>
      <c r="K283" s="2" t="str">
        <f>HYPERLINK(".\links\pep\AGAP003868-PA-pep.txt","AGAP003868-PA")</f>
        <v>AGAP003868-PA</v>
      </c>
      <c r="L283" s="12" t="s">
        <v>95</v>
      </c>
      <c r="M283" s="2">
        <v>608</v>
      </c>
      <c r="N283" s="2">
        <v>0</v>
      </c>
      <c r="O283" s="2">
        <v>2</v>
      </c>
      <c r="P283" s="2" t="s">
        <v>3106</v>
      </c>
      <c r="Q283" s="9" t="s">
        <v>3107</v>
      </c>
      <c r="R283" s="2" t="s">
        <v>355</v>
      </c>
      <c r="S283" s="2" t="str">
        <f>HYPERLINK(".\links\PFAM\AGAP003868-PA-PFAM.txt","PFAM")</f>
        <v>PFAM</v>
      </c>
      <c r="T283" s="2">
        <v>7.0000000000000001E-15</v>
      </c>
      <c r="U283" s="2">
        <v>101.2</v>
      </c>
      <c r="V283" s="2" t="s">
        <v>3108</v>
      </c>
      <c r="W283" s="10" t="s">
        <v>3109</v>
      </c>
      <c r="X283" s="2" t="s">
        <v>355</v>
      </c>
      <c r="Y283" s="2" t="str">
        <f>HYPERLINK(".\links\PFAM\AGAP003868-PA-PFAM.txt","PFAM")</f>
        <v>PFAM</v>
      </c>
      <c r="Z283" s="2">
        <v>8.0000000000000006E-15</v>
      </c>
      <c r="AA283" s="2">
        <v>66.599999999999994</v>
      </c>
      <c r="AB283" s="13" t="s">
        <v>102</v>
      </c>
      <c r="AC283" s="13" t="str">
        <f>HYPERLINK(".\links\Sigp\AGAP003868-PA-SigP.txt","CYT")</f>
        <v>CYT</v>
      </c>
      <c r="AD283" s="2" t="s">
        <v>102</v>
      </c>
      <c r="AE283" s="2">
        <v>67.046000000000006</v>
      </c>
      <c r="AF283" s="2">
        <v>6.2</v>
      </c>
      <c r="AG283" s="2" t="s">
        <v>102</v>
      </c>
      <c r="AH283" s="2" t="s">
        <v>102</v>
      </c>
      <c r="AI283" s="2" t="s">
        <v>211</v>
      </c>
      <c r="AJ283" s="13">
        <v>0</v>
      </c>
      <c r="AK283" s="2" t="s">
        <v>102</v>
      </c>
      <c r="AL283" s="2" t="s">
        <v>102</v>
      </c>
      <c r="AM283" s="2" t="s">
        <v>102</v>
      </c>
      <c r="AN283" s="13" t="str">
        <f>HYPERLINK(".\links\gpi\AGAP003868-PA-gpi.txt","N")</f>
        <v>N</v>
      </c>
      <c r="AO283" s="14" t="str">
        <f>HYPERLINK(".\links\netoglyc\AGAP003868-PA-netoglyc.txt","8")</f>
        <v>8</v>
      </c>
      <c r="AP283" s="13">
        <v>18.600000000000001</v>
      </c>
      <c r="AQ283" s="2">
        <v>3.9</v>
      </c>
      <c r="AR283" s="2">
        <v>5.6</v>
      </c>
      <c r="AS283" s="2" t="s">
        <v>104</v>
      </c>
      <c r="AT283" s="9" t="str">
        <f>HYPERLINK(".\links\NR-LIGHT\AGAP003868-PA-NR-LIGHT.txt","AGAP003868-PA")</f>
        <v>AGAP003868-PA</v>
      </c>
      <c r="AU283" s="2" t="str">
        <f>HYPERLINK("http://www.ncbi.nlm.nih.gov/sutils/blink.cgi?pid=XP_559658.3","0.0")</f>
        <v>0.0</v>
      </c>
      <c r="AV283" s="2" t="str">
        <f>HYPERLINK("http://www.ncbi.nlm.nih.gov/protein/XP_559658.3","XP_559658.3")</f>
        <v>XP_559658.3</v>
      </c>
      <c r="AW283" s="2">
        <v>100</v>
      </c>
      <c r="AX283" s="2">
        <v>100</v>
      </c>
      <c r="AY283" s="2">
        <v>100</v>
      </c>
      <c r="AZ283" s="2" t="s">
        <v>105</v>
      </c>
      <c r="BA283" s="9" t="str">
        <f>HYPERLINK(".\links\REFSEQ-INVERTEBRATE\AGAP003868-PA-REFSEQ-INVERTEBRATE.txt","AGAP003868-PA")</f>
        <v>AGAP003868-PA</v>
      </c>
      <c r="BB283" s="2" t="str">
        <f>HYPERLINK("http://www.ncbi.nlm.nih.gov/sutils/blink.cgi?pid=XP_559658.3","0.0")</f>
        <v>0.0</v>
      </c>
      <c r="BC283" s="2" t="str">
        <f>HYPERLINK("http://www.ncbi.nlm.nih.gov/protein/XP_559658.3","XP_559658.3")</f>
        <v>XP_559658.3</v>
      </c>
      <c r="BD283" s="2">
        <v>100</v>
      </c>
      <c r="BE283" s="2">
        <v>100</v>
      </c>
      <c r="BF283" s="2">
        <v>100</v>
      </c>
      <c r="BG283" s="2" t="s">
        <v>105</v>
      </c>
      <c r="BH283" s="9" t="str">
        <f>HYPERLINK(".\links\REFSEQ-PROTOZOA\AGAP003868-PA-REFSEQ-PROTOZOA.txt","hypothetical protein, conserved, (fragment), partial")</f>
        <v>hypothetical protein, conserved, (fragment), partial</v>
      </c>
      <c r="BI283" s="2" t="str">
        <f>HYPERLINK("http://www.ncbi.nlm.nih.gov/sutils/blink.cgi?pid=XP_011779074.1","1E-005")</f>
        <v>1E-005</v>
      </c>
      <c r="BJ283" s="2" t="str">
        <f>HYPERLINK("http://www.ncbi.nlm.nih.gov/protein/XP_011779074.1","XP_011779074.1")</f>
        <v>XP_011779074.1</v>
      </c>
      <c r="BK283" s="2">
        <v>19</v>
      </c>
      <c r="BL283" s="2">
        <v>38</v>
      </c>
      <c r="BM283" s="2">
        <v>18</v>
      </c>
      <c r="BN283" s="2" t="s">
        <v>3110</v>
      </c>
      <c r="BO283" s="9" t="str">
        <f>HYPERLINK(".\links\SWISSP\AGAP003868-PA-SWISSP.txt","Centriolar coiled-coil protein of 110 kDa")</f>
        <v>Centriolar coiled-coil protein of 110 kDa</v>
      </c>
      <c r="BP283" s="2" t="str">
        <f>HYPERLINK("http://www.uniprot.org/uniprot/O43303","7E-010")</f>
        <v>7E-010</v>
      </c>
      <c r="BQ283" s="2" t="str">
        <f>HYPERLINK("http://www.uniprot.org/uniprot/O43303#expression","O43303")</f>
        <v>O43303</v>
      </c>
      <c r="BR283" s="2">
        <v>23</v>
      </c>
      <c r="BS283" s="2">
        <v>42</v>
      </c>
      <c r="BT283" s="2">
        <v>34</v>
      </c>
      <c r="BU283" s="2" t="s">
        <v>127</v>
      </c>
      <c r="BV283" s="9" t="str">
        <f>HYPERLINK(".\links\FLYBASE\AGAP003868-PA-FLYBASE.txt","FBpp0308585")</f>
        <v>FBpp0308585</v>
      </c>
      <c r="BW283" s="2" t="str">
        <f>HYPERLINK("http://flybase.org/reports/FBgn0031191#alliance_summary_container","3E-12")</f>
        <v>3E-12</v>
      </c>
      <c r="BX283" s="2">
        <v>666</v>
      </c>
      <c r="BY283" s="2">
        <v>36</v>
      </c>
      <c r="BZ283" s="2">
        <v>52</v>
      </c>
      <c r="CA283" s="2">
        <v>18</v>
      </c>
      <c r="CB283" s="9" t="str">
        <f>HYPERLINK(".\links\CDD\AGAP003868-PA-CDD.txt","CALM_bind, Calcium-dependent calmodulin binding")</f>
        <v>CALM_bind, Calcium-dependent calmodulin binding</v>
      </c>
      <c r="CC283" s="15">
        <v>4E-14</v>
      </c>
      <c r="CD283" s="2">
        <v>101.3</v>
      </c>
      <c r="CE283" s="2" t="s">
        <v>3111</v>
      </c>
      <c r="CF283" s="2" t="s">
        <v>3112</v>
      </c>
      <c r="CG283" s="9" t="str">
        <f>HYPERLINK(".\links\KOG\AGAP003868-PA-KOG.txt","Tight junction proteins")</f>
        <v>Tight junction proteins</v>
      </c>
      <c r="CH283" s="15">
        <v>0.04</v>
      </c>
      <c r="CI283" s="2">
        <v>16.399999999999999</v>
      </c>
      <c r="CJ283" s="2" t="s">
        <v>3113</v>
      </c>
      <c r="CK283" s="2" t="s">
        <v>173</v>
      </c>
      <c r="CL283" s="9" t="str">
        <f>HYPERLINK(".\links\PFAM\AGAP003868-PA-PFAM.txt","CALM_bind, Calcium-dependent calmodulin binding")</f>
        <v>CALM_bind, Calcium-dependent calmodulin binding</v>
      </c>
      <c r="CM283" s="15">
        <v>7.0000000000000001E-15</v>
      </c>
      <c r="CN283" s="2">
        <v>101.3</v>
      </c>
      <c r="CO283" s="2" t="s">
        <v>3111</v>
      </c>
      <c r="CP283" s="9" t="str">
        <f>HYPERLINK(".\links\SMART\AGAP003868-PA-SMART.txt","IQ, Calmodulin-binding motif")</f>
        <v>IQ, Calmodulin-binding motif</v>
      </c>
      <c r="CQ283" s="15">
        <v>1E-4</v>
      </c>
      <c r="CR283" s="2">
        <v>100</v>
      </c>
      <c r="CS283" s="2" t="s">
        <v>3114</v>
      </c>
      <c r="CT283" s="2" t="s">
        <v>3108</v>
      </c>
      <c r="CU283" s="2" t="s">
        <v>3108</v>
      </c>
      <c r="CV283" s="2" t="s">
        <v>3108</v>
      </c>
      <c r="CW283" s="2" t="str">
        <f>HYPERLINK(".\links\pep\AGAP003868-PA-pep.txt","AGAP003868-PA")</f>
        <v>AGAP003868-PA</v>
      </c>
      <c r="CX283" s="2" t="s">
        <v>95</v>
      </c>
      <c r="CY283" s="2">
        <v>608</v>
      </c>
      <c r="CZ283" s="2" t="s">
        <v>113</v>
      </c>
      <c r="DA283" s="2" t="s">
        <v>3115</v>
      </c>
      <c r="DB283" s="2">
        <v>0</v>
      </c>
      <c r="DC283" s="2">
        <v>2</v>
      </c>
      <c r="DD283" s="2" t="str">
        <f>HYPERLINK("https://www.kegg.jp/kegg-bin/search_pathway_text?map=aga&amp;keyword=AGAP003868&amp;mode=1&amp;viewImage=true","AGAP003868")</f>
        <v>AGAP003868</v>
      </c>
      <c r="DE283" s="2" t="s">
        <v>3104</v>
      </c>
      <c r="DF283" s="2" t="s">
        <v>3105</v>
      </c>
      <c r="DG283" s="2" t="s">
        <v>94</v>
      </c>
      <c r="DH283" s="2" t="str">
        <f>HYPERLINK("https://vectorbase.org/vectorbase/app/record/gene/AGAP003868","AGAP003868-RA")</f>
        <v>AGAP003868-RA</v>
      </c>
      <c r="DI283" s="2" t="s">
        <v>118</v>
      </c>
      <c r="DJ283" s="2">
        <v>2019</v>
      </c>
      <c r="DK283" s="2" t="str">
        <f>HYPERLINK(".\links\netoglyc\AGAP003868-PA-netoglyc.txt","8")</f>
        <v>8</v>
      </c>
      <c r="DL283" s="2">
        <v>18.600000000000001</v>
      </c>
      <c r="DM283" s="2">
        <v>3.9</v>
      </c>
      <c r="DN283" s="2">
        <v>5.6</v>
      </c>
      <c r="DO283" s="2" t="s">
        <v>104</v>
      </c>
      <c r="DP283" s="2" t="s">
        <v>102</v>
      </c>
      <c r="DQ283" s="2" t="str">
        <f>HYPERLINK(".\links\Sigp\AGAP003868-PA-SigP.txt","CYT")</f>
        <v>CYT</v>
      </c>
      <c r="DR283" s="2" t="s">
        <v>102</v>
      </c>
      <c r="DS283" s="2">
        <v>67.046000000000006</v>
      </c>
      <c r="DT283" s="2">
        <v>6.2</v>
      </c>
      <c r="DU283" s="2" t="s">
        <v>102</v>
      </c>
      <c r="DV283" s="2" t="s">
        <v>102</v>
      </c>
      <c r="DW283" s="2" t="s">
        <v>211</v>
      </c>
      <c r="DX283" s="2">
        <v>608</v>
      </c>
      <c r="DY283" s="12">
        <v>0</v>
      </c>
      <c r="DZ283" s="2" t="s">
        <v>102</v>
      </c>
      <c r="EA283" s="2" t="s">
        <v>102</v>
      </c>
      <c r="EB283" s="2" t="s">
        <v>102</v>
      </c>
      <c r="EC283" s="2" t="str">
        <f>HYPERLINK(".\links\gpi\AGAP003868-PA-gpi.txt","N")</f>
        <v>N</v>
      </c>
      <c r="ED283" s="2">
        <v>0.23</v>
      </c>
      <c r="EF283" s="2">
        <v>11</v>
      </c>
      <c r="EG283" s="2" t="s">
        <v>102</v>
      </c>
      <c r="EH283" s="2" t="s">
        <v>102</v>
      </c>
      <c r="EI283" s="2">
        <v>18.585526315789501</v>
      </c>
      <c r="EJ283" s="2">
        <v>5.5921052631578902</v>
      </c>
      <c r="EK283" s="2">
        <v>3.9473684210526301</v>
      </c>
      <c r="EL283" s="2">
        <v>9.5394736842105292</v>
      </c>
      <c r="EM283" s="2" t="s">
        <v>102</v>
      </c>
      <c r="EN283" s="2" t="s">
        <v>102</v>
      </c>
      <c r="EO283" s="2" t="s">
        <v>102</v>
      </c>
      <c r="EP283" s="2" t="s">
        <v>102</v>
      </c>
      <c r="EQ283" s="2" t="s">
        <v>102</v>
      </c>
      <c r="ER283" s="2" t="s">
        <v>102</v>
      </c>
      <c r="ES283" s="2" t="s">
        <v>102</v>
      </c>
      <c r="ET283" s="2" t="str">
        <f>HYPERLINK(".\links\REFSEQ-INVERTEBRATE\AGAP003868-PA-REFSEQ-INVERTEBRATE.txt","AGAP003868-PA")</f>
        <v>AGAP003868-PA</v>
      </c>
      <c r="EU283" s="2" t="str">
        <f>HYPERLINK("http://www.ncbi.nlm.nih.gov/sutils/blink.cgi?pid=XP_559658.3","0.0")</f>
        <v>0.0</v>
      </c>
      <c r="EV283" s="2" t="str">
        <f>HYPERLINK("http://www.ncbi.nlm.nih.gov/protein/XP_559658.3","XP_559658.3")</f>
        <v>XP_559658.3</v>
      </c>
      <c r="EW283" s="2">
        <v>100</v>
      </c>
      <c r="EX283" s="2">
        <v>100</v>
      </c>
      <c r="EY283" s="2">
        <v>100</v>
      </c>
      <c r="EZ283" s="2" t="s">
        <v>105</v>
      </c>
    </row>
    <row r="284" spans="1:156" x14ac:dyDescent="0.25">
      <c r="A284" s="2" t="s">
        <v>3116</v>
      </c>
      <c r="B284" s="2">
        <v>0.26411484567759203</v>
      </c>
      <c r="C284" s="2">
        <f t="shared" si="4"/>
        <v>1.2008990211959827</v>
      </c>
      <c r="D284" s="2">
        <v>6.4178642098448799</v>
      </c>
      <c r="E284" s="2">
        <v>9.4803562653105509</v>
      </c>
      <c r="F284" s="2">
        <v>2.0768363275082101E-3</v>
      </c>
      <c r="G284" s="2">
        <v>4.4301346336782302E-2</v>
      </c>
      <c r="H284" s="2" t="s">
        <v>93</v>
      </c>
      <c r="I284" s="2" t="s">
        <v>94</v>
      </c>
      <c r="J284" s="2" t="str">
        <f>HYPERLINK("https://vectorbase.org/vectorbase/app/record/gene/AGAP010179","AGAP010179-RA")</f>
        <v>AGAP010179-RA</v>
      </c>
      <c r="K284" s="2" t="str">
        <f>HYPERLINK(".\links\pep\AGAP010179-PA-pep.txt","AGAP010179-PA")</f>
        <v>AGAP010179-PA</v>
      </c>
      <c r="L284" s="12" t="s">
        <v>95</v>
      </c>
      <c r="M284" s="2">
        <v>981</v>
      </c>
      <c r="N284" s="2">
        <v>0</v>
      </c>
      <c r="O284" s="2">
        <v>6</v>
      </c>
      <c r="P284" s="2" t="s">
        <v>102</v>
      </c>
      <c r="Q284" s="9" t="s">
        <v>1984</v>
      </c>
      <c r="R284" s="2" t="s">
        <v>196</v>
      </c>
      <c r="S284" s="2" t="str">
        <f>HYPERLINK(".\links\KOG\AGAP010179-PA-KOG.txt","KOG")</f>
        <v>KOG</v>
      </c>
      <c r="T284" s="2">
        <v>0</v>
      </c>
      <c r="U284" s="2">
        <v>111</v>
      </c>
      <c r="V284" s="2" t="s">
        <v>3117</v>
      </c>
      <c r="W284" s="10" t="s">
        <v>3118</v>
      </c>
      <c r="X284" s="2" t="s">
        <v>420</v>
      </c>
      <c r="Y284" s="2" t="str">
        <f>HYPERLINK(".\links\CDD\AGAP010179-PA-CDD.txt","CDD")</f>
        <v>CDD</v>
      </c>
      <c r="Z284" s="15">
        <v>0</v>
      </c>
      <c r="AA284" s="2">
        <v>63.9</v>
      </c>
      <c r="AB284" s="13" t="str">
        <f>HYPERLINK(".\links\pep\AGAP010179-PA-sulf.txt","3")</f>
        <v>3</v>
      </c>
      <c r="AC284" s="13" t="str">
        <f>HYPERLINK(".\links\Sigp\AGAP010179-PA-SigP.txt","CYT")</f>
        <v>CYT</v>
      </c>
      <c r="AD284" s="2" t="s">
        <v>102</v>
      </c>
      <c r="AE284" s="2">
        <v>111.521</v>
      </c>
      <c r="AF284" s="2">
        <v>5.23</v>
      </c>
      <c r="AG284" s="2" t="s">
        <v>102</v>
      </c>
      <c r="AH284" s="2" t="s">
        <v>102</v>
      </c>
      <c r="AI284" s="2" t="s">
        <v>3119</v>
      </c>
      <c r="AJ284" s="13">
        <v>0</v>
      </c>
      <c r="AK284" s="2" t="s">
        <v>102</v>
      </c>
      <c r="AL284" s="2" t="s">
        <v>102</v>
      </c>
      <c r="AM284" s="2" t="s">
        <v>102</v>
      </c>
      <c r="AN284" s="13" t="str">
        <f>HYPERLINK(".\links\gpi\AGAP010179-PA-gpi.txt","N")</f>
        <v>N</v>
      </c>
      <c r="AO284" s="14" t="str">
        <f>HYPERLINK(".\links\netoglyc\AGAP010179-PA-netoglyc.txt","0")</f>
        <v>0</v>
      </c>
      <c r="AP284" s="13">
        <v>12.2</v>
      </c>
      <c r="AQ284" s="2">
        <v>5.4</v>
      </c>
      <c r="AR284" s="2">
        <v>6</v>
      </c>
      <c r="AS284" s="2" t="s">
        <v>104</v>
      </c>
      <c r="AT284" s="9" t="str">
        <f>HYPERLINK(".\links\NR-LIGHT\AGAP010179-PA-NR-LIGHT.txt","AGAP010179-PA, partial")</f>
        <v>AGAP010179-PA, partial</v>
      </c>
      <c r="AU284" s="2" t="str">
        <f>HYPERLINK("http://www.ncbi.nlm.nih.gov/sutils/blink.cgi?pid=XP_319357.4","0.0")</f>
        <v>0.0</v>
      </c>
      <c r="AV284" s="2" t="str">
        <f>HYPERLINK("http://www.ncbi.nlm.nih.gov/protein/XP_319357.4","XP_319357.4")</f>
        <v>XP_319357.4</v>
      </c>
      <c r="AW284" s="2">
        <v>95</v>
      </c>
      <c r="AX284" s="2">
        <v>95</v>
      </c>
      <c r="AY284" s="2">
        <v>105</v>
      </c>
      <c r="AZ284" s="2" t="s">
        <v>105</v>
      </c>
      <c r="BA284" s="9" t="str">
        <f>HYPERLINK(".\links\REFSEQ-INVERTEBRATE\AGAP010179-PA-REFSEQ-INVERTEBRATE.txt","AGAP010179-PA, partial")</f>
        <v>AGAP010179-PA, partial</v>
      </c>
      <c r="BB284" s="2" t="str">
        <f>HYPERLINK("http://www.ncbi.nlm.nih.gov/sutils/blink.cgi?pid=XP_319357.4","0.0")</f>
        <v>0.0</v>
      </c>
      <c r="BC284" s="2" t="str">
        <f>HYPERLINK("http://www.ncbi.nlm.nih.gov/protein/XP_319357.4","XP_319357.4")</f>
        <v>XP_319357.4</v>
      </c>
      <c r="BD284" s="2">
        <v>95</v>
      </c>
      <c r="BE284" s="2">
        <v>95</v>
      </c>
      <c r="BF284" s="2">
        <v>105</v>
      </c>
      <c r="BG284" s="2" t="s">
        <v>105</v>
      </c>
      <c r="BH284" s="9" t="str">
        <f>HYPERLINK(".\links\REFSEQ-PROTOZOA\AGAP010179-PA-REFSEQ-PROTOZOA.txt","hypothetical protein SAMD00019534_072840")</f>
        <v>hypothetical protein SAMD00019534_072840</v>
      </c>
      <c r="BI284" s="2" t="str">
        <f>HYPERLINK("http://www.ncbi.nlm.nih.gov/sutils/blink.cgi?pid=XP_012753145.1","7E-025")</f>
        <v>7E-025</v>
      </c>
      <c r="BJ284" s="2" t="str">
        <f>HYPERLINK("http://www.ncbi.nlm.nih.gov/protein/XP_012753145.1","XP_012753145.1")</f>
        <v>XP_012753145.1</v>
      </c>
      <c r="BK284" s="2">
        <v>22</v>
      </c>
      <c r="BL284" s="2">
        <v>43</v>
      </c>
      <c r="BM284" s="2">
        <v>63</v>
      </c>
      <c r="BN284" s="2" t="s">
        <v>186</v>
      </c>
      <c r="BO284" s="9" t="str">
        <f>HYPERLINK(".\links\SWISSP\AGAP010179-PA-SWISSP.txt","Protein SMG8")</f>
        <v>Protein SMG8</v>
      </c>
      <c r="BP284" s="2" t="str">
        <f>HYPERLINK("http://www.uniprot.org/uniprot/Q17G65","0.0")</f>
        <v>0.0</v>
      </c>
      <c r="BQ284" s="2" t="str">
        <f>HYPERLINK("http://www.uniprot.org/uniprot/Q17G65#expression","Q17G65")</f>
        <v>Q17G65</v>
      </c>
      <c r="BR284" s="2">
        <v>58</v>
      </c>
      <c r="BS284" s="2">
        <v>73</v>
      </c>
      <c r="BT284" s="2">
        <v>106</v>
      </c>
      <c r="BU284" s="2" t="s">
        <v>391</v>
      </c>
      <c r="BV284" s="9" t="str">
        <f>HYPERLINK(".\links\FLYBASE\AGAP010179-PA-FLYBASE.txt","FBpp0079708")</f>
        <v>FBpp0079708</v>
      </c>
      <c r="BW284" s="2" t="str">
        <f>HYPERLINK("http://flybase.org/reports/FBgn0032296#alliance_summary_container","0.0")</f>
        <v>0.0</v>
      </c>
      <c r="BX284" s="2">
        <v>944</v>
      </c>
      <c r="BY284" s="2">
        <v>37</v>
      </c>
      <c r="BZ284" s="2">
        <v>56</v>
      </c>
      <c r="CA284" s="2">
        <v>105</v>
      </c>
      <c r="CB284" s="9" t="str">
        <f>HYPERLINK(".\links\CDD\AGAP010179-PA-CDD.txt","Smg8_Smg9, Smg8_Smg9")</f>
        <v>Smg8_Smg9, Smg8_Smg9</v>
      </c>
      <c r="CC284" s="15">
        <v>0</v>
      </c>
      <c r="CD284" s="2">
        <v>109.8</v>
      </c>
      <c r="CE284" s="2" t="s">
        <v>3120</v>
      </c>
      <c r="CF284" s="2" t="s">
        <v>3121</v>
      </c>
      <c r="CG284" s="9" t="str">
        <f>HYPERLINK(".\links\KOG\AGAP010179-PA-KOG.txt","Uncharacterized conserved protein")</f>
        <v>Uncharacterized conserved protein</v>
      </c>
      <c r="CH284" s="15">
        <v>1E-150</v>
      </c>
      <c r="CI284" s="2">
        <v>111.8</v>
      </c>
      <c r="CJ284" s="2" t="s">
        <v>3122</v>
      </c>
      <c r="CK284" s="2" t="s">
        <v>284</v>
      </c>
      <c r="CL284" s="9" t="str">
        <f>HYPERLINK(".\links\PFAM\AGAP010179-PA-PFAM.txt","Smg8_Smg9, Smg8_Smg9")</f>
        <v>Smg8_Smg9, Smg8_Smg9</v>
      </c>
      <c r="CM284" s="15">
        <v>0</v>
      </c>
      <c r="CN284" s="2">
        <v>109.8</v>
      </c>
      <c r="CO284" s="2" t="s">
        <v>3120</v>
      </c>
      <c r="CP284" s="9" t="str">
        <f>HYPERLINK(".\links\SMART\AGAP010179-PA-SMART.txt","OSTEO, Osteopontin")</f>
        <v>OSTEO, Osteopontin</v>
      </c>
      <c r="CQ284" s="15">
        <v>5.6000000000000001E-2</v>
      </c>
      <c r="CR284" s="2">
        <v>27.2</v>
      </c>
      <c r="CS284" s="2" t="s">
        <v>3123</v>
      </c>
      <c r="CT284" s="2" t="s">
        <v>3117</v>
      </c>
      <c r="CU284" s="2" t="s">
        <v>3117</v>
      </c>
      <c r="CV284" s="2" t="s">
        <v>3117</v>
      </c>
      <c r="CW284" s="2" t="str">
        <f>HYPERLINK(".\links\pep\AGAP010179-PA-pep.txt","AGAP010179-PA")</f>
        <v>AGAP010179-PA</v>
      </c>
      <c r="CX284" s="2" t="s">
        <v>95</v>
      </c>
      <c r="CY284" s="2">
        <v>981</v>
      </c>
      <c r="CZ284" s="2" t="s">
        <v>113</v>
      </c>
      <c r="DA284" s="2" t="s">
        <v>3124</v>
      </c>
      <c r="DB284" s="2">
        <v>0</v>
      </c>
      <c r="DC284" s="2">
        <v>6</v>
      </c>
      <c r="DD284" s="2" t="str">
        <f>HYPERLINK("https://www.kegg.jp/kegg-bin/search_pathway_text?map=aga&amp;keyword=AGAP010179&amp;mode=1&amp;viewImage=true","AGAP010179")</f>
        <v>AGAP010179</v>
      </c>
      <c r="DE284" s="2" t="s">
        <v>3116</v>
      </c>
      <c r="DF284" s="2" t="s">
        <v>93</v>
      </c>
      <c r="DG284" s="2" t="s">
        <v>94</v>
      </c>
      <c r="DH284" s="2" t="str">
        <f>HYPERLINK("https://vectorbase.org/vectorbase/app/record/gene/AGAP010179","AGAP010179-RA")</f>
        <v>AGAP010179-RA</v>
      </c>
      <c r="DI284" s="2" t="s">
        <v>115</v>
      </c>
      <c r="DJ284" s="2">
        <v>3247</v>
      </c>
      <c r="DK284" s="2" t="str">
        <f>HYPERLINK(".\links\netoglyc\AGAP010179-PA-netoglyc.txt","0")</f>
        <v>0</v>
      </c>
      <c r="DL284" s="2">
        <v>12.2</v>
      </c>
      <c r="DM284" s="2">
        <v>5.4</v>
      </c>
      <c r="DN284" s="2">
        <v>6</v>
      </c>
      <c r="DO284" s="2" t="s">
        <v>104</v>
      </c>
      <c r="DP284" s="2" t="s">
        <v>102</v>
      </c>
      <c r="DQ284" s="2" t="str">
        <f>HYPERLINK(".\links\Sigp\AGAP010179-PA-SigP.txt","CYT")</f>
        <v>CYT</v>
      </c>
      <c r="DR284" s="2" t="s">
        <v>102</v>
      </c>
      <c r="DS284" s="2">
        <v>111.521</v>
      </c>
      <c r="DT284" s="2">
        <v>5.23</v>
      </c>
      <c r="DU284" s="2" t="s">
        <v>102</v>
      </c>
      <c r="DV284" s="2" t="s">
        <v>102</v>
      </c>
      <c r="DW284" s="2" t="s">
        <v>3119</v>
      </c>
      <c r="DX284" s="2">
        <v>981</v>
      </c>
      <c r="DY284" s="12">
        <v>0</v>
      </c>
      <c r="DZ284" s="2" t="s">
        <v>102</v>
      </c>
      <c r="EA284" s="2" t="s">
        <v>102</v>
      </c>
      <c r="EB284" s="2" t="s">
        <v>102</v>
      </c>
      <c r="EC284" s="2" t="str">
        <f>HYPERLINK(".\links\gpi\AGAP010179-PA-gpi.txt","Y-NoSP")</f>
        <v>Y-NoSP</v>
      </c>
      <c r="ED284" s="2">
        <v>0.22</v>
      </c>
      <c r="EF284" s="2">
        <v>22</v>
      </c>
      <c r="EG284" s="2" t="str">
        <f>HYPERLINK(".\links\pep\AGAP010179-PA-sulf.txt","3")</f>
        <v>3</v>
      </c>
      <c r="EH284" s="2" t="s">
        <v>102</v>
      </c>
      <c r="EI284" s="2">
        <v>12.2324159021407</v>
      </c>
      <c r="EJ284" s="2">
        <v>6.0142711518858301</v>
      </c>
      <c r="EK284" s="2">
        <v>5.4026503567787998</v>
      </c>
      <c r="EL284" s="2">
        <v>11.416921508664601</v>
      </c>
      <c r="EM284" s="2">
        <v>1</v>
      </c>
      <c r="EN284" s="2">
        <v>2</v>
      </c>
      <c r="EO284" s="2">
        <v>2</v>
      </c>
      <c r="EP284" s="2" t="s">
        <v>102</v>
      </c>
      <c r="EQ284" s="2" t="s">
        <v>102</v>
      </c>
      <c r="ER284" s="2" t="s">
        <v>102</v>
      </c>
      <c r="ES284" s="2" t="s">
        <v>102</v>
      </c>
      <c r="ET284" s="2" t="str">
        <f>HYPERLINK(".\links\REFSEQ-INVERTEBRATE\AGAP010179-PA-REFSEQ-INVERTEBRATE.txt","AGAP010179-PA, partial")</f>
        <v>AGAP010179-PA, partial</v>
      </c>
      <c r="EU284" s="2" t="str">
        <f>HYPERLINK("http://www.ncbi.nlm.nih.gov/sutils/blink.cgi?pid=XP_319357.4","0.0")</f>
        <v>0.0</v>
      </c>
      <c r="EV284" s="2" t="str">
        <f>HYPERLINK("http://www.ncbi.nlm.nih.gov/protein/XP_319357.4","XP_319357.4")</f>
        <v>XP_319357.4</v>
      </c>
      <c r="EW284" s="2">
        <v>95</v>
      </c>
      <c r="EX284" s="2">
        <v>95</v>
      </c>
      <c r="EY284" s="2">
        <v>105</v>
      </c>
      <c r="EZ284" s="2" t="s">
        <v>105</v>
      </c>
    </row>
    <row r="285" spans="1:156" x14ac:dyDescent="0.25">
      <c r="A285" s="2" t="s">
        <v>3125</v>
      </c>
      <c r="B285" s="2">
        <v>0.26403385958369902</v>
      </c>
      <c r="C285" s="2">
        <f t="shared" si="4"/>
        <v>1.2008316102820809</v>
      </c>
      <c r="D285" s="2">
        <v>6.1623777439469798</v>
      </c>
      <c r="E285" s="2">
        <v>10.815420063332001</v>
      </c>
      <c r="F285" s="2">
        <v>1.00658183545918E-3</v>
      </c>
      <c r="G285" s="2">
        <v>3.2217225425839199E-2</v>
      </c>
      <c r="H285" s="2" t="s">
        <v>93</v>
      </c>
      <c r="I285" s="2" t="s">
        <v>94</v>
      </c>
      <c r="J285" s="2" t="str">
        <f>HYPERLINK("https://vectorbase.org/vectorbase/app/record/gene/AGAP004803","AGAP004803-RA")</f>
        <v>AGAP004803-RA</v>
      </c>
      <c r="K285" s="2" t="str">
        <f>HYPERLINK(".\links\pep\AGAP004803-PA-pep.txt","AGAP004803-PA")</f>
        <v>AGAP004803-PA</v>
      </c>
      <c r="L285" s="12" t="s">
        <v>95</v>
      </c>
      <c r="M285" s="2">
        <v>539</v>
      </c>
      <c r="N285" s="2">
        <v>0</v>
      </c>
      <c r="O285" s="2">
        <v>1</v>
      </c>
      <c r="P285" s="2" t="s">
        <v>102</v>
      </c>
      <c r="Q285" s="9" t="s">
        <v>3126</v>
      </c>
      <c r="R285" s="2" t="s">
        <v>358</v>
      </c>
      <c r="S285" s="2" t="str">
        <f>HYPERLINK(".\links\REFSEQ-INVERTEBRATE\AGAP004803-PA-REFSEQ-INVERTEBRATE.txt","REFSEQ-INVERTEBRATE")</f>
        <v>REFSEQ-INVERTEBRATE</v>
      </c>
      <c r="T285" s="2">
        <v>5.0000000000000001E-47</v>
      </c>
      <c r="U285" s="2">
        <v>103.6</v>
      </c>
      <c r="V285" s="2" t="s">
        <v>3127</v>
      </c>
      <c r="W285" s="10" t="s">
        <v>3128</v>
      </c>
      <c r="X285" s="2" t="s">
        <v>196</v>
      </c>
      <c r="Y285" s="2" t="str">
        <f>HYPERLINK(".\links\ARTHORPODA\AGAP004803-PA-ARTHORPODA.txt","ARTHORPODA")</f>
        <v>ARTHORPODA</v>
      </c>
      <c r="Z285" s="15">
        <v>0</v>
      </c>
      <c r="AA285" s="2">
        <v>100</v>
      </c>
      <c r="AB285" s="13" t="s">
        <v>102</v>
      </c>
      <c r="AC285" s="13" t="str">
        <f>HYPERLINK(".\links\Sigp\AGAP004803-PA-SigP.txt","CYT")</f>
        <v>CYT</v>
      </c>
      <c r="AD285" s="2" t="s">
        <v>102</v>
      </c>
      <c r="AE285" s="2">
        <v>60.097000000000001</v>
      </c>
      <c r="AF285" s="2">
        <v>7.52</v>
      </c>
      <c r="AG285" s="2" t="s">
        <v>102</v>
      </c>
      <c r="AH285" s="2" t="s">
        <v>102</v>
      </c>
      <c r="AI285" s="2" t="s">
        <v>211</v>
      </c>
      <c r="AJ285" s="13">
        <v>0</v>
      </c>
      <c r="AK285" s="2" t="s">
        <v>102</v>
      </c>
      <c r="AL285" s="2" t="s">
        <v>102</v>
      </c>
      <c r="AM285" s="2" t="s">
        <v>102</v>
      </c>
      <c r="AN285" s="13" t="str">
        <f>HYPERLINK(".\links\gpi\AGAP004803-PA-gpi.txt","N")</f>
        <v>N</v>
      </c>
      <c r="AO285" s="14" t="str">
        <f>HYPERLINK(".\links\netoglyc\AGAP004803-PA-netoglyc.txt","12")</f>
        <v>12</v>
      </c>
      <c r="AP285" s="13">
        <v>17.8</v>
      </c>
      <c r="AQ285" s="2">
        <v>3.3</v>
      </c>
      <c r="AR285" s="2">
        <v>8.9</v>
      </c>
      <c r="AS285" s="2" t="s">
        <v>104</v>
      </c>
      <c r="AT285" s="9" t="str">
        <f>HYPERLINK(".\links\NR-LIGHT\AGAP004803-PA-NR-LIGHT.txt","AGAP004803-PA")</f>
        <v>AGAP004803-PA</v>
      </c>
      <c r="AU285" s="2" t="str">
        <f>HYPERLINK("http://www.ncbi.nlm.nih.gov/sutils/blink.cgi?pid=XP_318006.3","2E-094")</f>
        <v>2E-094</v>
      </c>
      <c r="AV285" s="2" t="str">
        <f>HYPERLINK("http://www.ncbi.nlm.nih.gov/protein/XP_318006.3","XP_318006.3")</f>
        <v>XP_318006.3</v>
      </c>
      <c r="AW285" s="2">
        <v>97</v>
      </c>
      <c r="AX285" s="2">
        <v>98</v>
      </c>
      <c r="AY285" s="2">
        <v>88</v>
      </c>
      <c r="AZ285" s="2" t="s">
        <v>105</v>
      </c>
      <c r="BA285" s="9" t="str">
        <f>HYPERLINK(".\links\REFSEQ-INVERTEBRATE\AGAP004803-PA-REFSEQ-INVERTEBRATE.txt","AGAP004803-PA")</f>
        <v>AGAP004803-PA</v>
      </c>
      <c r="BB285" s="2" t="str">
        <f>HYPERLINK("http://www.ncbi.nlm.nih.gov/sutils/blink.cgi?pid=XP_318006.3","1E-094")</f>
        <v>1E-094</v>
      </c>
      <c r="BC285" s="2" t="str">
        <f>HYPERLINK("http://www.ncbi.nlm.nih.gov/protein/XP_318006.3","XP_318006.3")</f>
        <v>XP_318006.3</v>
      </c>
      <c r="BD285" s="2">
        <v>97</v>
      </c>
      <c r="BE285" s="2">
        <v>98</v>
      </c>
      <c r="BF285" s="2">
        <v>88</v>
      </c>
      <c r="BG285" s="2" t="s">
        <v>105</v>
      </c>
      <c r="BH285" s="9" t="str">
        <f>HYPERLINK(".\links\REFSEQ-PROTOZOA\AGAP004803-PA-REFSEQ-PROTOZOA.txt","hypothetical protein")</f>
        <v>hypothetical protein</v>
      </c>
      <c r="BI285" s="2" t="str">
        <f>HYPERLINK("http://www.ncbi.nlm.nih.gov/sutils/blink.cgi?pid=XP_001313778.1","8E-007")</f>
        <v>8E-007</v>
      </c>
      <c r="BJ285" s="2" t="str">
        <f>HYPERLINK("http://www.ncbi.nlm.nih.gov/protein/XP_001313778.1","XP_001313778.1")</f>
        <v>XP_001313778.1</v>
      </c>
      <c r="BK285" s="2">
        <v>18</v>
      </c>
      <c r="BL285" s="2">
        <v>41</v>
      </c>
      <c r="BM285" s="2">
        <v>29</v>
      </c>
      <c r="BN285" s="2" t="s">
        <v>292</v>
      </c>
      <c r="BO285" s="9" t="str">
        <f>HYPERLINK(".\links\SWISSP\AGAP004803-PA-SWISSP.txt","Collagen alpha-1(XXVII) chain A")</f>
        <v>Collagen alpha-1(XXVII) chain A</v>
      </c>
      <c r="BP285" s="2" t="str">
        <f>HYPERLINK("http://www.uniprot.org/uniprot/C7DZK3","6E-005")</f>
        <v>6E-005</v>
      </c>
      <c r="BQ285" s="2" t="str">
        <f>HYPERLINK("http://www.uniprot.org/uniprot/C7DZK3#expression","C7DZK3")</f>
        <v>C7DZK3</v>
      </c>
      <c r="BR285" s="2">
        <v>28</v>
      </c>
      <c r="BS285" s="2">
        <v>45</v>
      </c>
      <c r="BT285" s="2">
        <v>9</v>
      </c>
      <c r="BU285" s="2" t="s">
        <v>213</v>
      </c>
      <c r="BV285" s="9" t="str">
        <f>HYPERLINK(".\links\FLYBASE\AGAP004803-PA-FLYBASE.txt","FBpp0309469")</f>
        <v>FBpp0309469</v>
      </c>
      <c r="BW285" s="2" t="str">
        <f>HYPERLINK("http://flybase.org/reports/FBgn0031513#alliance_summary_container","26")</f>
        <v>26</v>
      </c>
      <c r="BX285" s="2">
        <v>538</v>
      </c>
      <c r="BY285" s="2">
        <v>24</v>
      </c>
      <c r="BZ285" s="2">
        <v>48</v>
      </c>
      <c r="CA285" s="2">
        <v>21</v>
      </c>
      <c r="CB285" s="9" t="str">
        <f>HYPERLINK(".\links\CDD\AGAP004803-PA-CDD.txt","PLN02518, pheophorbide a oxygenase")</f>
        <v>PLN02518, pheophorbide a oxygenase</v>
      </c>
      <c r="CC285" s="15">
        <v>0.3</v>
      </c>
      <c r="CD285" s="2">
        <v>8</v>
      </c>
      <c r="CE285" s="2" t="s">
        <v>3129</v>
      </c>
      <c r="CF285" s="2" t="s">
        <v>3130</v>
      </c>
      <c r="CG285" s="9" t="str">
        <f>HYPERLINK(".\links\KOG\AGAP004803-PA-KOG.txt","Ypt/Rab-specific GTPase-activating protein GYP6")</f>
        <v>Ypt/Rab-specific GTPase-activating protein GYP6</v>
      </c>
      <c r="CH285" s="15">
        <v>1E-3</v>
      </c>
      <c r="CI285" s="2">
        <v>32.200000000000003</v>
      </c>
      <c r="CJ285" s="2" t="s">
        <v>3131</v>
      </c>
      <c r="CK285" s="2" t="s">
        <v>154</v>
      </c>
      <c r="CL285" s="9" t="str">
        <f>HYPERLINK(".\links\PFAM\AGAP004803-PA-PFAM.txt","Macoilin, Transmembrane protein")</f>
        <v>Macoilin, Transmembrane protein</v>
      </c>
      <c r="CM285" s="15">
        <v>0.11</v>
      </c>
      <c r="CN285" s="2">
        <v>16.7</v>
      </c>
      <c r="CO285" s="2" t="s">
        <v>3132</v>
      </c>
      <c r="CP285" s="9" t="str">
        <f>HYPERLINK(".\links\SMART\AGAP004803-PA-SMART.txt","MAM, Domain in meprin, A5, receptor protein tyrosine phosphatase mu (and others)")</f>
        <v>MAM, Domain in meprin, A5, receptor protein tyrosine phosphatase mu (and others)</v>
      </c>
      <c r="CQ285" s="15">
        <v>0.45</v>
      </c>
      <c r="CR285" s="2">
        <v>17.399999999999999</v>
      </c>
      <c r="CS285" s="2" t="s">
        <v>1527</v>
      </c>
      <c r="CT285" s="2" t="s">
        <v>3127</v>
      </c>
      <c r="CU285" s="2" t="s">
        <v>3127</v>
      </c>
      <c r="CV285" s="2" t="s">
        <v>3127</v>
      </c>
      <c r="CW285" s="2" t="str">
        <f>HYPERLINK(".\links\pep\AGAP004803-PA-pep.txt","AGAP004803-PA")</f>
        <v>AGAP004803-PA</v>
      </c>
      <c r="CX285" s="2" t="s">
        <v>95</v>
      </c>
      <c r="CY285" s="2">
        <v>539</v>
      </c>
      <c r="CZ285" s="2" t="s">
        <v>113</v>
      </c>
      <c r="DA285" s="2" t="s">
        <v>3133</v>
      </c>
      <c r="DB285" s="2">
        <v>0</v>
      </c>
      <c r="DC285" s="2">
        <v>1</v>
      </c>
      <c r="DD285" s="2" t="str">
        <f>HYPERLINK("https://www.kegg.jp/kegg-bin/search_pathway_text?map=aga&amp;keyword=AGAP004803&amp;mode=1&amp;viewImage=true","AGAP004803")</f>
        <v>AGAP004803</v>
      </c>
      <c r="DE285" s="2" t="s">
        <v>3125</v>
      </c>
      <c r="DF285" s="2" t="s">
        <v>93</v>
      </c>
      <c r="DG285" s="2" t="s">
        <v>94</v>
      </c>
      <c r="DH285" s="2" t="str">
        <f>HYPERLINK("https://vectorbase.org/vectorbase/app/record/gene/AGAP004803","AGAP004803-RA")</f>
        <v>AGAP004803-RA</v>
      </c>
      <c r="DI285" s="2" t="s">
        <v>135</v>
      </c>
      <c r="DJ285" s="2">
        <v>1786</v>
      </c>
      <c r="DK285" s="2" t="str">
        <f>HYPERLINK(".\links\netoglyc\AGAP004803-PA-netoglyc.txt","12")</f>
        <v>12</v>
      </c>
      <c r="DL285" s="2">
        <v>17.8</v>
      </c>
      <c r="DM285" s="2">
        <v>3.3</v>
      </c>
      <c r="DN285" s="2">
        <v>8.9</v>
      </c>
      <c r="DO285" s="2" t="s">
        <v>104</v>
      </c>
      <c r="DP285" s="2" t="s">
        <v>3134</v>
      </c>
      <c r="DQ285" s="2" t="str">
        <f>HYPERLINK(".\links\Sigp\AGAP004803-PA-SigP.txt","CYT")</f>
        <v>CYT</v>
      </c>
      <c r="DR285" s="2" t="s">
        <v>102</v>
      </c>
      <c r="DS285" s="2">
        <v>60.097000000000001</v>
      </c>
      <c r="DT285" s="2">
        <v>7.52</v>
      </c>
      <c r="DU285" s="2" t="s">
        <v>102</v>
      </c>
      <c r="DV285" s="2" t="s">
        <v>102</v>
      </c>
      <c r="DW285" s="2" t="s">
        <v>211</v>
      </c>
      <c r="DX285" s="2">
        <v>539</v>
      </c>
      <c r="DY285" s="12">
        <v>0</v>
      </c>
      <c r="DZ285" s="2" t="s">
        <v>102</v>
      </c>
      <c r="EA285" s="2" t="s">
        <v>102</v>
      </c>
      <c r="EB285" s="2" t="s">
        <v>102</v>
      </c>
      <c r="EC285" s="2" t="str">
        <f>HYPERLINK(".\links\gpi\AGAP004803-PA-gpi.txt","N")</f>
        <v>N</v>
      </c>
      <c r="ED285" s="2">
        <v>0.26</v>
      </c>
      <c r="EF285" s="2">
        <v>9</v>
      </c>
      <c r="EG285" s="2" t="s">
        <v>102</v>
      </c>
      <c r="EH285" s="2" t="s">
        <v>102</v>
      </c>
      <c r="EI285" s="2">
        <v>17.810760667903502</v>
      </c>
      <c r="EJ285" s="2">
        <v>8.9053803339517597</v>
      </c>
      <c r="EK285" s="2">
        <v>3.3395176252319101</v>
      </c>
      <c r="EL285" s="2">
        <v>12.244897959183699</v>
      </c>
      <c r="EM285" s="2">
        <v>1</v>
      </c>
      <c r="EN285" s="2">
        <v>2</v>
      </c>
      <c r="EO285" s="2">
        <v>3</v>
      </c>
      <c r="EP285" s="2" t="s">
        <v>102</v>
      </c>
      <c r="EQ285" s="2" t="s">
        <v>102</v>
      </c>
      <c r="ER285" s="2" t="s">
        <v>102</v>
      </c>
      <c r="ES285" s="2" t="s">
        <v>102</v>
      </c>
      <c r="ET285" s="2" t="str">
        <f>HYPERLINK(".\links\REFSEQ-INVERTEBRATE\AGAP004803-PA-REFSEQ-INVERTEBRATE.txt","uncharacterized protein LOC118512319")</f>
        <v>uncharacterized protein LOC118512319</v>
      </c>
      <c r="EU285" s="2" t="str">
        <f>HYPERLINK("http://www.ncbi.nlm.nih.gov/sutils/blink.cgi?pid=XP_035912471.1","0.0")</f>
        <v>0.0</v>
      </c>
      <c r="EV285" s="2" t="str">
        <f>HYPERLINK("http://www.ncbi.nlm.nih.gov/protein/XP_035912471.1","XP_035912471.1")</f>
        <v>XP_035912471.1</v>
      </c>
      <c r="EW285" s="2">
        <v>55</v>
      </c>
      <c r="EX285" s="2">
        <v>70</v>
      </c>
      <c r="EY285" s="2">
        <v>102</v>
      </c>
      <c r="EZ285" s="2" t="s">
        <v>370</v>
      </c>
    </row>
    <row r="286" spans="1:156" x14ac:dyDescent="0.25">
      <c r="A286" s="2" t="s">
        <v>3135</v>
      </c>
      <c r="B286" s="2">
        <v>0.26390994986479299</v>
      </c>
      <c r="C286" s="2">
        <f t="shared" si="4"/>
        <v>1.2007284780792009</v>
      </c>
      <c r="D286" s="2">
        <v>7.1117884875440298</v>
      </c>
      <c r="E286" s="2">
        <v>10.1585406204217</v>
      </c>
      <c r="F286" s="2">
        <v>1.4363427645792399E-3</v>
      </c>
      <c r="G286" s="2">
        <v>3.7152645524746501E-2</v>
      </c>
      <c r="H286" s="2" t="s">
        <v>93</v>
      </c>
      <c r="I286" s="2" t="s">
        <v>94</v>
      </c>
      <c r="J286" s="2" t="str">
        <f>HYPERLINK("https://vectorbase.org/vectorbase/app/record/gene/AGAP004523","AGAP004523-RA")</f>
        <v>AGAP004523-RA</v>
      </c>
      <c r="K286" s="2" t="str">
        <f>HYPERLINK(".\links\pep\AGAP004523-PA-pep.txt","AGAP004523-PA")</f>
        <v>AGAP004523-PA</v>
      </c>
      <c r="L286" s="12" t="s">
        <v>95</v>
      </c>
      <c r="M286" s="2">
        <v>1074</v>
      </c>
      <c r="N286" s="2">
        <v>0</v>
      </c>
      <c r="O286" s="2">
        <v>0</v>
      </c>
      <c r="P286" s="2" t="s">
        <v>102</v>
      </c>
      <c r="Q286" s="9" t="s">
        <v>3136</v>
      </c>
      <c r="R286" s="2" t="s">
        <v>196</v>
      </c>
      <c r="S286" s="2" t="str">
        <f>HYPERLINK(".\links\REFSEQ-INVERTEBRATE\AGAP004523-PA-REFSEQ-INVERTEBRATE.txt","REFSEQ-INVERTEBRATE")</f>
        <v>REFSEQ-INVERTEBRATE</v>
      </c>
      <c r="T286" s="2">
        <v>0</v>
      </c>
      <c r="U286" s="2">
        <v>100</v>
      </c>
      <c r="V286" s="2" t="s">
        <v>3136</v>
      </c>
      <c r="W286" s="10" t="s">
        <v>183</v>
      </c>
      <c r="X286" s="2" t="s">
        <v>196</v>
      </c>
      <c r="Y286" s="2" t="str">
        <f>HYPERLINK(".\links\FLYBASE\AGAP004523-PA-FLYBASE.txt","FLYBASE")</f>
        <v>FLYBASE</v>
      </c>
      <c r="Z286" s="2">
        <v>0</v>
      </c>
      <c r="AA286" s="2">
        <v>84</v>
      </c>
      <c r="AB286" s="13" t="str">
        <f>HYPERLINK(".\links\pep\AGAP004523-PA-sulf.txt","1")</f>
        <v>1</v>
      </c>
      <c r="AC286" s="13" t="str">
        <f>HYPERLINK(".\links\Sigp\AGAP004523-PA-SigP.txt","CYT")</f>
        <v>CYT</v>
      </c>
      <c r="AD286" s="2" t="s">
        <v>102</v>
      </c>
      <c r="AE286" s="2">
        <v>121.53</v>
      </c>
      <c r="AF286" s="2">
        <v>5.7</v>
      </c>
      <c r="AG286" s="2" t="s">
        <v>102</v>
      </c>
      <c r="AH286" s="2" t="s">
        <v>102</v>
      </c>
      <c r="AI286" s="2" t="s">
        <v>211</v>
      </c>
      <c r="AJ286" s="13">
        <v>0</v>
      </c>
      <c r="AK286" s="2" t="s">
        <v>102</v>
      </c>
      <c r="AL286" s="2" t="s">
        <v>102</v>
      </c>
      <c r="AM286" s="2" t="s">
        <v>102</v>
      </c>
      <c r="AN286" s="13" t="str">
        <f>HYPERLINK(".\links\gpi\AGAP004523-PA-gpi.txt","N")</f>
        <v>N</v>
      </c>
      <c r="AO286" s="14" t="str">
        <f>HYPERLINK(".\links\netoglyc\AGAP004523-PA-netoglyc.txt","0")</f>
        <v>0</v>
      </c>
      <c r="AP286" s="13">
        <v>13.7</v>
      </c>
      <c r="AQ286" s="2">
        <v>3.8</v>
      </c>
      <c r="AR286" s="2">
        <v>3.1</v>
      </c>
      <c r="AS286" s="2" t="s">
        <v>104</v>
      </c>
      <c r="AT286" s="9" t="str">
        <f>HYPERLINK(".\links\NR-LIGHT\AGAP004523-PA-NR-LIGHT.txt","AGAP004523-PA")</f>
        <v>AGAP004523-PA</v>
      </c>
      <c r="AU286" s="2" t="str">
        <f>HYPERLINK("http://www.ncbi.nlm.nih.gov/sutils/blink.cgi?pid=XP_313823.5","0.0")</f>
        <v>0.0</v>
      </c>
      <c r="AV286" s="2" t="str">
        <f>HYPERLINK("http://www.ncbi.nlm.nih.gov/protein/XP_313823.5","XP_313823.5")</f>
        <v>XP_313823.5</v>
      </c>
      <c r="AW286" s="2">
        <v>100</v>
      </c>
      <c r="AX286" s="2">
        <v>100</v>
      </c>
      <c r="AY286" s="2">
        <v>100</v>
      </c>
      <c r="AZ286" s="2" t="s">
        <v>105</v>
      </c>
      <c r="BA286" s="9" t="str">
        <f>HYPERLINK(".\links\REFSEQ-INVERTEBRATE\AGAP004523-PA-REFSEQ-INVERTEBRATE.txt","AGAP004523-PA")</f>
        <v>AGAP004523-PA</v>
      </c>
      <c r="BB286" s="2" t="str">
        <f>HYPERLINK("http://www.ncbi.nlm.nih.gov/sutils/blink.cgi?pid=XP_313823.5","0.0")</f>
        <v>0.0</v>
      </c>
      <c r="BC286" s="2" t="str">
        <f>HYPERLINK("http://www.ncbi.nlm.nih.gov/protein/XP_313823.5","XP_313823.5")</f>
        <v>XP_313823.5</v>
      </c>
      <c r="BD286" s="2">
        <v>100</v>
      </c>
      <c r="BE286" s="2">
        <v>100</v>
      </c>
      <c r="BF286" s="2">
        <v>100</v>
      </c>
      <c r="BG286" s="2" t="s">
        <v>105</v>
      </c>
      <c r="BH286" s="9" t="str">
        <f>HYPERLINK(".\links\REFSEQ-PROTOZOA\AGAP004523-PA-REFSEQ-PROTOZOA.txt","hypothetical protein, conserved")</f>
        <v>hypothetical protein, conserved</v>
      </c>
      <c r="BI286" s="2" t="str">
        <f>HYPERLINK("http://www.ncbi.nlm.nih.gov/sutils/blink.cgi?pid=XP_013437037.1","0.002")</f>
        <v>0.002</v>
      </c>
      <c r="BJ286" s="2" t="str">
        <f>HYPERLINK("http://www.ncbi.nlm.nih.gov/protein/XP_013437037.1","XP_013437037.1")</f>
        <v>XP_013437037.1</v>
      </c>
      <c r="BK286" s="2">
        <v>30</v>
      </c>
      <c r="BL286" s="2">
        <v>40</v>
      </c>
      <c r="BM286" s="2">
        <v>29</v>
      </c>
      <c r="BN286" s="2" t="s">
        <v>2642</v>
      </c>
      <c r="BO286" s="9" t="str">
        <f>HYPERLINK(".\links\SWISSP\AGAP004523-PA-SWISSP.txt","BRCA1-associated ATM activator 1")</f>
        <v>BRCA1-associated ATM activator 1</v>
      </c>
      <c r="BP286" s="2" t="str">
        <f>HYPERLINK("http://www.uniprot.org/uniprot/Q1RLU1","9E-009")</f>
        <v>9E-009</v>
      </c>
      <c r="BQ286" s="2" t="str">
        <f>HYPERLINK("http://www.uniprot.org/uniprot/Q1RLU1#expression","Q1RLU1")</f>
        <v>Q1RLU1</v>
      </c>
      <c r="BR286" s="2">
        <v>26</v>
      </c>
      <c r="BS286" s="2">
        <v>46</v>
      </c>
      <c r="BT286" s="2">
        <v>29</v>
      </c>
      <c r="BU286" s="2" t="s">
        <v>213</v>
      </c>
      <c r="BV286" s="9" t="str">
        <f>HYPERLINK(".\links\FLYBASE\AGAP004523-PA-FLYBASE.txt","FBpp0083437")</f>
        <v>FBpp0083437</v>
      </c>
      <c r="BW286" s="2" t="str">
        <f>HYPERLINK("http://flybase.org/reports/FBgn0038854#alliance_summary_container","1E-160")</f>
        <v>1E-160</v>
      </c>
      <c r="BX286" s="2">
        <v>974</v>
      </c>
      <c r="BY286" s="2">
        <v>35</v>
      </c>
      <c r="BZ286" s="2">
        <v>56</v>
      </c>
      <c r="CA286" s="2">
        <v>85</v>
      </c>
      <c r="CB286" s="9" t="str">
        <f>HYPERLINK(".\links\CDD\AGAP004523-PA-CDD.txt","HEAT, HEAT repeats")</f>
        <v>HEAT, HEAT repeats</v>
      </c>
      <c r="CC286" s="15">
        <v>0.11</v>
      </c>
      <c r="CD286" s="2">
        <v>63</v>
      </c>
      <c r="CE286" s="2" t="s">
        <v>984</v>
      </c>
      <c r="CF286" s="2" t="s">
        <v>3137</v>
      </c>
      <c r="CG286" s="9" t="str">
        <f>HYPERLINK(".\links\KOG\AGAP004523-PA-KOG.txt","PHD finger protein AF10")</f>
        <v>PHD finger protein AF10</v>
      </c>
      <c r="CH286" s="15">
        <v>8.0000000000000004E-4</v>
      </c>
      <c r="CI286" s="2">
        <v>14.4</v>
      </c>
      <c r="CJ286" s="2" t="s">
        <v>3138</v>
      </c>
      <c r="CK286" s="2" t="s">
        <v>191</v>
      </c>
      <c r="CL286" s="9" t="str">
        <f>HYPERLINK(".\links\PFAM\AGAP004523-PA-PFAM.txt","RP1-2, Tubuliform egg casing silk strands structural domain")</f>
        <v>RP1-2, Tubuliform egg casing silk strands structural domain</v>
      </c>
      <c r="CM286" s="15">
        <v>0.15</v>
      </c>
      <c r="CN286" s="2">
        <v>54.5</v>
      </c>
      <c r="CO286" s="2" t="s">
        <v>3139</v>
      </c>
      <c r="CP286" s="9" t="str">
        <f>HYPERLINK(".\links\SMART\AGAP004523-PA-SMART.txt","ZnF_DBF, Zinc finger in DBF-like proteins")</f>
        <v>ZnF_DBF, Zinc finger in DBF-like proteins</v>
      </c>
      <c r="CQ286" s="15">
        <v>0.31</v>
      </c>
      <c r="CR286" s="2">
        <v>61.2</v>
      </c>
      <c r="CS286" s="2" t="s">
        <v>3140</v>
      </c>
      <c r="CT286" s="2" t="s">
        <v>3136</v>
      </c>
      <c r="CU286" s="2" t="s">
        <v>3136</v>
      </c>
      <c r="CV286" s="2" t="s">
        <v>3136</v>
      </c>
      <c r="CW286" s="2" t="str">
        <f>HYPERLINK(".\links\pep\AGAP004523-PA-pep.txt","AGAP004523-PA")</f>
        <v>AGAP004523-PA</v>
      </c>
      <c r="CX286" s="2" t="s">
        <v>95</v>
      </c>
      <c r="CY286" s="2">
        <v>1074</v>
      </c>
      <c r="CZ286" s="2" t="s">
        <v>113</v>
      </c>
      <c r="DA286" s="2" t="s">
        <v>3141</v>
      </c>
      <c r="DB286" s="2">
        <v>0</v>
      </c>
      <c r="DC286" s="2">
        <v>0</v>
      </c>
      <c r="DD286" s="2" t="str">
        <f>HYPERLINK("https://www.kegg.jp/kegg-bin/search_pathway_text?map=aga&amp;keyword=AGAP004523&amp;mode=1&amp;viewImage=true","AGAP004523")</f>
        <v>AGAP004523</v>
      </c>
      <c r="DE286" s="2" t="s">
        <v>3135</v>
      </c>
      <c r="DF286" s="2" t="s">
        <v>93</v>
      </c>
      <c r="DG286" s="2" t="s">
        <v>94</v>
      </c>
      <c r="DH286" s="2" t="str">
        <f>HYPERLINK("https://vectorbase.org/vectorbase/app/record/gene/AGAP004523","AGAP004523-RA")</f>
        <v>AGAP004523-RA</v>
      </c>
      <c r="DI286" s="2" t="s">
        <v>115</v>
      </c>
      <c r="DJ286" s="2">
        <v>3532</v>
      </c>
      <c r="DK286" s="2" t="str">
        <f>HYPERLINK(".\links\netoglyc\AGAP004523-PA-netoglyc.txt","0")</f>
        <v>0</v>
      </c>
      <c r="DL286" s="2">
        <v>13.7</v>
      </c>
      <c r="DM286" s="2">
        <v>3.8</v>
      </c>
      <c r="DN286" s="2">
        <v>3.1</v>
      </c>
      <c r="DO286" s="2" t="s">
        <v>104</v>
      </c>
      <c r="DP286" s="2" t="s">
        <v>102</v>
      </c>
      <c r="DQ286" s="2" t="str">
        <f>HYPERLINK(".\links\Sigp\AGAP004523-PA-SigP.txt","CYT")</f>
        <v>CYT</v>
      </c>
      <c r="DR286" s="2" t="s">
        <v>102</v>
      </c>
      <c r="DS286" s="2">
        <v>121.53</v>
      </c>
      <c r="DT286" s="2">
        <v>5.7</v>
      </c>
      <c r="DU286" s="2" t="s">
        <v>102</v>
      </c>
      <c r="DV286" s="2" t="s">
        <v>102</v>
      </c>
      <c r="DW286" s="2" t="s">
        <v>211</v>
      </c>
      <c r="DX286" s="2">
        <v>1074</v>
      </c>
      <c r="DY286" s="12">
        <v>0</v>
      </c>
      <c r="DZ286" s="2" t="s">
        <v>102</v>
      </c>
      <c r="EA286" s="2" t="s">
        <v>102</v>
      </c>
      <c r="EB286" s="2" t="s">
        <v>102</v>
      </c>
      <c r="EC286" s="2" t="str">
        <f>HYPERLINK(".\links\gpi\AGAP004523-PA-gpi.txt","Y-NoSP")</f>
        <v>Y-NoSP</v>
      </c>
      <c r="ED286" s="2">
        <v>0.18</v>
      </c>
      <c r="EF286" s="2">
        <v>28</v>
      </c>
      <c r="EG286" s="2" t="str">
        <f>HYPERLINK(".\links\pep\AGAP004523-PA-sulf.txt","1")</f>
        <v>1</v>
      </c>
      <c r="EH286" s="2" t="s">
        <v>102</v>
      </c>
      <c r="EI286" s="2">
        <v>13.687150837988799</v>
      </c>
      <c r="EJ286" s="2">
        <v>3.0726256983240199</v>
      </c>
      <c r="EK286" s="2">
        <v>3.8175046554934799</v>
      </c>
      <c r="EL286" s="2">
        <v>6.8901303538174998</v>
      </c>
      <c r="EM286" s="2" t="s">
        <v>102</v>
      </c>
      <c r="EN286" s="2">
        <v>1</v>
      </c>
      <c r="EO286" s="2">
        <v>1</v>
      </c>
      <c r="EP286" s="2" t="s">
        <v>102</v>
      </c>
      <c r="EQ286" s="2" t="s">
        <v>102</v>
      </c>
      <c r="ER286" s="2" t="s">
        <v>102</v>
      </c>
      <c r="ES286" s="2" t="s">
        <v>102</v>
      </c>
      <c r="ET286" s="2" t="str">
        <f>HYPERLINK(".\links\REFSEQ-INVERTEBRATE\AGAP004523-PA-REFSEQ-INVERTEBRATE.txt","AGAP004523-PA")</f>
        <v>AGAP004523-PA</v>
      </c>
      <c r="EU286" s="2" t="str">
        <f>HYPERLINK("http://www.ncbi.nlm.nih.gov/sutils/blink.cgi?pid=XP_313823.5","0.0")</f>
        <v>0.0</v>
      </c>
      <c r="EV286" s="2" t="str">
        <f>HYPERLINK("http://www.ncbi.nlm.nih.gov/protein/XP_313823.5","XP_313823.5")</f>
        <v>XP_313823.5</v>
      </c>
      <c r="EW286" s="2">
        <v>100</v>
      </c>
      <c r="EX286" s="2">
        <v>100</v>
      </c>
      <c r="EY286" s="2">
        <v>100</v>
      </c>
      <c r="EZ286" s="2" t="s">
        <v>105</v>
      </c>
    </row>
    <row r="287" spans="1:156" x14ac:dyDescent="0.25">
      <c r="A287" s="2" t="s">
        <v>3142</v>
      </c>
      <c r="B287" s="2">
        <v>0.263661357453496</v>
      </c>
      <c r="C287" s="2">
        <f t="shared" si="4"/>
        <v>1.2005215970239878</v>
      </c>
      <c r="D287" s="2">
        <v>6.5052439373229403</v>
      </c>
      <c r="E287" s="2">
        <v>12.9047282256873</v>
      </c>
      <c r="F287" s="2">
        <v>3.2775312075182799E-4</v>
      </c>
      <c r="G287" s="2">
        <v>2.0489487201023299E-2</v>
      </c>
      <c r="H287" s="2" t="s">
        <v>3143</v>
      </c>
      <c r="I287" s="2" t="s">
        <v>94</v>
      </c>
      <c r="J287" s="2" t="str">
        <f>HYPERLINK("https://vectorbase.org/vectorbase/app/record/gene/AGAP004833","AGAP004833-RA")</f>
        <v>AGAP004833-RA</v>
      </c>
      <c r="K287" s="2" t="str">
        <f>HYPERLINK(".\links\pep\AGAP004833-PA-pep.txt","AGAP004833-PA")</f>
        <v>AGAP004833-PA</v>
      </c>
      <c r="L287" s="12" t="s">
        <v>95</v>
      </c>
      <c r="M287" s="2">
        <v>999</v>
      </c>
      <c r="N287" s="2">
        <v>0</v>
      </c>
      <c r="O287" s="2">
        <v>3</v>
      </c>
      <c r="P287" s="2" t="s">
        <v>3144</v>
      </c>
      <c r="Q287" s="9" t="s">
        <v>3145</v>
      </c>
      <c r="R287" s="2" t="s">
        <v>355</v>
      </c>
      <c r="S287" s="2" t="str">
        <f>HYPERLINK(".\links\CDD\AGAP004833-PA-CDD.txt","CDD")</f>
        <v>CDD</v>
      </c>
      <c r="T287" s="2">
        <v>0</v>
      </c>
      <c r="U287" s="2">
        <v>100</v>
      </c>
      <c r="V287" s="2" t="s">
        <v>3146</v>
      </c>
      <c r="W287" s="10" t="s">
        <v>3147</v>
      </c>
      <c r="X287" s="2" t="s">
        <v>355</v>
      </c>
      <c r="Y287" s="2" t="str">
        <f>HYPERLINK(".\links\REFSEQ-PROTOZOA\AGAP004833-PA-REFSEQ-PROTOZOA.txt","REFSEQ-PROTOZOA")</f>
        <v>REFSEQ-PROTOZOA</v>
      </c>
      <c r="Z287" s="2">
        <v>0</v>
      </c>
      <c r="AA287" s="2">
        <v>38</v>
      </c>
      <c r="AB287" s="13" t="str">
        <f>HYPERLINK(".\links\pep\AGAP004833-PA-sulf.txt","1")</f>
        <v>1</v>
      </c>
      <c r="AC287" s="13" t="str">
        <f>HYPERLINK(".\links\Sigp\AGAP004833-PA-SigP.txt","CYT")</f>
        <v>CYT</v>
      </c>
      <c r="AD287" s="2" t="s">
        <v>102</v>
      </c>
      <c r="AE287" s="2">
        <v>115.929</v>
      </c>
      <c r="AF287" s="2">
        <v>9.01</v>
      </c>
      <c r="AG287" s="2" t="s">
        <v>102</v>
      </c>
      <c r="AH287" s="2" t="s">
        <v>102</v>
      </c>
      <c r="AI287" s="2" t="s">
        <v>611</v>
      </c>
      <c r="AJ287" s="13">
        <v>0</v>
      </c>
      <c r="AK287" s="2" t="s">
        <v>102</v>
      </c>
      <c r="AL287" s="2" t="s">
        <v>102</v>
      </c>
      <c r="AM287" s="2" t="s">
        <v>102</v>
      </c>
      <c r="AN287" s="13" t="str">
        <f>HYPERLINK(".\links\gpi\AGAP004833-PA-gpi.txt","N")</f>
        <v>N</v>
      </c>
      <c r="AO287" s="14" t="str">
        <f>HYPERLINK(".\links\netoglyc\AGAP004833-PA-netoglyc.txt","0")</f>
        <v>0</v>
      </c>
      <c r="AP287" s="13">
        <v>11</v>
      </c>
      <c r="AQ287" s="2">
        <v>5</v>
      </c>
      <c r="AR287" s="2">
        <v>3.8</v>
      </c>
      <c r="AS287" s="2" t="s">
        <v>104</v>
      </c>
      <c r="AT287" s="9" t="str">
        <f>HYPERLINK(".\links\NR-LIGHT\AGAP004833-PA-NR-LIGHT.txt","AGAP004833-PA")</f>
        <v>AGAP004833-PA</v>
      </c>
      <c r="AU287" s="2" t="str">
        <f>HYPERLINK("http://www.ncbi.nlm.nih.gov/sutils/blink.cgi?pid=XP_314361.4","0.0")</f>
        <v>0.0</v>
      </c>
      <c r="AV287" s="2" t="str">
        <f>HYPERLINK("http://www.ncbi.nlm.nih.gov/protein/XP_314361.4","XP_314361.4")</f>
        <v>XP_314361.4</v>
      </c>
      <c r="AW287" s="2">
        <v>95</v>
      </c>
      <c r="AX287" s="2">
        <v>95</v>
      </c>
      <c r="AY287" s="2">
        <v>105</v>
      </c>
      <c r="AZ287" s="2" t="s">
        <v>105</v>
      </c>
      <c r="BA287" s="9" t="str">
        <f>HYPERLINK(".\links\REFSEQ-INVERTEBRATE\AGAP004833-PA-REFSEQ-INVERTEBRATE.txt","AGAP004833-PA")</f>
        <v>AGAP004833-PA</v>
      </c>
      <c r="BB287" s="2" t="str">
        <f>HYPERLINK("http://www.ncbi.nlm.nih.gov/sutils/blink.cgi?pid=XP_314361.4","0.0")</f>
        <v>0.0</v>
      </c>
      <c r="BC287" s="2" t="str">
        <f>HYPERLINK("http://www.ncbi.nlm.nih.gov/protein/XP_314361.4","XP_314361.4")</f>
        <v>XP_314361.4</v>
      </c>
      <c r="BD287" s="2">
        <v>95</v>
      </c>
      <c r="BE287" s="2">
        <v>95</v>
      </c>
      <c r="BF287" s="2">
        <v>105</v>
      </c>
      <c r="BG287" s="2" t="s">
        <v>105</v>
      </c>
      <c r="BH287" s="9" t="str">
        <f>HYPERLINK(".\links\REFSEQ-PROTOZOA\AGAP004833-PA-REFSEQ-PROTOZOA.txt","hypothetical protein DDB_G0279703")</f>
        <v>hypothetical protein DDB_G0279703</v>
      </c>
      <c r="BI287" s="2" t="str">
        <f>HYPERLINK("http://www.ncbi.nlm.nih.gov/sutils/blink.cgi?pid=XP_641608.1","1E-125")</f>
        <v>1E-125</v>
      </c>
      <c r="BJ287" s="2" t="str">
        <f>HYPERLINK("http://www.ncbi.nlm.nih.gov/protein/XP_641608.1","XP_641608.1")</f>
        <v>XP_641608.1</v>
      </c>
      <c r="BK287" s="2">
        <v>36</v>
      </c>
      <c r="BL287" s="2">
        <v>53</v>
      </c>
      <c r="BM287" s="2">
        <v>101</v>
      </c>
      <c r="BN287" s="2" t="s">
        <v>612</v>
      </c>
      <c r="BO287" s="9" t="str">
        <f>HYPERLINK(".\links\SWISSP\AGAP004833-PA-SWISSP.txt","Serine/threonine-protein kinase PRP4 homolog")</f>
        <v>Serine/threonine-protein kinase PRP4 homolog</v>
      </c>
      <c r="BP287" s="2" t="str">
        <f>HYPERLINK("http://www.uniprot.org/uniprot/Q13523","0.0")</f>
        <v>0.0</v>
      </c>
      <c r="BQ287" s="2" t="str">
        <f>HYPERLINK("http://www.uniprot.org/uniprot/Q13523#expression","Q13523")</f>
        <v>Q13523</v>
      </c>
      <c r="BR287" s="2">
        <v>42</v>
      </c>
      <c r="BS287" s="2">
        <v>55</v>
      </c>
      <c r="BT287" s="2">
        <v>105</v>
      </c>
      <c r="BU287" s="2" t="s">
        <v>127</v>
      </c>
      <c r="BV287" s="9" t="str">
        <f>HYPERLINK(".\links\FLYBASE\AGAP004833-PA-FLYBASE.txt","FBpp0311157")</f>
        <v>FBpp0311157</v>
      </c>
      <c r="BW287" s="2" t="str">
        <f>HYPERLINK("http://flybase.org/reports/FBgn0027587#alliance_summary_container","0.0")</f>
        <v>0.0</v>
      </c>
      <c r="BX287" s="2">
        <v>907</v>
      </c>
      <c r="BY287" s="2">
        <v>67</v>
      </c>
      <c r="BZ287" s="2">
        <v>76</v>
      </c>
      <c r="CA287" s="2">
        <v>65</v>
      </c>
      <c r="CB287" s="9" t="str">
        <f>HYPERLINK(".\links\CDD\AGAP004833-PA-CDD.txt","STKc_PRP4, Catalytic domain of the Serine/Threonine Kinase, Pre-mRNA-Processing factor 4")</f>
        <v>STKc_PRP4, Catalytic domain of the Serine/Threonine Kinase, Pre-mRNA-Processing factor 4</v>
      </c>
      <c r="CC287" s="15">
        <v>9.9999999999999995E-178</v>
      </c>
      <c r="CD287" s="2">
        <v>100</v>
      </c>
      <c r="CE287" s="2" t="s">
        <v>3148</v>
      </c>
      <c r="CF287" s="2" t="s">
        <v>3149</v>
      </c>
      <c r="CG287" s="9" t="str">
        <f>HYPERLINK(".\links\KOG\AGAP004833-PA-KOG.txt","U4/U6-associated splicing factor PRP4")</f>
        <v>U4/U6-associated splicing factor PRP4</v>
      </c>
      <c r="CH287" s="15">
        <v>1E-179</v>
      </c>
      <c r="CI287" s="2">
        <v>110.9</v>
      </c>
      <c r="CJ287" s="2" t="s">
        <v>3150</v>
      </c>
      <c r="CK287" s="2" t="s">
        <v>722</v>
      </c>
      <c r="CL287" s="9" t="str">
        <f>HYPERLINK(".\links\PFAM\AGAP004833-PA-PFAM.txt","Pkinase, Protein kinase domain")</f>
        <v>Pkinase, Protein kinase domain</v>
      </c>
      <c r="CM287" s="15">
        <v>3.9999999999999998E-44</v>
      </c>
      <c r="CN287" s="2">
        <v>124.9</v>
      </c>
      <c r="CO287" s="2" t="s">
        <v>1574</v>
      </c>
      <c r="CP287" s="9" t="str">
        <f>HYPERLINK(".\links\SMART\AGAP004833-PA-SMART.txt","S_TKc, Serine/Threonine protein kinases, catalytic domain")</f>
        <v>S_TKc, Serine/Threonine protein kinases, catalytic domain</v>
      </c>
      <c r="CQ287" s="15">
        <v>3.0000000000000001E-58</v>
      </c>
      <c r="CR287" s="2">
        <v>123.6</v>
      </c>
      <c r="CS287" s="2" t="s">
        <v>1575</v>
      </c>
      <c r="CT287" s="2" t="s">
        <v>3146</v>
      </c>
      <c r="CU287" s="2" t="s">
        <v>3146</v>
      </c>
      <c r="CV287" s="2" t="s">
        <v>3146</v>
      </c>
      <c r="CW287" s="2" t="str">
        <f>HYPERLINK(".\links\pep\AGAP004833-PA-pep.txt","AGAP004833-PA")</f>
        <v>AGAP004833-PA</v>
      </c>
      <c r="CX287" s="2" t="s">
        <v>95</v>
      </c>
      <c r="CY287" s="2">
        <v>999</v>
      </c>
      <c r="CZ287" s="2" t="s">
        <v>113</v>
      </c>
      <c r="DA287" s="2" t="s">
        <v>3151</v>
      </c>
      <c r="DB287" s="2">
        <v>0</v>
      </c>
      <c r="DC287" s="2">
        <v>3</v>
      </c>
      <c r="DD287" s="2" t="str">
        <f>HYPERLINK("https://www.kegg.jp/kegg-bin/search_pathway_text?map=aga&amp;keyword=AGAP004833&amp;mode=1&amp;viewImage=true","AGAP004833")</f>
        <v>AGAP004833</v>
      </c>
      <c r="DE287" s="2" t="s">
        <v>3142</v>
      </c>
      <c r="DF287" s="2" t="s">
        <v>3143</v>
      </c>
      <c r="DG287" s="2" t="s">
        <v>94</v>
      </c>
      <c r="DH287" s="2" t="str">
        <f>HYPERLINK("https://vectorbase.org/vectorbase/app/record/gene/AGAP004833","AGAP004833-RA")</f>
        <v>AGAP004833-RA</v>
      </c>
      <c r="DI287" s="2" t="s">
        <v>135</v>
      </c>
      <c r="DJ287" s="2">
        <v>4129</v>
      </c>
      <c r="DK287" s="2" t="str">
        <f>HYPERLINK(".\links\netoglyc\AGAP004833-PA-netoglyc.txt","0")</f>
        <v>0</v>
      </c>
      <c r="DL287" s="2">
        <v>11</v>
      </c>
      <c r="DM287" s="2">
        <v>5</v>
      </c>
      <c r="DN287" s="2">
        <v>3.8</v>
      </c>
      <c r="DO287" s="2" t="s">
        <v>104</v>
      </c>
      <c r="DP287" s="2" t="s">
        <v>3152</v>
      </c>
      <c r="DQ287" s="2" t="str">
        <f>HYPERLINK(".\links\Sigp\AGAP004833-PA-SigP.txt","CYT")</f>
        <v>CYT</v>
      </c>
      <c r="DR287" s="2" t="s">
        <v>102</v>
      </c>
      <c r="DS287" s="2">
        <v>115.929</v>
      </c>
      <c r="DT287" s="2">
        <v>9.01</v>
      </c>
      <c r="DU287" s="2" t="s">
        <v>102</v>
      </c>
      <c r="DV287" s="2" t="s">
        <v>102</v>
      </c>
      <c r="DW287" s="2" t="s">
        <v>611</v>
      </c>
      <c r="DX287" s="2">
        <v>999</v>
      </c>
      <c r="DY287" s="12">
        <v>0</v>
      </c>
      <c r="DZ287" s="2" t="s">
        <v>102</v>
      </c>
      <c r="EA287" s="2" t="s">
        <v>102</v>
      </c>
      <c r="EB287" s="2" t="s">
        <v>102</v>
      </c>
      <c r="EC287" s="2" t="str">
        <f>HYPERLINK(".\links\gpi\AGAP004833-PA-gpi.txt","N")</f>
        <v>N</v>
      </c>
      <c r="ED287" s="2">
        <v>0.36</v>
      </c>
      <c r="EF287" s="2">
        <v>7</v>
      </c>
      <c r="EG287" s="2" t="str">
        <f>HYPERLINK(".\links\pep\AGAP004833-PA-sulf.txt","1")</f>
        <v>1</v>
      </c>
      <c r="EH287" s="2" t="s">
        <v>102</v>
      </c>
      <c r="EI287" s="2">
        <v>11.011011011011</v>
      </c>
      <c r="EJ287" s="2">
        <v>3.8038038038037998</v>
      </c>
      <c r="EK287" s="2">
        <v>5.0050050050050103</v>
      </c>
      <c r="EL287" s="2">
        <v>8.8088088088088092</v>
      </c>
      <c r="EM287" s="2" t="s">
        <v>102</v>
      </c>
      <c r="EN287" s="2">
        <v>5</v>
      </c>
      <c r="EO287" s="2">
        <v>5</v>
      </c>
      <c r="EP287" s="2" t="s">
        <v>102</v>
      </c>
      <c r="EQ287" s="2" t="s">
        <v>102</v>
      </c>
      <c r="ER287" s="2" t="s">
        <v>102</v>
      </c>
      <c r="ES287" s="2" t="s">
        <v>102</v>
      </c>
      <c r="ET287" s="2" t="str">
        <f>HYPERLINK(".\links\REFSEQ-INVERTEBRATE\AGAP004833-PA-REFSEQ-INVERTEBRATE.txt","AGAP004833-PA")</f>
        <v>AGAP004833-PA</v>
      </c>
      <c r="EU287" s="2" t="str">
        <f>HYPERLINK("http://www.ncbi.nlm.nih.gov/sutils/blink.cgi?pid=XP_314361.4","0.0")</f>
        <v>0.0</v>
      </c>
      <c r="EV287" s="2" t="str">
        <f>HYPERLINK("http://www.ncbi.nlm.nih.gov/protein/XP_314361.4","XP_314361.4")</f>
        <v>XP_314361.4</v>
      </c>
      <c r="EW287" s="2">
        <v>95</v>
      </c>
      <c r="EX287" s="2">
        <v>95</v>
      </c>
      <c r="EY287" s="2">
        <v>105</v>
      </c>
      <c r="EZ287" s="2" t="s">
        <v>105</v>
      </c>
    </row>
    <row r="288" spans="1:156" x14ac:dyDescent="0.25">
      <c r="A288" s="2" t="s">
        <v>3153</v>
      </c>
      <c r="B288" s="2">
        <v>0.263614336150583</v>
      </c>
      <c r="C288" s="2">
        <f t="shared" si="4"/>
        <v>1.2004824694411325</v>
      </c>
      <c r="D288" s="2">
        <v>6.4666312009807001</v>
      </c>
      <c r="E288" s="2">
        <v>11.087922700616</v>
      </c>
      <c r="F288" s="2">
        <v>8.6891765057952805E-4</v>
      </c>
      <c r="G288" s="2">
        <v>3.0356607143661E-2</v>
      </c>
      <c r="H288" s="2" t="s">
        <v>93</v>
      </c>
      <c r="I288" s="2" t="s">
        <v>94</v>
      </c>
      <c r="J288" s="2" t="str">
        <f>HYPERLINK("https://vectorbase.org/vectorbase/app/record/gene/AGAP004651","AGAP004651-RA")</f>
        <v>AGAP004651-RA</v>
      </c>
      <c r="K288" s="2" t="str">
        <f>HYPERLINK(".\links\pep\AGAP004651-PA-pep.txt","AGAP004651-PA")</f>
        <v>AGAP004651-PA</v>
      </c>
      <c r="L288" s="12" t="s">
        <v>95</v>
      </c>
      <c r="M288" s="2">
        <v>879</v>
      </c>
      <c r="N288" s="2">
        <v>0</v>
      </c>
      <c r="O288" s="2">
        <v>0</v>
      </c>
      <c r="P288" s="2" t="s">
        <v>102</v>
      </c>
      <c r="Q288" s="9" t="s">
        <v>738</v>
      </c>
      <c r="R288" s="2" t="s">
        <v>420</v>
      </c>
      <c r="S288" s="2" t="str">
        <f>HYPERLINK(".\links\KOG\AGAP004651-PA-KOG.txt","KOG")</f>
        <v>KOG</v>
      </c>
      <c r="T288" s="2">
        <v>7.9999999999999998E-28</v>
      </c>
      <c r="U288" s="2">
        <v>49.4</v>
      </c>
      <c r="V288" s="2" t="s">
        <v>3154</v>
      </c>
      <c r="W288" s="10" t="s">
        <v>740</v>
      </c>
      <c r="X288" s="2" t="s">
        <v>420</v>
      </c>
      <c r="Y288" s="2" t="str">
        <f>HYPERLINK(".\links\UNIPROTKB\AGAP004651-PA-UNIPROTKB.txt","UNIPROTKB")</f>
        <v>UNIPROTKB</v>
      </c>
      <c r="Z288" s="15">
        <v>3.9999999999999996E-96</v>
      </c>
      <c r="AA288" s="2">
        <v>49.8</v>
      </c>
      <c r="AB288" s="13" t="str">
        <f>HYPERLINK(".\links\pep\AGAP004651-PA-sulf.txt","3")</f>
        <v>3</v>
      </c>
      <c r="AC288" s="13" t="str">
        <f>HYPERLINK(".\links\Sigp\AGAP004651-PA-SigP.txt","CYT")</f>
        <v>CYT</v>
      </c>
      <c r="AD288" s="2" t="s">
        <v>102</v>
      </c>
      <c r="AE288" s="2">
        <v>100.197</v>
      </c>
      <c r="AF288" s="2">
        <v>5.54</v>
      </c>
      <c r="AG288" s="2" t="s">
        <v>102</v>
      </c>
      <c r="AH288" s="2" t="s">
        <v>102</v>
      </c>
      <c r="AI288" s="2" t="s">
        <v>211</v>
      </c>
      <c r="AJ288" s="13">
        <v>0</v>
      </c>
      <c r="AK288" s="2" t="s">
        <v>102</v>
      </c>
      <c r="AL288" s="2" t="s">
        <v>102</v>
      </c>
      <c r="AM288" s="2" t="s">
        <v>102</v>
      </c>
      <c r="AN288" s="13" t="str">
        <f>HYPERLINK(".\links\gpi\AGAP004651-PA-gpi.txt","N")</f>
        <v>N</v>
      </c>
      <c r="AO288" s="14" t="str">
        <f>HYPERLINK(".\links\netoglyc\AGAP004651-PA-netoglyc.txt","2")</f>
        <v>2</v>
      </c>
      <c r="AP288" s="13">
        <v>15.8</v>
      </c>
      <c r="AQ288" s="2">
        <v>4.2</v>
      </c>
      <c r="AR288" s="2">
        <v>4.7</v>
      </c>
      <c r="AS288" s="2" t="s">
        <v>104</v>
      </c>
      <c r="AT288" s="9" t="str">
        <f>HYPERLINK(".\links\NR-LIGHT\AGAP004651-PA-NR-LIGHT.txt","AGAP004651-PA")</f>
        <v>AGAP004651-PA</v>
      </c>
      <c r="AU288" s="2" t="str">
        <f>HYPERLINK("http://www.ncbi.nlm.nih.gov/sutils/blink.cgi?pid=XP_555937.2","0.0")</f>
        <v>0.0</v>
      </c>
      <c r="AV288" s="2" t="str">
        <f>HYPERLINK("http://www.ncbi.nlm.nih.gov/protein/XP_555937.2","XP_555937.2")</f>
        <v>XP_555937.2</v>
      </c>
      <c r="AW288" s="2">
        <v>96</v>
      </c>
      <c r="AX288" s="2">
        <v>96</v>
      </c>
      <c r="AY288" s="2">
        <v>104</v>
      </c>
      <c r="AZ288" s="2" t="s">
        <v>105</v>
      </c>
      <c r="BA288" s="9" t="str">
        <f>HYPERLINK(".\links\REFSEQ-INVERTEBRATE\AGAP004651-PA-REFSEQ-INVERTEBRATE.txt","AGAP004651-PA")</f>
        <v>AGAP004651-PA</v>
      </c>
      <c r="BB288" s="2" t="str">
        <f>HYPERLINK("http://www.ncbi.nlm.nih.gov/sutils/blink.cgi?pid=XP_555937.2","0.0")</f>
        <v>0.0</v>
      </c>
      <c r="BC288" s="2" t="str">
        <f>HYPERLINK("http://www.ncbi.nlm.nih.gov/protein/XP_555937.2","XP_555937.2")</f>
        <v>XP_555937.2</v>
      </c>
      <c r="BD288" s="2">
        <v>96</v>
      </c>
      <c r="BE288" s="2">
        <v>96</v>
      </c>
      <c r="BF288" s="2">
        <v>104</v>
      </c>
      <c r="BG288" s="2" t="s">
        <v>105</v>
      </c>
      <c r="BH288" s="9" t="str">
        <f>HYPERLINK(".\links\REFSEQ-PROTOZOA\AGAP004651-PA-REFSEQ-PROTOZOA.txt","zinc finger protein")</f>
        <v>zinc finger protein</v>
      </c>
      <c r="BI288" s="2" t="str">
        <f>HYPERLINK("http://www.ncbi.nlm.nih.gov/sutils/blink.cgi?pid=XP_004989424.1","2E-062")</f>
        <v>2E-062</v>
      </c>
      <c r="BJ288" s="2" t="str">
        <f>HYPERLINK("http://www.ncbi.nlm.nih.gov/protein/XP_004989424.1","XP_004989424.1")</f>
        <v>XP_004989424.1</v>
      </c>
      <c r="BK288" s="2">
        <v>32</v>
      </c>
      <c r="BL288" s="2">
        <v>47</v>
      </c>
      <c r="BM288" s="2">
        <v>81</v>
      </c>
      <c r="BN288" s="2" t="s">
        <v>435</v>
      </c>
      <c r="BO288" s="9" t="str">
        <f>HYPERLINK(".\links\SWISSP\AGAP004651-PA-SWISSP.txt","Zinc finger protein 271")</f>
        <v>Zinc finger protein 271</v>
      </c>
      <c r="BP288" s="2" t="str">
        <f>HYPERLINK("http://www.uniprot.org/uniprot/Q5R5U3","1E-095")</f>
        <v>1E-095</v>
      </c>
      <c r="BQ288" s="2" t="str">
        <f>HYPERLINK("http://www.uniprot.org/uniprot/Q5R5U3#expression","Q5R5U3")</f>
        <v>Q5R5U3</v>
      </c>
      <c r="BR288" s="2">
        <v>37</v>
      </c>
      <c r="BS288" s="2">
        <v>55</v>
      </c>
      <c r="BT288" s="2">
        <v>73</v>
      </c>
      <c r="BU288" s="2" t="s">
        <v>363</v>
      </c>
      <c r="BV288" s="9" t="str">
        <f>HYPERLINK(".\links\FLYBASE\AGAP004651-PA-FLYBASE.txt","FBpp0075533")</f>
        <v>FBpp0075533</v>
      </c>
      <c r="BW288" s="2" t="str">
        <f>HYPERLINK("http://flybase.org/reports/FBgn0025874#alliance_summary_container","1E-63")</f>
        <v>1E-63</v>
      </c>
      <c r="BX288" s="2">
        <v>583</v>
      </c>
      <c r="BY288" s="2">
        <v>33</v>
      </c>
      <c r="BZ288" s="2">
        <v>57</v>
      </c>
      <c r="CA288" s="2">
        <v>54</v>
      </c>
      <c r="CB288" s="9" t="str">
        <f>HYPERLINK(".\links\CDD\AGAP004651-PA-CDD.txt","ZF_C2H2, Zinc finger, C2H2 type")</f>
        <v>ZF_C2H2, Zinc finger, C2H2 type</v>
      </c>
      <c r="CC288" s="15">
        <v>4.9999999999999996E-25</v>
      </c>
      <c r="CD288" s="2">
        <v>100</v>
      </c>
      <c r="CE288" s="2" t="s">
        <v>569</v>
      </c>
      <c r="CF288" s="2" t="s">
        <v>3155</v>
      </c>
      <c r="CG288" s="9" t="str">
        <f>HYPERLINK(".\links\KOG\AGAP004651-PA-KOG.txt","C2H2-type Zn-finger protein")</f>
        <v>C2H2-type Zn-finger protein</v>
      </c>
      <c r="CH288" s="15">
        <v>7.9999999999999998E-28</v>
      </c>
      <c r="CI288" s="2">
        <v>49.5</v>
      </c>
      <c r="CJ288" s="2" t="s">
        <v>743</v>
      </c>
      <c r="CK288" s="2" t="s">
        <v>309</v>
      </c>
      <c r="CL288" s="9" t="str">
        <f>HYPERLINK(".\links\PFAM\AGAP004651-PA-PFAM.txt","DUF2457, Protein of unknown function (DUF2457)")</f>
        <v>DUF2457, Protein of unknown function (DUF2457)</v>
      </c>
      <c r="CM288" s="15">
        <v>3.0000000000000001E-5</v>
      </c>
      <c r="CN288" s="2">
        <v>8.1</v>
      </c>
      <c r="CO288" s="2" t="s">
        <v>3156</v>
      </c>
      <c r="CP288" s="9" t="str">
        <f>HYPERLINK(".\links\SMART\AGAP004651-PA-SMART.txt","ZnF_C2H2, zinc finger")</f>
        <v>ZnF_C2H2, zinc finger</v>
      </c>
      <c r="CQ288" s="15">
        <v>0.01</v>
      </c>
      <c r="CR288" s="2">
        <v>100</v>
      </c>
      <c r="CS288" s="2" t="s">
        <v>573</v>
      </c>
      <c r="CT288" s="2" t="s">
        <v>3154</v>
      </c>
      <c r="CU288" s="2" t="s">
        <v>3154</v>
      </c>
      <c r="CV288" s="2" t="s">
        <v>3154</v>
      </c>
      <c r="CW288" s="2" t="str">
        <f>HYPERLINK(".\links\pep\AGAP004651-PA-pep.txt","AGAP004651-PA")</f>
        <v>AGAP004651-PA</v>
      </c>
      <c r="CX288" s="2" t="s">
        <v>95</v>
      </c>
      <c r="CY288" s="2">
        <v>879</v>
      </c>
      <c r="CZ288" s="2" t="s">
        <v>113</v>
      </c>
      <c r="DA288" s="2" t="s">
        <v>3157</v>
      </c>
      <c r="DB288" s="2">
        <v>0</v>
      </c>
      <c r="DC288" s="2">
        <v>0</v>
      </c>
      <c r="DD288" s="2" t="str">
        <f>HYPERLINK("https://www.kegg.jp/kegg-bin/search_pathway_text?map=aga&amp;keyword=AGAP004651&amp;mode=1&amp;viewImage=true","AGAP004651")</f>
        <v>AGAP004651</v>
      </c>
      <c r="DE288" s="2" t="s">
        <v>3153</v>
      </c>
      <c r="DF288" s="2" t="s">
        <v>93</v>
      </c>
      <c r="DG288" s="2" t="s">
        <v>94</v>
      </c>
      <c r="DH288" s="2" t="str">
        <f>HYPERLINK("https://vectorbase.org/vectorbase/app/record/gene/AGAP004651","AGAP004651-RA")</f>
        <v>AGAP004651-RA</v>
      </c>
      <c r="DI288" s="2" t="s">
        <v>115</v>
      </c>
      <c r="DJ288" s="2">
        <v>3281</v>
      </c>
      <c r="DK288" s="2" t="str">
        <f>HYPERLINK(".\links\netoglyc\AGAP004651-PA-netoglyc.txt","2")</f>
        <v>2</v>
      </c>
      <c r="DL288" s="2">
        <v>15.8</v>
      </c>
      <c r="DM288" s="2">
        <v>4.2</v>
      </c>
      <c r="DN288" s="2">
        <v>4.7</v>
      </c>
      <c r="DO288" s="2" t="s">
        <v>104</v>
      </c>
      <c r="DP288" s="2" t="s">
        <v>102</v>
      </c>
      <c r="DQ288" s="2" t="str">
        <f>HYPERLINK(".\links\Sigp\AGAP004651-PA-SigP.txt","CYT")</f>
        <v>CYT</v>
      </c>
      <c r="DR288" s="2" t="s">
        <v>102</v>
      </c>
      <c r="DS288" s="2">
        <v>100.197</v>
      </c>
      <c r="DT288" s="2">
        <v>5.54</v>
      </c>
      <c r="DU288" s="2" t="s">
        <v>102</v>
      </c>
      <c r="DV288" s="2" t="s">
        <v>102</v>
      </c>
      <c r="DW288" s="2" t="s">
        <v>211</v>
      </c>
      <c r="DX288" s="2">
        <v>879</v>
      </c>
      <c r="DY288" s="12">
        <v>0</v>
      </c>
      <c r="DZ288" s="2" t="s">
        <v>102</v>
      </c>
      <c r="EA288" s="2" t="s">
        <v>102</v>
      </c>
      <c r="EB288" s="2" t="s">
        <v>102</v>
      </c>
      <c r="EC288" s="2" t="str">
        <f>HYPERLINK(".\links\gpi\AGAP004651-PA-gpi.txt","Y-NoSP")</f>
        <v>Y-NoSP</v>
      </c>
      <c r="ED288" s="2">
        <v>0.3</v>
      </c>
      <c r="EF288" s="2">
        <v>38</v>
      </c>
      <c r="EG288" s="2" t="str">
        <f>HYPERLINK(".\links\pep\AGAP004651-PA-sulf.txt","3")</f>
        <v>3</v>
      </c>
      <c r="EH288" s="2" t="s">
        <v>102</v>
      </c>
      <c r="EI288" s="2">
        <v>15.813424345847601</v>
      </c>
      <c r="EJ288" s="2">
        <v>4.6643913538111503</v>
      </c>
      <c r="EK288" s="2">
        <v>4.2093287827076198</v>
      </c>
      <c r="EL288" s="2">
        <v>8.8737201365187701</v>
      </c>
      <c r="EM288" s="2" t="s">
        <v>102</v>
      </c>
      <c r="EN288" s="2" t="s">
        <v>102</v>
      </c>
      <c r="EO288" s="2" t="s">
        <v>102</v>
      </c>
      <c r="EP288" s="2" t="s">
        <v>102</v>
      </c>
      <c r="EQ288" s="2" t="s">
        <v>102</v>
      </c>
      <c r="ER288" s="2" t="s">
        <v>102</v>
      </c>
      <c r="ES288" s="2" t="s">
        <v>102</v>
      </c>
      <c r="ET288" s="2" t="str">
        <f>HYPERLINK(".\links\REFSEQ-INVERTEBRATE\AGAP004651-PA-REFSEQ-INVERTEBRATE.txt","AGAP004651-PA")</f>
        <v>AGAP004651-PA</v>
      </c>
      <c r="EU288" s="2" t="str">
        <f>HYPERLINK("http://www.ncbi.nlm.nih.gov/sutils/blink.cgi?pid=XP_555937.2","0.0")</f>
        <v>0.0</v>
      </c>
      <c r="EV288" s="2" t="str">
        <f>HYPERLINK("http://www.ncbi.nlm.nih.gov/protein/XP_555937.2","XP_555937.2")</f>
        <v>XP_555937.2</v>
      </c>
      <c r="EW288" s="2">
        <v>100</v>
      </c>
      <c r="EX288" s="2">
        <v>100</v>
      </c>
      <c r="EY288" s="2">
        <v>92</v>
      </c>
      <c r="EZ288" s="2" t="s">
        <v>105</v>
      </c>
    </row>
    <row r="289" spans="1:156" x14ac:dyDescent="0.25">
      <c r="A289" s="2" t="s">
        <v>3158</v>
      </c>
      <c r="B289" s="2">
        <v>0.26321487062288201</v>
      </c>
      <c r="C289" s="2">
        <f t="shared" si="4"/>
        <v>1.2001501157803913</v>
      </c>
      <c r="D289" s="2">
        <v>6.8310683773280196</v>
      </c>
      <c r="E289" s="2">
        <v>11.3245901946341</v>
      </c>
      <c r="F289" s="2">
        <v>7.6487405331670697E-4</v>
      </c>
      <c r="G289" s="2">
        <v>2.9655933300736001E-2</v>
      </c>
      <c r="H289" s="2" t="s">
        <v>3159</v>
      </c>
      <c r="I289" s="2" t="s">
        <v>94</v>
      </c>
      <c r="J289" s="2" t="str">
        <f>HYPERLINK("https://vectorbase.org/vectorbase/app/record/gene/AGAP003890","AGAP003890-RA")</f>
        <v>AGAP003890-RA</v>
      </c>
      <c r="K289" s="2" t="str">
        <f>HYPERLINK(".\links\pep\AGAP003890-PA-pep.txt","AGAP003890-PA")</f>
        <v>AGAP003890-PA</v>
      </c>
      <c r="L289" s="12" t="s">
        <v>95</v>
      </c>
      <c r="M289" s="2">
        <v>313</v>
      </c>
      <c r="N289" s="2">
        <v>0</v>
      </c>
      <c r="O289" s="2">
        <v>2</v>
      </c>
      <c r="P289" s="2" t="s">
        <v>3160</v>
      </c>
      <c r="Q289" s="9" t="s">
        <v>3161</v>
      </c>
      <c r="R289" s="2" t="s">
        <v>420</v>
      </c>
      <c r="S289" s="2" t="str">
        <f>HYPERLINK(".\links\KOG\AGAP003890-PA-KOG.txt","KOG")</f>
        <v>KOG</v>
      </c>
      <c r="T289" s="2">
        <v>3E-37</v>
      </c>
      <c r="U289" s="2">
        <v>74</v>
      </c>
      <c r="V289" s="2" t="s">
        <v>3162</v>
      </c>
      <c r="W289" s="10" t="s">
        <v>3163</v>
      </c>
      <c r="X289" s="2" t="s">
        <v>420</v>
      </c>
      <c r="Y289" s="2" t="str">
        <f>HYPERLINK(".\links\REFSEQ-PROTOZOA\AGAP003890-PA-REFSEQ-PROTOZOA.txt","REFSEQ-PROTOZOA")</f>
        <v>REFSEQ-PROTOZOA</v>
      </c>
      <c r="Z289" s="15">
        <v>0</v>
      </c>
      <c r="AA289" s="2">
        <v>104.3</v>
      </c>
      <c r="AB289" s="13" t="s">
        <v>102</v>
      </c>
      <c r="AC289" s="13" t="str">
        <f>HYPERLINK(".\links\Sigp\AGAP003890-PA-SigP.txt","CYT")</f>
        <v>CYT</v>
      </c>
      <c r="AD289" s="2" t="s">
        <v>102</v>
      </c>
      <c r="AE289" s="2">
        <v>36.307000000000002</v>
      </c>
      <c r="AF289" s="2">
        <v>8.8800000000000008</v>
      </c>
      <c r="AG289" s="2" t="s">
        <v>102</v>
      </c>
      <c r="AH289" s="2" t="s">
        <v>102</v>
      </c>
      <c r="AI289" s="2" t="s">
        <v>124</v>
      </c>
      <c r="AJ289" s="13">
        <v>0</v>
      </c>
      <c r="AK289" s="2" t="s">
        <v>102</v>
      </c>
      <c r="AL289" s="2" t="s">
        <v>102</v>
      </c>
      <c r="AM289" s="2" t="s">
        <v>102</v>
      </c>
      <c r="AN289" s="13" t="str">
        <f>HYPERLINK(".\links\gpi\AGAP003890-PA-gpi.txt","N")</f>
        <v>N</v>
      </c>
      <c r="AO289" s="14" t="str">
        <f>HYPERLINK(".\links\netoglyc\AGAP003890-PA-netoglyc.txt","0")</f>
        <v>0</v>
      </c>
      <c r="AP289" s="13">
        <v>9.9</v>
      </c>
      <c r="AQ289" s="2">
        <v>5.4</v>
      </c>
      <c r="AR289" s="2">
        <v>4.5</v>
      </c>
      <c r="AS289" s="2" t="s">
        <v>104</v>
      </c>
      <c r="AT289" s="9" t="str">
        <f>HYPERLINK(".\links\NR-LIGHT\AGAP003890-PA-NR-LIGHT.txt","AGAP003890-PA")</f>
        <v>AGAP003890-PA</v>
      </c>
      <c r="AU289" s="2" t="str">
        <f>HYPERLINK("http://www.ncbi.nlm.nih.gov/sutils/blink.cgi?pid=XP_308117.4","0.0")</f>
        <v>0.0</v>
      </c>
      <c r="AV289" s="2" t="str">
        <f>HYPERLINK("http://www.ncbi.nlm.nih.gov/protein/XP_308117.4","XP_308117.4")</f>
        <v>XP_308117.4</v>
      </c>
      <c r="AW289" s="2">
        <v>100</v>
      </c>
      <c r="AX289" s="2">
        <v>100</v>
      </c>
      <c r="AY289" s="2">
        <v>100</v>
      </c>
      <c r="AZ289" s="2" t="s">
        <v>105</v>
      </c>
      <c r="BA289" s="9" t="str">
        <f>HYPERLINK(".\links\REFSEQ-INVERTEBRATE\AGAP003890-PA-REFSEQ-INVERTEBRATE.txt","AGAP003890-PA")</f>
        <v>AGAP003890-PA</v>
      </c>
      <c r="BB289" s="2" t="str">
        <f>HYPERLINK("http://www.ncbi.nlm.nih.gov/sutils/blink.cgi?pid=XP_308117.4","0.0")</f>
        <v>0.0</v>
      </c>
      <c r="BC289" s="2" t="str">
        <f>HYPERLINK("http://www.ncbi.nlm.nih.gov/protein/XP_308117.4","XP_308117.4")</f>
        <v>XP_308117.4</v>
      </c>
      <c r="BD289" s="2">
        <v>100</v>
      </c>
      <c r="BE289" s="2">
        <v>100</v>
      </c>
      <c r="BF289" s="2">
        <v>100</v>
      </c>
      <c r="BG289" s="2" t="s">
        <v>105</v>
      </c>
      <c r="BH289" s="9" t="str">
        <f>HYPERLINK(".\links\REFSEQ-PROTOZOA\AGAP003890-PA-REFSEQ-PROTOZOA.txt","hypothetical protein")</f>
        <v>hypothetical protein</v>
      </c>
      <c r="BI289" s="2" t="str">
        <f>HYPERLINK("http://www.ncbi.nlm.nih.gov/sutils/blink.cgi?pid=XP_001742105.1","2E-097")</f>
        <v>2E-097</v>
      </c>
      <c r="BJ289" s="2" t="str">
        <f>HYPERLINK("http://www.ncbi.nlm.nih.gov/protein/XP_001742105.1","XP_001742105.1")</f>
        <v>XP_001742105.1</v>
      </c>
      <c r="BK289" s="2">
        <v>57</v>
      </c>
      <c r="BL289" s="2">
        <v>74</v>
      </c>
      <c r="BM289" s="2">
        <v>105</v>
      </c>
      <c r="BN289" s="2" t="s">
        <v>248</v>
      </c>
      <c r="BO289" s="9" t="str">
        <f>HYPERLINK(".\links\SWISSP\AGAP003890-PA-SWISSP.txt","U3 small nucleolar ribonucleoprotein protein IMP4")</f>
        <v>U3 small nucleolar ribonucleoprotein protein IMP4</v>
      </c>
      <c r="BP289" s="2" t="str">
        <f>HYPERLINK("http://www.uniprot.org/uniprot/Q5PQR5","1E-101")</f>
        <v>1E-101</v>
      </c>
      <c r="BQ289" s="2" t="str">
        <f>HYPERLINK("http://www.uniprot.org/uniprot/Q5PQR5#expression","Q5PQR5")</f>
        <v>Q5PQR5</v>
      </c>
      <c r="BR289" s="2">
        <v>59</v>
      </c>
      <c r="BS289" s="2">
        <v>74</v>
      </c>
      <c r="BT289" s="2">
        <v>103</v>
      </c>
      <c r="BU289" s="2" t="s">
        <v>305</v>
      </c>
      <c r="BV289" s="9" t="str">
        <f>HYPERLINK(".\links\FLYBASE\AGAP003890-PA-FLYBASE.txt","FBpp0084144")</f>
        <v>FBpp0084144</v>
      </c>
      <c r="BW289" s="2" t="str">
        <f>HYPERLINK("http://flybase.org/reports/FBgn0039274#alliance_summary_container","1E-137")</f>
        <v>1E-137</v>
      </c>
      <c r="BX289" s="2">
        <v>298</v>
      </c>
      <c r="BY289" s="2">
        <v>60</v>
      </c>
      <c r="BZ289" s="2">
        <v>75</v>
      </c>
      <c r="CA289" s="2">
        <v>103</v>
      </c>
      <c r="CB289" s="9" t="str">
        <f>HYPERLINK(".\links\CDD\AGAP003890-PA-CDD.txt","Brix, The Brix domain is found in a number of eukaryotic proteins")</f>
        <v>Brix, The Brix domain is found in a number of eukaryotic proteins</v>
      </c>
      <c r="CC289" s="15">
        <v>5.0000000000000001E-47</v>
      </c>
      <c r="CD289" s="2">
        <v>100</v>
      </c>
      <c r="CE289" s="2" t="s">
        <v>2014</v>
      </c>
      <c r="CF289" s="2" t="s">
        <v>3164</v>
      </c>
      <c r="CG289" s="9" t="str">
        <f>HYPERLINK(".\links\KOG\AGAP003890-PA-KOG.txt","U3 small nucleolar ribonucleoprotein (snoRNP) component")</f>
        <v>U3 small nucleolar ribonucleoprotein (snoRNP) component</v>
      </c>
      <c r="CH289" s="15">
        <v>1.0000000000000001E-123</v>
      </c>
      <c r="CI289" s="2">
        <v>104.5</v>
      </c>
      <c r="CJ289" s="2" t="s">
        <v>3165</v>
      </c>
      <c r="CK289" s="2" t="s">
        <v>722</v>
      </c>
      <c r="CL289" s="9" t="str">
        <f>HYPERLINK(".\links\PFAM\AGAP003890-PA-PFAM.txt","Brix, Brix domain")</f>
        <v>Brix, Brix domain</v>
      </c>
      <c r="CM289" s="15">
        <v>7.9999999999999998E-28</v>
      </c>
      <c r="CN289" s="2">
        <v>105.7</v>
      </c>
      <c r="CO289" s="2" t="s">
        <v>2017</v>
      </c>
      <c r="CP289" s="9" t="str">
        <f>HYPERLINK(".\links\SMART\AGAP003890-PA-SMART.txt","Brix, The Brix domain is found in a number of eukaryotic proteins")</f>
        <v>Brix, The Brix domain is found in a number of eukaryotic proteins</v>
      </c>
      <c r="CQ289" s="15">
        <v>4.9999999999999999E-49</v>
      </c>
      <c r="CR289" s="2">
        <v>100</v>
      </c>
      <c r="CS289" s="2" t="s">
        <v>2014</v>
      </c>
      <c r="CT289" s="2" t="s">
        <v>3162</v>
      </c>
      <c r="CU289" s="2" t="s">
        <v>3162</v>
      </c>
      <c r="CV289" s="2" t="s">
        <v>3162</v>
      </c>
      <c r="CW289" s="2" t="str">
        <f>HYPERLINK(".\links\pep\AGAP003890-PA-pep.txt","AGAP003890-PA")</f>
        <v>AGAP003890-PA</v>
      </c>
      <c r="CX289" s="2" t="s">
        <v>95</v>
      </c>
      <c r="CY289" s="2">
        <v>313</v>
      </c>
      <c r="CZ289" s="2" t="s">
        <v>113</v>
      </c>
      <c r="DA289" s="2" t="s">
        <v>3166</v>
      </c>
      <c r="DB289" s="2">
        <v>0</v>
      </c>
      <c r="DC289" s="2">
        <v>2</v>
      </c>
      <c r="DD289" s="2" t="str">
        <f>HYPERLINK("https://www.kegg.jp/kegg-bin/search_pathway_text?map=aga&amp;keyword=AGAP003890&amp;mode=1&amp;viewImage=true","AGAP003890")</f>
        <v>AGAP003890</v>
      </c>
      <c r="DE289" s="2" t="s">
        <v>3158</v>
      </c>
      <c r="DF289" s="2" t="s">
        <v>3159</v>
      </c>
      <c r="DG289" s="2" t="s">
        <v>94</v>
      </c>
      <c r="DH289" s="2" t="str">
        <f>HYPERLINK("https://vectorbase.org/vectorbase/app/record/gene/AGAP003890","AGAP003890-RA")</f>
        <v>AGAP003890-RA</v>
      </c>
      <c r="DI289" s="2" t="s">
        <v>118</v>
      </c>
      <c r="DJ289" s="2">
        <v>1128</v>
      </c>
      <c r="DK289" s="2" t="str">
        <f>HYPERLINK(".\links\netoglyc\AGAP003890-PA-netoglyc.txt","0")</f>
        <v>0</v>
      </c>
      <c r="DL289" s="2">
        <v>9.9</v>
      </c>
      <c r="DM289" s="2">
        <v>5.4</v>
      </c>
      <c r="DN289" s="2">
        <v>4.5</v>
      </c>
      <c r="DO289" s="2" t="s">
        <v>104</v>
      </c>
      <c r="DP289" s="2" t="s">
        <v>3167</v>
      </c>
      <c r="DQ289" s="2" t="str">
        <f>HYPERLINK(".\links\Sigp\AGAP003890-PA-SigP.txt","CYT")</f>
        <v>CYT</v>
      </c>
      <c r="DR289" s="2" t="s">
        <v>102</v>
      </c>
      <c r="DS289" s="2">
        <v>36.307000000000002</v>
      </c>
      <c r="DT289" s="2">
        <v>8.8800000000000008</v>
      </c>
      <c r="DU289" s="2" t="s">
        <v>102</v>
      </c>
      <c r="DV289" s="2" t="s">
        <v>102</v>
      </c>
      <c r="DW289" s="2" t="s">
        <v>124</v>
      </c>
      <c r="DX289" s="2">
        <v>313</v>
      </c>
      <c r="DY289" s="12">
        <v>0</v>
      </c>
      <c r="DZ289" s="2" t="s">
        <v>102</v>
      </c>
      <c r="EA289" s="2" t="s">
        <v>102</v>
      </c>
      <c r="EB289" s="2" t="s">
        <v>102</v>
      </c>
      <c r="EC289" s="2" t="str">
        <f>HYPERLINK(".\links\gpi\AGAP003890-PA-gpi.txt","Y-NoSP")</f>
        <v>Y-NoSP</v>
      </c>
      <c r="ED289" s="2">
        <v>0.25</v>
      </c>
      <c r="EF289" s="2">
        <v>4</v>
      </c>
      <c r="EG289" s="2" t="s">
        <v>102</v>
      </c>
      <c r="EH289" s="2" t="s">
        <v>102</v>
      </c>
      <c r="EI289" s="2">
        <v>9.9041533546325908</v>
      </c>
      <c r="EJ289" s="2">
        <v>4.47284345047923</v>
      </c>
      <c r="EK289" s="2">
        <v>5.4313099041533501</v>
      </c>
      <c r="EL289" s="2">
        <v>9.9041533546325908</v>
      </c>
      <c r="EM289" s="2" t="s">
        <v>102</v>
      </c>
      <c r="EN289" s="2" t="s">
        <v>102</v>
      </c>
      <c r="EO289" s="2" t="s">
        <v>102</v>
      </c>
      <c r="EP289" s="2" t="s">
        <v>102</v>
      </c>
      <c r="EQ289" s="2" t="s">
        <v>102</v>
      </c>
      <c r="ER289" s="2" t="s">
        <v>102</v>
      </c>
      <c r="ES289" s="2" t="s">
        <v>102</v>
      </c>
      <c r="ET289" s="2" t="str">
        <f>HYPERLINK(".\links\REFSEQ-INVERTEBRATE\AGAP003890-PA-REFSEQ-INVERTEBRATE.txt","AGAP003890-PA")</f>
        <v>AGAP003890-PA</v>
      </c>
      <c r="EU289" s="2" t="str">
        <f>HYPERLINK("http://www.ncbi.nlm.nih.gov/sutils/blink.cgi?pid=XP_308117.4","0.0")</f>
        <v>0.0</v>
      </c>
      <c r="EV289" s="2" t="str">
        <f>HYPERLINK("http://www.ncbi.nlm.nih.gov/protein/XP_308117.4","XP_308117.4")</f>
        <v>XP_308117.4</v>
      </c>
      <c r="EW289" s="2">
        <v>100</v>
      </c>
      <c r="EX289" s="2">
        <v>100</v>
      </c>
      <c r="EY289" s="2">
        <v>100</v>
      </c>
      <c r="EZ289" s="2" t="s">
        <v>105</v>
      </c>
    </row>
    <row r="290" spans="1:156" x14ac:dyDescent="0.25">
      <c r="A290" s="2" t="s">
        <v>3168</v>
      </c>
      <c r="B290" s="2">
        <v>0.26161226754443401</v>
      </c>
      <c r="C290" s="2">
        <f t="shared" si="4"/>
        <v>1.1988176814569047</v>
      </c>
      <c r="D290" s="2">
        <v>6.0130730307452396</v>
      </c>
      <c r="E290" s="2">
        <v>12.303466205778401</v>
      </c>
      <c r="F290" s="2">
        <v>4.5211787868286403E-4</v>
      </c>
      <c r="G290" s="2">
        <v>2.4481437881426499E-2</v>
      </c>
      <c r="H290" s="2" t="s">
        <v>3169</v>
      </c>
      <c r="I290" s="2" t="s">
        <v>94</v>
      </c>
      <c r="J290" s="2" t="str">
        <f>HYPERLINK("https://vectorbase.org/vectorbase/app/record/gene/AGAP003061","AGAP003061-RA")</f>
        <v>AGAP003061-RA</v>
      </c>
      <c r="K290" s="2" t="str">
        <f>HYPERLINK(".\links\pep\AGAP003061-PA-pep.txt","AGAP003061-PA")</f>
        <v>AGAP003061-PA</v>
      </c>
      <c r="L290" s="12" t="s">
        <v>95</v>
      </c>
      <c r="M290" s="2">
        <v>359</v>
      </c>
      <c r="N290" s="2">
        <v>0</v>
      </c>
      <c r="O290" s="2">
        <v>2</v>
      </c>
      <c r="P290" s="2" t="s">
        <v>3170</v>
      </c>
      <c r="Q290" s="9" t="s">
        <v>3171</v>
      </c>
      <c r="R290" s="2" t="s">
        <v>196</v>
      </c>
      <c r="S290" s="2" t="str">
        <f>HYPERLINK(".\links\KOG\AGAP003061-PA-KOG.txt","KOG")</f>
        <v>KOG</v>
      </c>
      <c r="T290" s="2">
        <v>0</v>
      </c>
      <c r="U290" s="2">
        <v>104</v>
      </c>
      <c r="V290" s="2" t="s">
        <v>3172</v>
      </c>
      <c r="W290" s="10" t="s">
        <v>3173</v>
      </c>
      <c r="X290" s="2" t="s">
        <v>101</v>
      </c>
      <c r="Y290" s="2" t="str">
        <f>HYPERLINK(".\links\UNIPROTKB\AGAP003061-PA-UNIPROTKB.txt","UNIPROTKB")</f>
        <v>UNIPROTKB</v>
      </c>
      <c r="Z290" s="15">
        <v>0</v>
      </c>
      <c r="AA290" s="2">
        <v>100</v>
      </c>
      <c r="AB290" s="13" t="s">
        <v>102</v>
      </c>
      <c r="AC290" s="13" t="str">
        <f>HYPERLINK(".\links\Sigp\AGAP003061-PA-SigP.txt","CYT")</f>
        <v>CYT</v>
      </c>
      <c r="AD290" s="2" t="s">
        <v>102</v>
      </c>
      <c r="AE290" s="2">
        <v>40.524999999999999</v>
      </c>
      <c r="AF290" s="2">
        <v>5.76</v>
      </c>
      <c r="AG290" s="2" t="s">
        <v>102</v>
      </c>
      <c r="AH290" s="2" t="s">
        <v>102</v>
      </c>
      <c r="AI290" s="2" t="s">
        <v>124</v>
      </c>
      <c r="AJ290" s="13">
        <v>0</v>
      </c>
      <c r="AK290" s="2" t="s">
        <v>102</v>
      </c>
      <c r="AL290" s="2" t="s">
        <v>102</v>
      </c>
      <c r="AM290" s="2" t="s">
        <v>102</v>
      </c>
      <c r="AN290" s="13" t="str">
        <f>HYPERLINK(".\links\gpi\AGAP003061-PA-gpi.txt","N")</f>
        <v>N</v>
      </c>
      <c r="AO290" s="14" t="str">
        <f>HYPERLINK(".\links\netoglyc\AGAP003061-PA-netoglyc.txt","4")</f>
        <v>4</v>
      </c>
      <c r="AP290" s="13">
        <v>13.1</v>
      </c>
      <c r="AQ290" s="2">
        <v>4.7</v>
      </c>
      <c r="AR290" s="2">
        <v>6.7</v>
      </c>
      <c r="AS290" s="2" t="s">
        <v>104</v>
      </c>
      <c r="AT290" s="9" t="str">
        <f>HYPERLINK(".\links\NR-LIGHT\AGAP003061-PA-NR-LIGHT.txt","AGAP003061-PA")</f>
        <v>AGAP003061-PA</v>
      </c>
      <c r="AU290" s="2" t="str">
        <f>HYPERLINK("http://www.ncbi.nlm.nih.gov/sutils/blink.cgi?pid=XP_312747.5","0.0")</f>
        <v>0.0</v>
      </c>
      <c r="AV290" s="2" t="str">
        <f>HYPERLINK("http://www.ncbi.nlm.nih.gov/protein/XP_312747.5","XP_312747.5")</f>
        <v>XP_312747.5</v>
      </c>
      <c r="AW290" s="2">
        <v>100</v>
      </c>
      <c r="AX290" s="2">
        <v>100</v>
      </c>
      <c r="AY290" s="2">
        <v>100</v>
      </c>
      <c r="AZ290" s="2" t="s">
        <v>105</v>
      </c>
      <c r="BA290" s="9" t="str">
        <f>HYPERLINK(".\links\REFSEQ-INVERTEBRATE\AGAP003061-PA-REFSEQ-INVERTEBRATE.txt","AGAP003061-PA")</f>
        <v>AGAP003061-PA</v>
      </c>
      <c r="BB290" s="2" t="str">
        <f>HYPERLINK("http://www.ncbi.nlm.nih.gov/sutils/blink.cgi?pid=XP_312747.5","0.0")</f>
        <v>0.0</v>
      </c>
      <c r="BC290" s="2" t="str">
        <f>HYPERLINK("http://www.ncbi.nlm.nih.gov/protein/XP_312747.5","XP_312747.5")</f>
        <v>XP_312747.5</v>
      </c>
      <c r="BD290" s="2">
        <v>100</v>
      </c>
      <c r="BE290" s="2">
        <v>100</v>
      </c>
      <c r="BF290" s="2">
        <v>100</v>
      </c>
      <c r="BG290" s="2" t="s">
        <v>105</v>
      </c>
      <c r="BH290" s="9" t="str">
        <f>HYPERLINK(".\links\REFSEQ-PROTOZOA\AGAP003061-PA-REFSEQ-PROTOZOA.txt","hypothetical protein SARC_03253")</f>
        <v>hypothetical protein SARC_03253</v>
      </c>
      <c r="BI290" s="2" t="str">
        <f>HYPERLINK("http://www.ncbi.nlm.nih.gov/sutils/blink.cgi?pid=XP_014158429.1","6E-057")</f>
        <v>6E-057</v>
      </c>
      <c r="BJ290" s="2" t="str">
        <f>HYPERLINK("http://www.ncbi.nlm.nih.gov/protein/XP_014158429.1","XP_014158429.1")</f>
        <v>XP_014158429.1</v>
      </c>
      <c r="BK290" s="2">
        <v>38</v>
      </c>
      <c r="BL290" s="2">
        <v>57</v>
      </c>
      <c r="BM290" s="2">
        <v>104</v>
      </c>
      <c r="BN290" s="2" t="s">
        <v>393</v>
      </c>
      <c r="BO290" s="9" t="str">
        <f>HYPERLINK(".\links\SWISSP\AGAP003061-PA-SWISSP.txt","Cysteine and histidine-rich domain-containing protein")</f>
        <v>Cysteine and histidine-rich domain-containing protein</v>
      </c>
      <c r="BP290" s="2" t="str">
        <f>HYPERLINK("http://www.uniprot.org/uniprot/Q9VCC0","1E-108")</f>
        <v>1E-108</v>
      </c>
      <c r="BQ290" s="2" t="str">
        <f>HYPERLINK("http://www.uniprot.org/uniprot/Q9VCC0#expression","Q9VCC0")</f>
        <v>Q9VCC0</v>
      </c>
      <c r="BR290" s="2">
        <v>52</v>
      </c>
      <c r="BS290" s="2">
        <v>69</v>
      </c>
      <c r="BT290" s="2">
        <v>97</v>
      </c>
      <c r="BU290" s="2" t="s">
        <v>107</v>
      </c>
      <c r="BV290" s="9" t="str">
        <f>HYPERLINK(".\links\FLYBASE\AGAP003061-PA-FLYBASE.txt","FBpp0083939")</f>
        <v>FBpp0083939</v>
      </c>
      <c r="BW290" s="2" t="str">
        <f>HYPERLINK("http://flybase.org/reports/FBgn0029503#alliance_summary_container","1E-134")</f>
        <v>1E-134</v>
      </c>
      <c r="BX290" s="2">
        <v>354</v>
      </c>
      <c r="BY290" s="2">
        <v>50</v>
      </c>
      <c r="BZ290" s="2">
        <v>68</v>
      </c>
      <c r="CA290" s="2">
        <v>99</v>
      </c>
      <c r="CB290" s="9" t="str">
        <f>HYPERLINK(".\links\CDD\AGAP003061-PA-CDD.txt","p23_melusin_like, p23_like domain similar to the C-terminal (tail) domain of vertebrate Melusin and related proteins")</f>
        <v>p23_melusin_like, p23_like domain similar to the C-terminal (tail) domain of vertebrate Melusin and related proteins</v>
      </c>
      <c r="CC290" s="15">
        <v>6.9999999999999999E-35</v>
      </c>
      <c r="CD290" s="2">
        <v>102.3</v>
      </c>
      <c r="CE290" s="2" t="s">
        <v>3174</v>
      </c>
      <c r="CF290" s="2" t="s">
        <v>3175</v>
      </c>
      <c r="CG290" s="9" t="str">
        <f>HYPERLINK(".\links\KOG\AGAP003061-PA-KOG.txt","contains CHORD domain")</f>
        <v>contains CHORD domain</v>
      </c>
      <c r="CH290" s="15">
        <v>1E-100</v>
      </c>
      <c r="CI290" s="2">
        <v>104.1</v>
      </c>
      <c r="CJ290" s="2" t="s">
        <v>3176</v>
      </c>
      <c r="CK290" s="2" t="s">
        <v>191</v>
      </c>
      <c r="CL290" s="9" t="str">
        <f>HYPERLINK(".\links\PFAM\AGAP003061-PA-PFAM.txt","CHORD, CHORD")</f>
        <v>CHORD, CHORD</v>
      </c>
      <c r="CM290" s="15">
        <v>6.0000000000000002E-27</v>
      </c>
      <c r="CN290" s="2">
        <v>100</v>
      </c>
      <c r="CO290" s="2" t="s">
        <v>3177</v>
      </c>
      <c r="CP290" s="9" t="str">
        <f>HYPERLINK(".\links\SMART\AGAP003061-PA-SMART.txt","AP2Ec, AP endonuclease family 2")</f>
        <v>AP2Ec, AP endonuclease family 2</v>
      </c>
      <c r="CQ290" s="15">
        <v>1.6</v>
      </c>
      <c r="CR290" s="2">
        <v>10.3</v>
      </c>
      <c r="CS290" s="2" t="s">
        <v>3178</v>
      </c>
      <c r="CT290" s="2" t="s">
        <v>3172</v>
      </c>
      <c r="CU290" s="2" t="s">
        <v>3172</v>
      </c>
      <c r="CV290" s="2" t="s">
        <v>3172</v>
      </c>
      <c r="CW290" s="2" t="str">
        <f>HYPERLINK(".\links\pep\AGAP003061-PA-pep.txt","AGAP003061-PA")</f>
        <v>AGAP003061-PA</v>
      </c>
      <c r="CX290" s="2" t="s">
        <v>95</v>
      </c>
      <c r="CY290" s="2">
        <v>359</v>
      </c>
      <c r="CZ290" s="2" t="s">
        <v>113</v>
      </c>
      <c r="DA290" s="2" t="s">
        <v>3179</v>
      </c>
      <c r="DB290" s="2">
        <v>0</v>
      </c>
      <c r="DC290" s="2">
        <v>2</v>
      </c>
      <c r="DD290" s="2" t="str">
        <f>HYPERLINK("https://www.kegg.jp/kegg-bin/search_pathway_text?map=aga&amp;keyword=AGAP003061&amp;mode=1&amp;viewImage=true","AGAP003061")</f>
        <v>AGAP003061</v>
      </c>
      <c r="DE290" s="2" t="s">
        <v>3168</v>
      </c>
      <c r="DF290" s="2" t="s">
        <v>3169</v>
      </c>
      <c r="DG290" s="2" t="s">
        <v>94</v>
      </c>
      <c r="DH290" s="2" t="str">
        <f>HYPERLINK("https://vectorbase.org/vectorbase/app/record/gene/AGAP003061","AGAP003061-RA")</f>
        <v>AGAP003061-RA</v>
      </c>
      <c r="DI290" s="2" t="s">
        <v>115</v>
      </c>
      <c r="DJ290" s="2">
        <v>1221</v>
      </c>
      <c r="DK290" s="2" t="str">
        <f>HYPERLINK(".\links\netoglyc\AGAP003061-PA-netoglyc.txt","4")</f>
        <v>4</v>
      </c>
      <c r="DL290" s="2">
        <v>13.1</v>
      </c>
      <c r="DM290" s="2">
        <v>4.7</v>
      </c>
      <c r="DN290" s="2">
        <v>6.7</v>
      </c>
      <c r="DO290" s="2" t="s">
        <v>104</v>
      </c>
      <c r="DP290" s="2" t="s">
        <v>102</v>
      </c>
      <c r="DQ290" s="2" t="str">
        <f>HYPERLINK(".\links\Sigp\AGAP003061-PA-SigP.txt","CYT")</f>
        <v>CYT</v>
      </c>
      <c r="DR290" s="2" t="s">
        <v>102</v>
      </c>
      <c r="DS290" s="2">
        <v>40.524999999999999</v>
      </c>
      <c r="DT290" s="2">
        <v>5.76</v>
      </c>
      <c r="DU290" s="2" t="s">
        <v>102</v>
      </c>
      <c r="DV290" s="2" t="s">
        <v>102</v>
      </c>
      <c r="DW290" s="2" t="s">
        <v>124</v>
      </c>
      <c r="DX290" s="2">
        <v>359</v>
      </c>
      <c r="DY290" s="12">
        <v>0</v>
      </c>
      <c r="DZ290" s="2" t="s">
        <v>102</v>
      </c>
      <c r="EA290" s="2" t="s">
        <v>102</v>
      </c>
      <c r="EB290" s="2" t="s">
        <v>102</v>
      </c>
      <c r="EC290" s="2" t="str">
        <f>HYPERLINK(".\links\gpi\AGAP003061-PA-gpi.txt","Y-NoSP")</f>
        <v>Y-NoSP</v>
      </c>
      <c r="ED290" s="2">
        <v>0.31</v>
      </c>
      <c r="EF290" s="2">
        <v>16</v>
      </c>
      <c r="EG290" s="2" t="s">
        <v>102</v>
      </c>
      <c r="EH290" s="2" t="s">
        <v>102</v>
      </c>
      <c r="EI290" s="2">
        <v>13.091922005571</v>
      </c>
      <c r="EJ290" s="2">
        <v>6.6852367688022296</v>
      </c>
      <c r="EK290" s="2">
        <v>4.73537604456825</v>
      </c>
      <c r="EL290" s="2">
        <v>11.4206128133705</v>
      </c>
      <c r="EM290" s="2" t="s">
        <v>102</v>
      </c>
      <c r="EN290" s="2">
        <v>2</v>
      </c>
      <c r="EO290" s="2">
        <v>4</v>
      </c>
      <c r="EP290" s="2" t="s">
        <v>102</v>
      </c>
      <c r="EQ290" s="2" t="s">
        <v>102</v>
      </c>
      <c r="ER290" s="2" t="s">
        <v>102</v>
      </c>
      <c r="ES290" s="2" t="s">
        <v>102</v>
      </c>
      <c r="ET290" s="2" t="str">
        <f>HYPERLINK(".\links\REFSEQ-INVERTEBRATE\AGAP003061-PA-REFSEQ-INVERTEBRATE.txt","AGAP003061-PA")</f>
        <v>AGAP003061-PA</v>
      </c>
      <c r="EU290" s="2" t="str">
        <f>HYPERLINK("http://www.ncbi.nlm.nih.gov/sutils/blink.cgi?pid=XP_312747.5","0.0")</f>
        <v>0.0</v>
      </c>
      <c r="EV290" s="2" t="str">
        <f>HYPERLINK("http://www.ncbi.nlm.nih.gov/protein/XP_312747.5","XP_312747.5")</f>
        <v>XP_312747.5</v>
      </c>
      <c r="EW290" s="2">
        <v>100</v>
      </c>
      <c r="EX290" s="2">
        <v>100</v>
      </c>
      <c r="EY290" s="2">
        <v>100</v>
      </c>
      <c r="EZ290" s="2" t="s">
        <v>105</v>
      </c>
    </row>
    <row r="291" spans="1:156" x14ac:dyDescent="0.25">
      <c r="A291" s="2" t="s">
        <v>3180</v>
      </c>
      <c r="B291" s="2">
        <v>0.26101823466881102</v>
      </c>
      <c r="C291" s="2">
        <f t="shared" si="4"/>
        <v>1.1983241672334628</v>
      </c>
      <c r="D291" s="2">
        <v>7.8104897929159796</v>
      </c>
      <c r="E291" s="2">
        <v>8.9052996930727293</v>
      </c>
      <c r="F291" s="2">
        <v>2.8434420813238099E-3</v>
      </c>
      <c r="G291" s="2">
        <v>4.9161617037624797E-2</v>
      </c>
      <c r="H291" s="2" t="s">
        <v>3181</v>
      </c>
      <c r="I291" s="2" t="s">
        <v>94</v>
      </c>
      <c r="J291" s="2" t="str">
        <f>HYPERLINK("https://vectorbase.org/vectorbase/app/record/gene/AGAP004514","AGAP004514-RA")</f>
        <v>AGAP004514-RA</v>
      </c>
      <c r="K291" s="2" t="str">
        <f>HYPERLINK(".\links\pep\AGAP004514-PA-pep.txt","AGAP004514-PA")</f>
        <v>AGAP004514-PA</v>
      </c>
      <c r="L291" s="12" t="s">
        <v>95</v>
      </c>
      <c r="M291" s="2">
        <v>595</v>
      </c>
      <c r="N291" s="2">
        <v>0</v>
      </c>
      <c r="O291" s="2">
        <v>3</v>
      </c>
      <c r="P291" s="2" t="s">
        <v>3182</v>
      </c>
      <c r="Q291" s="9" t="s">
        <v>3183</v>
      </c>
      <c r="R291" s="2" t="s">
        <v>420</v>
      </c>
      <c r="S291" s="2" t="str">
        <f>HYPERLINK(".\links\NR-LIGHT\AGAP004514-PA-NR-LIGHT.txt","NR-LIGHT")</f>
        <v>NR-LIGHT</v>
      </c>
      <c r="T291" s="2">
        <v>0</v>
      </c>
      <c r="U291" s="2">
        <v>100.6</v>
      </c>
      <c r="V291" s="2" t="s">
        <v>3184</v>
      </c>
      <c r="W291" s="10" t="s">
        <v>3185</v>
      </c>
      <c r="X291" s="2" t="s">
        <v>196</v>
      </c>
      <c r="Y291" s="2" t="str">
        <f>HYPERLINK(".\links\KOG\AGAP004514-PA-KOG.txt","KOG")</f>
        <v>KOG</v>
      </c>
      <c r="Z291" s="2">
        <v>0</v>
      </c>
      <c r="AA291" s="2">
        <v>98.1</v>
      </c>
      <c r="AB291" s="13" t="str">
        <f>HYPERLINK(".\links\pep\AGAP004514-PA-sulf.txt","2")</f>
        <v>2</v>
      </c>
      <c r="AC291" s="13" t="str">
        <f>HYPERLINK(".\links\Sigp\AGAP004514-PA-SigP.txt","CYT")</f>
        <v>CYT</v>
      </c>
      <c r="AD291" s="2" t="s">
        <v>102</v>
      </c>
      <c r="AE291" s="2">
        <v>67.902000000000001</v>
      </c>
      <c r="AF291" s="2">
        <v>9.27</v>
      </c>
      <c r="AG291" s="2" t="s">
        <v>102</v>
      </c>
      <c r="AH291" s="2" t="s">
        <v>102</v>
      </c>
      <c r="AI291" s="2" t="s">
        <v>211</v>
      </c>
      <c r="AJ291" s="13">
        <v>0</v>
      </c>
      <c r="AK291" s="2" t="s">
        <v>102</v>
      </c>
      <c r="AL291" s="2" t="s">
        <v>102</v>
      </c>
      <c r="AM291" s="2" t="s">
        <v>102</v>
      </c>
      <c r="AN291" s="13" t="str">
        <f>HYPERLINK(".\links\gpi\AGAP004514-PA-gpi.txt","N")</f>
        <v>N</v>
      </c>
      <c r="AO291" s="14" t="str">
        <f>HYPERLINK(".\links\netoglyc\AGAP004514-PA-netoglyc.txt","0")</f>
        <v>0</v>
      </c>
      <c r="AP291" s="13">
        <v>7.6</v>
      </c>
      <c r="AQ291" s="2">
        <v>4.7</v>
      </c>
      <c r="AR291" s="2">
        <v>4</v>
      </c>
      <c r="AS291" s="2" t="s">
        <v>104</v>
      </c>
      <c r="AT291" s="9" t="str">
        <f>HYPERLINK(".\links\NR-LIGHT\AGAP004514-PA-NR-LIGHT.txt","AGAP004514-PA")</f>
        <v>AGAP004514-PA</v>
      </c>
      <c r="AU291" s="2" t="str">
        <f>HYPERLINK("http://www.ncbi.nlm.nih.gov/sutils/blink.cgi?pid=XP_313813.5","0.0")</f>
        <v>0.0</v>
      </c>
      <c r="AV291" s="2" t="str">
        <f>HYPERLINK("http://www.ncbi.nlm.nih.gov/protein/XP_313813.5","XP_313813.5")</f>
        <v>XP_313813.5</v>
      </c>
      <c r="AW291" s="2">
        <v>100</v>
      </c>
      <c r="AX291" s="2">
        <v>100</v>
      </c>
      <c r="AY291" s="2">
        <v>100</v>
      </c>
      <c r="AZ291" s="2" t="s">
        <v>105</v>
      </c>
      <c r="BA291" s="9" t="str">
        <f>HYPERLINK(".\links\REFSEQ-INVERTEBRATE\AGAP004514-PA-REFSEQ-INVERTEBRATE.txt","AGAP004514-PA")</f>
        <v>AGAP004514-PA</v>
      </c>
      <c r="BB291" s="2" t="str">
        <f>HYPERLINK("http://www.ncbi.nlm.nih.gov/sutils/blink.cgi?pid=XP_313813.5","0.0")</f>
        <v>0.0</v>
      </c>
      <c r="BC291" s="2" t="str">
        <f>HYPERLINK("http://www.ncbi.nlm.nih.gov/protein/XP_313813.5","XP_313813.5")</f>
        <v>XP_313813.5</v>
      </c>
      <c r="BD291" s="2">
        <v>100</v>
      </c>
      <c r="BE291" s="2">
        <v>100</v>
      </c>
      <c r="BF291" s="2">
        <v>100</v>
      </c>
      <c r="BG291" s="2" t="s">
        <v>105</v>
      </c>
      <c r="BH291" s="9" t="str">
        <f>HYPERLINK(".\links\REFSEQ-PROTOZOA\AGAP004514-PA-REFSEQ-PROTOZOA.txt","hypothetical protein DICPUDRAFT_82812")</f>
        <v>hypothetical protein DICPUDRAFT_82812</v>
      </c>
      <c r="BI291" s="2" t="str">
        <f>HYPERLINK("http://www.ncbi.nlm.nih.gov/sutils/blink.cgi?pid=XP_003292185.1","1E-091")</f>
        <v>1E-091</v>
      </c>
      <c r="BJ291" s="2" t="str">
        <f>HYPERLINK("http://www.ncbi.nlm.nih.gov/protein/XP_003292185.1","XP_003292185.1")</f>
        <v>XP_003292185.1</v>
      </c>
      <c r="BK291" s="2">
        <v>35</v>
      </c>
      <c r="BL291" s="2">
        <v>56</v>
      </c>
      <c r="BM291" s="2">
        <v>102</v>
      </c>
      <c r="BN291" s="2" t="s">
        <v>337</v>
      </c>
      <c r="BO291" s="9" t="str">
        <f>HYPERLINK(".\links\SWISSP\AGAP004514-PA-SWISSP.txt","Guanine nucleotide-binding protein-like 3 homolog")</f>
        <v>Guanine nucleotide-binding protein-like 3 homolog</v>
      </c>
      <c r="BP291" s="2" t="str">
        <f>HYPERLINK("http://www.uniprot.org/uniprot/Q8MT06","1E-148")</f>
        <v>1E-148</v>
      </c>
      <c r="BQ291" s="2" t="str">
        <f>HYPERLINK("http://www.uniprot.org/uniprot/Q8MT06#expression","Q8MT06")</f>
        <v>Q8MT06</v>
      </c>
      <c r="BR291" s="2">
        <v>47</v>
      </c>
      <c r="BS291" s="2">
        <v>63</v>
      </c>
      <c r="BT291" s="2">
        <v>107</v>
      </c>
      <c r="BU291" s="2" t="s">
        <v>107</v>
      </c>
      <c r="BV291" s="9" t="str">
        <f>HYPERLINK(".\links\FLYBASE\AGAP004514-PA-FLYBASE.txt","FBpp0082867")</f>
        <v>FBpp0082867</v>
      </c>
      <c r="BW291" s="2" t="str">
        <f>HYPERLINK("http://flybase.org/reports/FBgn0038473#alliance_summary_container","1E-175")</f>
        <v>1E-175</v>
      </c>
      <c r="BX291" s="2">
        <v>581</v>
      </c>
      <c r="BY291" s="2">
        <v>47</v>
      </c>
      <c r="BZ291" s="2">
        <v>62</v>
      </c>
      <c r="CA291" s="2">
        <v>107</v>
      </c>
      <c r="CB291" s="9" t="str">
        <f>HYPERLINK(".\links\CDD\AGAP004514-PA-CDD.txt","Nucleostemin_like, A circularly permuted subfamily of the Ras GTPases")</f>
        <v>Nucleostemin_like, A circularly permuted subfamily of the Ras GTPases</v>
      </c>
      <c r="CC291" s="15">
        <v>6.0000000000000003E-77</v>
      </c>
      <c r="CD291" s="2">
        <v>100</v>
      </c>
      <c r="CE291" s="2" t="s">
        <v>3186</v>
      </c>
      <c r="CF291" s="2" t="s">
        <v>3187</v>
      </c>
      <c r="CG291" s="9" t="str">
        <f>HYPERLINK(".\links\KOG\AGAP004514-PA-KOG.txt","GTPase")</f>
        <v>GTPase</v>
      </c>
      <c r="CH291" s="15">
        <v>1.0000000000000001E-114</v>
      </c>
      <c r="CI291" s="2">
        <v>96.1</v>
      </c>
      <c r="CJ291" s="2" t="s">
        <v>3188</v>
      </c>
      <c r="CK291" s="2" t="s">
        <v>191</v>
      </c>
      <c r="CL291" s="9" t="str">
        <f>HYPERLINK(".\links\PFAM\AGAP004514-PA-PFAM.txt","GN3L_Grn1, GNL3L/Grn1 putative GTPase")</f>
        <v>GN3L_Grn1, GNL3L/Grn1 putative GTPase</v>
      </c>
      <c r="CM291" s="15">
        <v>6.0000000000000001E-17</v>
      </c>
      <c r="CN291" s="2">
        <v>98.6</v>
      </c>
      <c r="CO291" s="2" t="s">
        <v>3189</v>
      </c>
      <c r="CP291" s="9" t="str">
        <f>HYPERLINK(".\links\SMART\AGAP004514-PA-SMART.txt","Spc7, Spc7 kinetochore protein")</f>
        <v>Spc7, Spc7 kinetochore protein</v>
      </c>
      <c r="CQ291" s="15">
        <v>3.1E-2</v>
      </c>
      <c r="CR291" s="2">
        <v>33.299999999999997</v>
      </c>
      <c r="CS291" s="2" t="s">
        <v>1061</v>
      </c>
      <c r="CT291" s="2" t="s">
        <v>3184</v>
      </c>
      <c r="CU291" s="2" t="s">
        <v>3184</v>
      </c>
      <c r="CV291" s="2" t="s">
        <v>3184</v>
      </c>
      <c r="CW291" s="2" t="str">
        <f>HYPERLINK(".\links\pep\AGAP004514-PA-pep.txt","AGAP004514-PA")</f>
        <v>AGAP004514-PA</v>
      </c>
      <c r="CX291" s="2" t="s">
        <v>95</v>
      </c>
      <c r="CY291" s="2">
        <v>595</v>
      </c>
      <c r="CZ291" s="2" t="s">
        <v>113</v>
      </c>
      <c r="DA291" s="2" t="s">
        <v>3190</v>
      </c>
      <c r="DB291" s="2">
        <v>0</v>
      </c>
      <c r="DC291" s="2">
        <v>3</v>
      </c>
      <c r="DD291" s="2" t="str">
        <f>HYPERLINK("https://www.kegg.jp/kegg-bin/search_pathway_text?map=aga&amp;keyword=AGAP004514&amp;mode=1&amp;viewImage=true","AGAP004514")</f>
        <v>AGAP004514</v>
      </c>
      <c r="DE291" s="2" t="s">
        <v>3180</v>
      </c>
      <c r="DF291" s="2" t="s">
        <v>3181</v>
      </c>
      <c r="DG291" s="2" t="s">
        <v>94</v>
      </c>
      <c r="DH291" s="2" t="str">
        <f>HYPERLINK("https://vectorbase.org/vectorbase/app/record/gene/AGAP004514","AGAP004514-RA")</f>
        <v>AGAP004514-RA</v>
      </c>
      <c r="DI291" s="2" t="s">
        <v>135</v>
      </c>
      <c r="DJ291" s="2">
        <v>2021</v>
      </c>
      <c r="DK291" s="2" t="str">
        <f>HYPERLINK(".\links\netoglyc\AGAP004514-PA-netoglyc.txt","0")</f>
        <v>0</v>
      </c>
      <c r="DL291" s="2">
        <v>7.6</v>
      </c>
      <c r="DM291" s="2">
        <v>4.7</v>
      </c>
      <c r="DN291" s="2">
        <v>4</v>
      </c>
      <c r="DO291" s="2" t="s">
        <v>104</v>
      </c>
      <c r="DP291" s="2" t="s">
        <v>3191</v>
      </c>
      <c r="DQ291" s="2" t="str">
        <f>HYPERLINK(".\links\Sigp\AGAP004514-PA-SigP.txt","CYT")</f>
        <v>CYT</v>
      </c>
      <c r="DR291" s="2" t="s">
        <v>102</v>
      </c>
      <c r="DS291" s="2">
        <v>67.902000000000001</v>
      </c>
      <c r="DT291" s="2">
        <v>9.27</v>
      </c>
      <c r="DU291" s="2" t="s">
        <v>102</v>
      </c>
      <c r="DV291" s="2" t="s">
        <v>102</v>
      </c>
      <c r="DW291" s="2" t="s">
        <v>211</v>
      </c>
      <c r="DX291" s="2">
        <v>595</v>
      </c>
      <c r="DY291" s="12">
        <v>0</v>
      </c>
      <c r="DZ291" s="2" t="s">
        <v>102</v>
      </c>
      <c r="EA291" s="2" t="s">
        <v>102</v>
      </c>
      <c r="EB291" s="2" t="s">
        <v>102</v>
      </c>
      <c r="EC291" s="2" t="str">
        <f>HYPERLINK(".\links\gpi\AGAP004514-PA-gpi.txt","N")</f>
        <v>N</v>
      </c>
      <c r="ED291" s="2">
        <v>0.31</v>
      </c>
      <c r="EF291" s="2">
        <v>10</v>
      </c>
      <c r="EG291" s="2" t="str">
        <f>HYPERLINK(".\links\pep\AGAP004514-PA-sulf.txt","2")</f>
        <v>2</v>
      </c>
      <c r="EH291" s="2" t="s">
        <v>102</v>
      </c>
      <c r="EI291" s="2">
        <v>7.5630252100840298</v>
      </c>
      <c r="EJ291" s="2">
        <v>4.0336134453781503</v>
      </c>
      <c r="EK291" s="2">
        <v>4.7058823529411802</v>
      </c>
      <c r="EL291" s="2">
        <v>8.7394957983193304</v>
      </c>
      <c r="EM291" s="2">
        <v>1</v>
      </c>
      <c r="EN291" s="2">
        <v>1</v>
      </c>
      <c r="EO291" s="2">
        <v>2</v>
      </c>
      <c r="EP291" s="2" t="s">
        <v>102</v>
      </c>
      <c r="EQ291" s="2" t="s">
        <v>102</v>
      </c>
      <c r="ER291" s="2" t="s">
        <v>102</v>
      </c>
      <c r="ES291" s="2" t="s">
        <v>102</v>
      </c>
      <c r="ET291" s="2" t="str">
        <f>HYPERLINK(".\links\REFSEQ-INVERTEBRATE\AGAP004514-PA-REFSEQ-INVERTEBRATE.txt","AGAP004514-PA")</f>
        <v>AGAP004514-PA</v>
      </c>
      <c r="EU291" s="2" t="str">
        <f>HYPERLINK("http://www.ncbi.nlm.nih.gov/sutils/blink.cgi?pid=XP_313813.5","0.0")</f>
        <v>0.0</v>
      </c>
      <c r="EV291" s="2" t="str">
        <f>HYPERLINK("http://www.ncbi.nlm.nih.gov/protein/XP_313813.5","XP_313813.5")</f>
        <v>XP_313813.5</v>
      </c>
      <c r="EW291" s="2">
        <v>100</v>
      </c>
      <c r="EX291" s="2">
        <v>100</v>
      </c>
      <c r="EY291" s="2">
        <v>100</v>
      </c>
      <c r="EZ291" s="2" t="s">
        <v>105</v>
      </c>
    </row>
    <row r="292" spans="1:156" x14ac:dyDescent="0.25">
      <c r="A292" s="2" t="s">
        <v>3192</v>
      </c>
      <c r="B292" s="2">
        <v>0.25801346536879899</v>
      </c>
      <c r="C292" s="2">
        <f t="shared" si="4"/>
        <v>1.1958309579912592</v>
      </c>
      <c r="D292" s="2">
        <v>6.3727087239018498</v>
      </c>
      <c r="E292" s="2">
        <v>11.9393384188628</v>
      </c>
      <c r="F292" s="2">
        <v>5.4960993038754495E-4</v>
      </c>
      <c r="G292" s="2">
        <v>2.6293505281983199E-2</v>
      </c>
      <c r="H292" s="2" t="s">
        <v>3193</v>
      </c>
      <c r="I292" s="2" t="s">
        <v>94</v>
      </c>
      <c r="J292" s="2" t="str">
        <f>HYPERLINK("https://vectorbase.org/vectorbase/app/record/gene/AGAP005432","AGAP005432-RA")</f>
        <v>AGAP005432-RA</v>
      </c>
      <c r="K292" s="2" t="str">
        <f>HYPERLINK(".\links\pep\AGAP005432-PA-pep.txt","AGAP005432-PA")</f>
        <v>AGAP005432-PA</v>
      </c>
      <c r="L292" s="12" t="s">
        <v>95</v>
      </c>
      <c r="M292" s="2">
        <v>129</v>
      </c>
      <c r="N292" s="2">
        <v>0</v>
      </c>
      <c r="O292" s="2">
        <v>1</v>
      </c>
      <c r="P292" s="2" t="s">
        <v>3194</v>
      </c>
      <c r="Q292" s="9" t="s">
        <v>3194</v>
      </c>
      <c r="R292" s="2" t="s">
        <v>2783</v>
      </c>
      <c r="S292" s="2" t="str">
        <f>HYPERLINK(".\links\REFSEQ-INVERTEBRATE\AGAP005432-PA-REFSEQ-INVERTEBRATE.txt","REFSEQ-INVERTEBRATE")</f>
        <v>REFSEQ-INVERTEBRATE</v>
      </c>
      <c r="T292" s="2">
        <v>2.0000000000000001E-53</v>
      </c>
      <c r="U292" s="2">
        <v>100.7</v>
      </c>
      <c r="V292" s="2" t="s">
        <v>3195</v>
      </c>
      <c r="W292" s="10" t="s">
        <v>3196</v>
      </c>
      <c r="X292" s="2" t="s">
        <v>2783</v>
      </c>
      <c r="Y292" s="2" t="str">
        <f>HYPERLINK(".\links\REFSEQ-INVERTEBRATE\AGAP005432-PA-REFSEQ-INVERTEBRATE.txt","REFSEQ-INVERTEBRATE")</f>
        <v>REFSEQ-INVERTEBRATE</v>
      </c>
      <c r="Z292" s="15">
        <v>3.9999999999999998E-74</v>
      </c>
      <c r="AA292" s="2">
        <v>100</v>
      </c>
      <c r="AB292" s="13" t="s">
        <v>102</v>
      </c>
      <c r="AC292" s="13" t="str">
        <f>HYPERLINK(".\links\Sigp\AGAP005432-PA-SigP.txt","CYT")</f>
        <v>CYT</v>
      </c>
      <c r="AD292" s="2" t="s">
        <v>102</v>
      </c>
      <c r="AE292" s="2">
        <v>14.897</v>
      </c>
      <c r="AF292" s="2">
        <v>4.79</v>
      </c>
      <c r="AG292" s="2" t="s">
        <v>102</v>
      </c>
      <c r="AH292" s="2" t="s">
        <v>102</v>
      </c>
      <c r="AI292" s="2" t="s">
        <v>211</v>
      </c>
      <c r="AJ292" s="13">
        <v>0</v>
      </c>
      <c r="AK292" s="2" t="s">
        <v>102</v>
      </c>
      <c r="AL292" s="2" t="s">
        <v>102</v>
      </c>
      <c r="AM292" s="2" t="s">
        <v>102</v>
      </c>
      <c r="AN292" s="13" t="str">
        <f>HYPERLINK(".\links\gpi\AGAP005432-PA-gpi.txt","N")</f>
        <v>N</v>
      </c>
      <c r="AO292" s="14" t="str">
        <f>HYPERLINK(".\links\netoglyc\AGAP005432-PA-netoglyc.txt","0")</f>
        <v>0</v>
      </c>
      <c r="AP292" s="13">
        <v>7</v>
      </c>
      <c r="AQ292" s="2">
        <v>3.9</v>
      </c>
      <c r="AR292" s="2">
        <v>3.1</v>
      </c>
      <c r="AS292" s="2" t="s">
        <v>104</v>
      </c>
      <c r="AT292" s="9" t="str">
        <f>HYPERLINK(".\links\NR-LIGHT\AGAP005432-PA-NR-LIGHT.txt","AGAP005432-PA")</f>
        <v>AGAP005432-PA</v>
      </c>
      <c r="AU292" s="2" t="str">
        <f>HYPERLINK("http://www.ncbi.nlm.nih.gov/sutils/blink.cgi?pid=XP_315439.4","7E-066")</f>
        <v>7E-066</v>
      </c>
      <c r="AV292" s="2" t="str">
        <f>HYPERLINK("http://www.ncbi.nlm.nih.gov/protein/XP_315439.4","XP_315439.4")</f>
        <v>XP_315439.4</v>
      </c>
      <c r="AW292" s="2">
        <v>100</v>
      </c>
      <c r="AX292" s="2">
        <v>100</v>
      </c>
      <c r="AY292" s="2">
        <v>100</v>
      </c>
      <c r="AZ292" s="2" t="s">
        <v>105</v>
      </c>
      <c r="BA292" s="9" t="str">
        <f>HYPERLINK(".\links\REFSEQ-INVERTEBRATE\AGAP005432-PA-REFSEQ-INVERTEBRATE.txt","AGAP005432-PA")</f>
        <v>AGAP005432-PA</v>
      </c>
      <c r="BB292" s="2" t="str">
        <f>HYPERLINK("http://www.ncbi.nlm.nih.gov/sutils/blink.cgi?pid=XP_315439.4","6E-066")</f>
        <v>6E-066</v>
      </c>
      <c r="BC292" s="2" t="str">
        <f>HYPERLINK("http://www.ncbi.nlm.nih.gov/protein/XP_315439.4","XP_315439.4")</f>
        <v>XP_315439.4</v>
      </c>
      <c r="BD292" s="2">
        <v>100</v>
      </c>
      <c r="BE292" s="2">
        <v>100</v>
      </c>
      <c r="BF292" s="2">
        <v>100</v>
      </c>
      <c r="BG292" s="2" t="s">
        <v>105</v>
      </c>
      <c r="BH292" s="9" t="str">
        <f>HYPERLINK(".\links\REFSEQ-PROTOZOA\AGAP005432-PA-REFSEQ-PROTOZOA.txt","hypothetical protein")</f>
        <v>hypothetical protein</v>
      </c>
      <c r="BI292" s="2" t="str">
        <f>HYPERLINK("http://www.ncbi.nlm.nih.gov/sutils/blink.cgi?pid=XP_001748263.1","4E-020")</f>
        <v>4E-020</v>
      </c>
      <c r="BJ292" s="2" t="str">
        <f>HYPERLINK("http://www.ncbi.nlm.nih.gov/protein/XP_001748263.1","XP_001748263.1")</f>
        <v>XP_001748263.1</v>
      </c>
      <c r="BK292" s="2">
        <v>41</v>
      </c>
      <c r="BL292" s="2">
        <v>63</v>
      </c>
      <c r="BM292" s="2">
        <v>92</v>
      </c>
      <c r="BN292" s="2" t="s">
        <v>248</v>
      </c>
      <c r="BO292" s="9" t="str">
        <f>HYPERLINK(".\links\SWISSP\AGAP005432-PA-SWISSP.txt","Programmed cell death protein 5")</f>
        <v>Programmed cell death protein 5</v>
      </c>
      <c r="BP292" s="2" t="str">
        <f>HYPERLINK("http://www.uniprot.org/uniprot/P56812","2E-024")</f>
        <v>2E-024</v>
      </c>
      <c r="BQ292" s="2" t="str">
        <f>HYPERLINK("http://www.uniprot.org/uniprot/P56812#expression","P56812")</f>
        <v>P56812</v>
      </c>
      <c r="BR292" s="2">
        <v>46</v>
      </c>
      <c r="BS292" s="2">
        <v>70</v>
      </c>
      <c r="BT292" s="2">
        <v>102</v>
      </c>
      <c r="BU292" s="2" t="s">
        <v>662</v>
      </c>
      <c r="BV292" s="9" t="str">
        <f>HYPERLINK(".\links\FLYBASE\AGAP005432-PA-FLYBASE.txt","FBpp0075238")</f>
        <v>FBpp0075238</v>
      </c>
      <c r="BW292" s="2" t="str">
        <f>HYPERLINK("http://flybase.org/reports/FBgn0036580#alliance_summary_container","4E-47")</f>
        <v>4E-47</v>
      </c>
      <c r="BX292" s="2">
        <v>133</v>
      </c>
      <c r="BY292" s="2">
        <v>61</v>
      </c>
      <c r="BZ292" s="2">
        <v>76</v>
      </c>
      <c r="CA292" s="2">
        <v>101</v>
      </c>
      <c r="CB292" s="9" t="str">
        <f>HYPERLINK(".\links\CDD\AGAP005432-PA-CDD.txt","dsDNA_bind, Double-stranded DNA-binding domain")</f>
        <v>dsDNA_bind, Double-stranded DNA-binding domain</v>
      </c>
      <c r="CC292" s="15">
        <v>8.9999999999999997E-22</v>
      </c>
      <c r="CD292" s="2">
        <v>101</v>
      </c>
      <c r="CE292" s="2" t="s">
        <v>3197</v>
      </c>
      <c r="CF292" s="2" t="s">
        <v>3198</v>
      </c>
      <c r="CG292" s="9" t="str">
        <f>HYPERLINK(".\links\KOG\AGAP005432-PA-KOG.txt","Apoptosis-related protein/predicted DNA-binding protein")</f>
        <v>Apoptosis-related protein/predicted DNA-binding protein</v>
      </c>
      <c r="CH292" s="15">
        <v>8.0000000000000003E-27</v>
      </c>
      <c r="CI292" s="2">
        <v>98.4</v>
      </c>
      <c r="CJ292" s="2" t="s">
        <v>3199</v>
      </c>
      <c r="CK292" s="2" t="s">
        <v>700</v>
      </c>
      <c r="CL292" s="9" t="str">
        <f>HYPERLINK(".\links\PFAM\AGAP005432-PA-PFAM.txt","dsDNA_bind, Double-stranded DNA-binding domain")</f>
        <v>dsDNA_bind, Double-stranded DNA-binding domain</v>
      </c>
      <c r="CM292" s="15">
        <v>2.0000000000000001E-22</v>
      </c>
      <c r="CN292" s="2">
        <v>101</v>
      </c>
      <c r="CO292" s="2" t="s">
        <v>3197</v>
      </c>
      <c r="CP292" s="9" t="str">
        <f>HYPERLINK(".\links\SMART\AGAP005432-PA-SMART.txt","WNT1, found in Wnt-1")</f>
        <v>WNT1, found in Wnt-1</v>
      </c>
      <c r="CQ292" s="15">
        <v>0.27</v>
      </c>
      <c r="CR292" s="2">
        <v>13.4</v>
      </c>
      <c r="CS292" s="2" t="s">
        <v>3200</v>
      </c>
      <c r="CT292" s="2" t="s">
        <v>3195</v>
      </c>
      <c r="CU292" s="2" t="s">
        <v>3195</v>
      </c>
      <c r="CV292" s="2" t="s">
        <v>3195</v>
      </c>
      <c r="CW292" s="2" t="str">
        <f>HYPERLINK(".\links\pep\AGAP005432-PA-pep.txt","AGAP005432-PA")</f>
        <v>AGAP005432-PA</v>
      </c>
      <c r="CX292" s="2" t="s">
        <v>95</v>
      </c>
      <c r="CY292" s="2">
        <v>129</v>
      </c>
      <c r="CZ292" s="2" t="s">
        <v>113</v>
      </c>
      <c r="DA292" s="2" t="s">
        <v>3201</v>
      </c>
      <c r="DB292" s="2">
        <v>0</v>
      </c>
      <c r="DC292" s="2">
        <v>1</v>
      </c>
      <c r="DD292" s="2" t="str">
        <f>HYPERLINK("https://www.kegg.jp/kegg-bin/search_pathway_text?map=aga&amp;keyword=AGAP005432&amp;mode=1&amp;viewImage=true","AGAP005432")</f>
        <v>AGAP005432</v>
      </c>
      <c r="DE292" s="2" t="s">
        <v>3192</v>
      </c>
      <c r="DF292" s="2" t="s">
        <v>3193</v>
      </c>
      <c r="DG292" s="2" t="s">
        <v>94</v>
      </c>
      <c r="DH292" s="2" t="str">
        <f>HYPERLINK("https://vectorbase.org/vectorbase/app/record/gene/AGAP005432","AGAP005432-RA")</f>
        <v>AGAP005432-RA</v>
      </c>
      <c r="DI292" s="2" t="s">
        <v>90</v>
      </c>
      <c r="DJ292" s="2">
        <v>587</v>
      </c>
      <c r="DK292" s="2" t="str">
        <f>HYPERLINK(".\links\netoglyc\AGAP005432-PA-netoglyc.txt","0")</f>
        <v>0</v>
      </c>
      <c r="DL292" s="2">
        <v>7</v>
      </c>
      <c r="DM292" s="2">
        <v>3.9</v>
      </c>
      <c r="DN292" s="2">
        <v>3.1</v>
      </c>
      <c r="DO292" s="2" t="s">
        <v>104</v>
      </c>
      <c r="DP292" s="2" t="s">
        <v>102</v>
      </c>
      <c r="DQ292" s="2" t="str">
        <f>HYPERLINK(".\links\Sigp\AGAP005432-PA-SigP.txt","CYT")</f>
        <v>CYT</v>
      </c>
      <c r="DR292" s="2" t="s">
        <v>102</v>
      </c>
      <c r="DS292" s="2">
        <v>14.897</v>
      </c>
      <c r="DT292" s="2">
        <v>4.79</v>
      </c>
      <c r="DU292" s="2" t="s">
        <v>102</v>
      </c>
      <c r="DV292" s="2" t="s">
        <v>102</v>
      </c>
      <c r="DW292" s="2" t="s">
        <v>211</v>
      </c>
      <c r="DX292" s="2">
        <v>129</v>
      </c>
      <c r="DY292" s="12">
        <v>0</v>
      </c>
      <c r="DZ292" s="2" t="s">
        <v>102</v>
      </c>
      <c r="EA292" s="2" t="s">
        <v>102</v>
      </c>
      <c r="EB292" s="2" t="s">
        <v>102</v>
      </c>
      <c r="EC292" s="2" t="str">
        <f>HYPERLINK(".\links\gpi\AGAP005432-PA-gpi.txt","Y-NoSP")</f>
        <v>Y-NoSP</v>
      </c>
      <c r="ED292" s="2">
        <v>0.55000000000000004</v>
      </c>
      <c r="EE292" s="2" t="s">
        <v>3202</v>
      </c>
      <c r="EF292" s="2">
        <v>0</v>
      </c>
      <c r="EG292" s="2" t="s">
        <v>102</v>
      </c>
      <c r="EH292" s="2" t="s">
        <v>102</v>
      </c>
      <c r="EI292" s="2">
        <v>6.9767441860465098</v>
      </c>
      <c r="EJ292" s="2">
        <v>3.1007751937984498</v>
      </c>
      <c r="EK292" s="2">
        <v>3.87596899224806</v>
      </c>
      <c r="EL292" s="2">
        <v>6.9767441860465098</v>
      </c>
      <c r="EM292" s="2" t="s">
        <v>102</v>
      </c>
      <c r="EN292" s="2" t="s">
        <v>102</v>
      </c>
      <c r="EO292" s="2" t="s">
        <v>102</v>
      </c>
      <c r="EP292" s="2" t="s">
        <v>102</v>
      </c>
      <c r="EQ292" s="2" t="s">
        <v>102</v>
      </c>
      <c r="ER292" s="2" t="s">
        <v>102</v>
      </c>
      <c r="ES292" s="2" t="s">
        <v>102</v>
      </c>
      <c r="ET292" s="2" t="str">
        <f>HYPERLINK(".\links\REFSEQ-INVERTEBRATE\AGAP005432-PA-REFSEQ-INVERTEBRATE.txt","AGAP005432-PA")</f>
        <v>AGAP005432-PA</v>
      </c>
      <c r="EU292" s="2" t="str">
        <f>HYPERLINK("http://www.ncbi.nlm.nih.gov/sutils/blink.cgi?pid=XP_315439.4","3E-86")</f>
        <v>3E-86</v>
      </c>
      <c r="EV292" s="2" t="str">
        <f>HYPERLINK("http://www.ncbi.nlm.nih.gov/protein/XP_315439.4","XP_315439.4")</f>
        <v>XP_315439.4</v>
      </c>
      <c r="EW292" s="2">
        <v>100</v>
      </c>
      <c r="EX292" s="2">
        <v>100</v>
      </c>
      <c r="EY292" s="2">
        <v>100</v>
      </c>
      <c r="EZ292" s="2" t="s">
        <v>105</v>
      </c>
    </row>
    <row r="293" spans="1:156" x14ac:dyDescent="0.25">
      <c r="A293" s="2" t="s">
        <v>3203</v>
      </c>
      <c r="B293" s="2">
        <v>0.25692084360782302</v>
      </c>
      <c r="C293" s="2">
        <f t="shared" si="4"/>
        <v>1.1949256410370854</v>
      </c>
      <c r="D293" s="2">
        <v>5.82200672660192</v>
      </c>
      <c r="E293" s="2">
        <v>11.9271970622453</v>
      </c>
      <c r="F293" s="2">
        <v>5.5320346817659097E-4</v>
      </c>
      <c r="G293" s="2">
        <v>2.6293505281983199E-2</v>
      </c>
      <c r="H293" s="2" t="s">
        <v>3204</v>
      </c>
      <c r="I293" s="2" t="s">
        <v>94</v>
      </c>
      <c r="J293" s="2" t="str">
        <f>HYPERLINK("https://vectorbase.org/vectorbase/app/record/gene/AGAP005048","AGAP005048-RA")</f>
        <v>AGAP005048-RA</v>
      </c>
      <c r="K293" s="2" t="str">
        <f>HYPERLINK(".\links\pep\AGAP005048-PA-pep.txt","AGAP005048-PA")</f>
        <v>AGAP005048-PA</v>
      </c>
      <c r="L293" s="12" t="s">
        <v>95</v>
      </c>
      <c r="M293" s="2">
        <v>783</v>
      </c>
      <c r="N293" s="2">
        <v>0</v>
      </c>
      <c r="O293" s="2">
        <v>2</v>
      </c>
      <c r="P293" s="2" t="s">
        <v>3205</v>
      </c>
      <c r="Q293" s="9" t="s">
        <v>3206</v>
      </c>
      <c r="R293" s="2" t="s">
        <v>388</v>
      </c>
      <c r="S293" s="2" t="str">
        <f>HYPERLINK(".\links\KOG\AGAP005048-PA-KOG.txt","KOG")</f>
        <v>KOG</v>
      </c>
      <c r="T293" s="2">
        <v>0</v>
      </c>
      <c r="U293" s="2">
        <v>87</v>
      </c>
      <c r="V293" s="2" t="s">
        <v>3207</v>
      </c>
      <c r="W293" s="10" t="s">
        <v>3208</v>
      </c>
      <c r="X293" s="2" t="s">
        <v>672</v>
      </c>
      <c r="Y293" s="2" t="str">
        <f>HYPERLINK(".\links\KOG\AGAP005048-PA-KOG.txt","KOG")</f>
        <v>KOG</v>
      </c>
      <c r="Z293" s="15">
        <v>0</v>
      </c>
      <c r="AA293" s="2">
        <v>72.900000000000006</v>
      </c>
      <c r="AB293" s="13" t="str">
        <f>HYPERLINK(".\links\pep\AGAP005048-PA-sulf.txt","1")</f>
        <v>1</v>
      </c>
      <c r="AC293" s="13" t="str">
        <f>HYPERLINK(".\links\Sigp\AGAP005048-PA-SigP.txt","CYT")</f>
        <v>CYT</v>
      </c>
      <c r="AD293" s="2" t="s">
        <v>102</v>
      </c>
      <c r="AE293" s="2">
        <v>90.569000000000003</v>
      </c>
      <c r="AF293" s="2">
        <v>5.48</v>
      </c>
      <c r="AG293" s="2" t="s">
        <v>102</v>
      </c>
      <c r="AH293" s="2" t="s">
        <v>102</v>
      </c>
      <c r="AI293" s="2" t="s">
        <v>124</v>
      </c>
      <c r="AJ293" s="13">
        <v>0</v>
      </c>
      <c r="AK293" s="2" t="s">
        <v>102</v>
      </c>
      <c r="AL293" s="2" t="s">
        <v>102</v>
      </c>
      <c r="AM293" s="2" t="s">
        <v>102</v>
      </c>
      <c r="AN293" s="13" t="str">
        <f>HYPERLINK(".\links\gpi\AGAP005048-PA-gpi.txt","N")</f>
        <v>N</v>
      </c>
      <c r="AO293" s="14" t="str">
        <f>HYPERLINK(".\links\netoglyc\AGAP005048-PA-netoglyc.txt","0")</f>
        <v>0</v>
      </c>
      <c r="AP293" s="13">
        <v>12.9</v>
      </c>
      <c r="AQ293" s="2">
        <v>2.4</v>
      </c>
      <c r="AR293" s="2">
        <v>4</v>
      </c>
      <c r="AS293" s="2" t="s">
        <v>104</v>
      </c>
      <c r="AT293" s="9" t="str">
        <f>HYPERLINK(".\links\NR-LIGHT\AGAP005048-PA-NR-LIGHT.txt","AGAP005048-PA")</f>
        <v>AGAP005048-PA</v>
      </c>
      <c r="AU293" s="2" t="str">
        <f>HYPERLINK("http://www.ncbi.nlm.nih.gov/sutils/blink.cgi?pid=XP_313920.4","0.0")</f>
        <v>0.0</v>
      </c>
      <c r="AV293" s="2" t="str">
        <f>HYPERLINK("http://www.ncbi.nlm.nih.gov/protein/XP_313920.4","XP_313920.4")</f>
        <v>XP_313920.4</v>
      </c>
      <c r="AW293" s="2">
        <v>100</v>
      </c>
      <c r="AX293" s="2">
        <v>100</v>
      </c>
      <c r="AY293" s="2">
        <v>100</v>
      </c>
      <c r="AZ293" s="2" t="s">
        <v>105</v>
      </c>
      <c r="BA293" s="9" t="str">
        <f>HYPERLINK(".\links\REFSEQ-INVERTEBRATE\AGAP005048-PA-REFSEQ-INVERTEBRATE.txt","AGAP005048-PA")</f>
        <v>AGAP005048-PA</v>
      </c>
      <c r="BB293" s="2" t="str">
        <f>HYPERLINK("http://www.ncbi.nlm.nih.gov/sutils/blink.cgi?pid=XP_313920.4","0.0")</f>
        <v>0.0</v>
      </c>
      <c r="BC293" s="2" t="str">
        <f>HYPERLINK("http://www.ncbi.nlm.nih.gov/protein/XP_313920.4","XP_313920.4")</f>
        <v>XP_313920.4</v>
      </c>
      <c r="BD293" s="2">
        <v>100</v>
      </c>
      <c r="BE293" s="2">
        <v>100</v>
      </c>
      <c r="BF293" s="2">
        <v>100</v>
      </c>
      <c r="BG293" s="2" t="s">
        <v>105</v>
      </c>
      <c r="BH293" s="9" t="str">
        <f>HYPERLINK(".\links\REFSEQ-PROTOZOA\AGAP005048-PA-REFSEQ-PROTOZOA.txt","hypothetical protein SAMD00019534_096120")</f>
        <v>hypothetical protein SAMD00019534_096120</v>
      </c>
      <c r="BI293" s="2" t="str">
        <f>HYPERLINK("http://www.ncbi.nlm.nih.gov/sutils/blink.cgi?pid=XP_012750533.1","1E-090")</f>
        <v>1E-090</v>
      </c>
      <c r="BJ293" s="2" t="str">
        <f>HYPERLINK("http://www.ncbi.nlm.nih.gov/protein/XP_012750533.1","XP_012750533.1")</f>
        <v>XP_012750533.1</v>
      </c>
      <c r="BK293" s="2">
        <v>28</v>
      </c>
      <c r="BL293" s="2">
        <v>51</v>
      </c>
      <c r="BM293" s="2">
        <v>103</v>
      </c>
      <c r="BN293" s="2" t="s">
        <v>186</v>
      </c>
      <c r="BO293" s="9" t="str">
        <f>HYPERLINK(".\links\SWISSP\AGAP005048-PA-SWISSP.txt","Anaphase-promoting complex subunit 2")</f>
        <v>Anaphase-promoting complex subunit 2</v>
      </c>
      <c r="BP293" s="2" t="str">
        <f>HYPERLINK("http://www.uniprot.org/uniprot/Q9UJX6","1E-122")</f>
        <v>1E-122</v>
      </c>
      <c r="BQ293" s="2" t="str">
        <f>HYPERLINK("http://www.uniprot.org/uniprot/Q9UJX6#expression","Q9UJX6")</f>
        <v>Q9UJX6</v>
      </c>
      <c r="BR293" s="2">
        <v>35</v>
      </c>
      <c r="BS293" s="2">
        <v>53</v>
      </c>
      <c r="BT293" s="2">
        <v>97</v>
      </c>
      <c r="BU293" s="2" t="s">
        <v>127</v>
      </c>
      <c r="BV293" s="9" t="str">
        <f>HYPERLINK(".\links\FLYBASE\AGAP005048-PA-FLYBASE.txt","FBpp0072065")</f>
        <v>FBpp0072065</v>
      </c>
      <c r="BW293" s="2" t="str">
        <f>HYPERLINK("http://flybase.org/reports/FBgn0002791#alliance_summary_container","0.0")</f>
        <v>0.0</v>
      </c>
      <c r="BX293" s="2">
        <v>802</v>
      </c>
      <c r="BY293" s="2">
        <v>43</v>
      </c>
      <c r="BZ293" s="2">
        <v>62</v>
      </c>
      <c r="CA293" s="2">
        <v>100</v>
      </c>
      <c r="CB293" s="9" t="str">
        <f>HYPERLINK(".\links\CDD\AGAP005048-PA-CDD.txt","ANAPC2, Anaphase promoting complex (APC) subunit 2")</f>
        <v>ANAPC2, Anaphase promoting complex (APC) subunit 2</v>
      </c>
      <c r="CC293" s="15">
        <v>9.9999999999999998E-20</v>
      </c>
      <c r="CD293" s="2">
        <v>100</v>
      </c>
      <c r="CE293" s="2" t="s">
        <v>3209</v>
      </c>
      <c r="CF293" s="2" t="s">
        <v>3210</v>
      </c>
      <c r="CG293" s="9" t="str">
        <f>HYPERLINK(".\links\KOG\AGAP005048-PA-KOG.txt","subunit 2")</f>
        <v>subunit 2</v>
      </c>
      <c r="CH293" s="15">
        <v>1E-150</v>
      </c>
      <c r="CI293" s="2">
        <v>87.1</v>
      </c>
      <c r="CJ293" s="2" t="s">
        <v>3211</v>
      </c>
      <c r="CK293" s="2" t="s">
        <v>1171</v>
      </c>
      <c r="CL293" s="9" t="str">
        <f>HYPERLINK(".\links\PFAM\AGAP005048-PA-PFAM.txt","ANAPC2, Anaphase promoting complex (APC) subunit 2")</f>
        <v>ANAPC2, Anaphase promoting complex (APC) subunit 2</v>
      </c>
      <c r="CM293" s="15">
        <v>3.0000000000000003E-20</v>
      </c>
      <c r="CN293" s="2">
        <v>100</v>
      </c>
      <c r="CO293" s="2" t="s">
        <v>3209</v>
      </c>
      <c r="CP293" s="9" t="str">
        <f>HYPERLINK(".\links\SMART\AGAP005048-PA-SMART.txt","APC2, Anaphase promoting complex (APC) subunit 2")</f>
        <v>APC2, Anaphase promoting complex (APC) subunit 2</v>
      </c>
      <c r="CQ293" s="15">
        <v>9.9999999999999995E-21</v>
      </c>
      <c r="CR293" s="2">
        <v>100</v>
      </c>
      <c r="CS293" s="2" t="s">
        <v>3212</v>
      </c>
      <c r="CT293" s="2" t="s">
        <v>3207</v>
      </c>
      <c r="CU293" s="2" t="s">
        <v>3207</v>
      </c>
      <c r="CV293" s="2" t="s">
        <v>3207</v>
      </c>
      <c r="CW293" s="2" t="str">
        <f>HYPERLINK(".\links\pep\AGAP005048-PA-pep.txt","AGAP005048-PA")</f>
        <v>AGAP005048-PA</v>
      </c>
      <c r="CX293" s="2" t="s">
        <v>95</v>
      </c>
      <c r="CY293" s="2">
        <v>783</v>
      </c>
      <c r="CZ293" s="2" t="s">
        <v>113</v>
      </c>
      <c r="DA293" s="2" t="s">
        <v>3213</v>
      </c>
      <c r="DB293" s="2">
        <v>0</v>
      </c>
      <c r="DC293" s="2">
        <v>2</v>
      </c>
      <c r="DD293" s="2" t="str">
        <f>HYPERLINK("https://www.kegg.jp/kegg-bin/search_pathway_text?map=aga&amp;keyword=AGAP005048&amp;mode=1&amp;viewImage=true","AGAP005048")</f>
        <v>AGAP005048</v>
      </c>
      <c r="DE293" s="2" t="s">
        <v>3203</v>
      </c>
      <c r="DF293" s="2" t="s">
        <v>3204</v>
      </c>
      <c r="DG293" s="2" t="s">
        <v>94</v>
      </c>
      <c r="DH293" s="2" t="str">
        <f>HYPERLINK("https://vectorbase.org/vectorbase/app/record/gene/AGAP005048","AGAP005048-RA")</f>
        <v>AGAP005048-RA</v>
      </c>
      <c r="DI293" s="2" t="s">
        <v>135</v>
      </c>
      <c r="DJ293" s="2">
        <v>2352</v>
      </c>
      <c r="DK293" s="2" t="str">
        <f>HYPERLINK(".\links\netoglyc\AGAP005048-PA-netoglyc.txt","0")</f>
        <v>0</v>
      </c>
      <c r="DL293" s="2">
        <v>12.9</v>
      </c>
      <c r="DM293" s="2">
        <v>2.4</v>
      </c>
      <c r="DN293" s="2">
        <v>4</v>
      </c>
      <c r="DO293" s="2" t="s">
        <v>104</v>
      </c>
      <c r="DP293" s="2" t="s">
        <v>102</v>
      </c>
      <c r="DQ293" s="2" t="str">
        <f>HYPERLINK(".\links\Sigp\AGAP005048-PA-SigP.txt","CYT")</f>
        <v>CYT</v>
      </c>
      <c r="DR293" s="2" t="s">
        <v>102</v>
      </c>
      <c r="DS293" s="2">
        <v>90.569000000000003</v>
      </c>
      <c r="DT293" s="2">
        <v>5.48</v>
      </c>
      <c r="DU293" s="2" t="s">
        <v>102</v>
      </c>
      <c r="DV293" s="2" t="s">
        <v>102</v>
      </c>
      <c r="DW293" s="2" t="s">
        <v>124</v>
      </c>
      <c r="DX293" s="2">
        <v>783</v>
      </c>
      <c r="DY293" s="12">
        <v>0</v>
      </c>
      <c r="DZ293" s="2" t="s">
        <v>102</v>
      </c>
      <c r="EA293" s="2" t="s">
        <v>102</v>
      </c>
      <c r="EB293" s="2" t="s">
        <v>102</v>
      </c>
      <c r="EC293" s="2" t="str">
        <f>HYPERLINK(".\links\gpi\AGAP005048-PA-gpi.txt","N")</f>
        <v>N</v>
      </c>
      <c r="ED293" s="2">
        <v>0.19</v>
      </c>
      <c r="EF293" s="2">
        <v>13</v>
      </c>
      <c r="EG293" s="2" t="str">
        <f>HYPERLINK(".\links\pep\AGAP005048-PA-sulf.txt","1")</f>
        <v>1</v>
      </c>
      <c r="EH293" s="2" t="s">
        <v>102</v>
      </c>
      <c r="EI293" s="2">
        <v>12.8991060025543</v>
      </c>
      <c r="EJ293" s="2">
        <v>3.9591315453384399</v>
      </c>
      <c r="EK293" s="2">
        <v>2.4265644955300099</v>
      </c>
      <c r="EL293" s="2">
        <v>6.3856960408684502</v>
      </c>
      <c r="EM293" s="2" t="s">
        <v>102</v>
      </c>
      <c r="EN293" s="2">
        <v>2</v>
      </c>
      <c r="EO293" s="2">
        <v>2</v>
      </c>
      <c r="EP293" s="2" t="s">
        <v>102</v>
      </c>
      <c r="EQ293" s="2" t="s">
        <v>102</v>
      </c>
      <c r="ER293" s="2" t="s">
        <v>102</v>
      </c>
      <c r="ES293" s="2" t="s">
        <v>102</v>
      </c>
      <c r="ET293" s="2" t="str">
        <f>HYPERLINK(".\links\REFSEQ-INVERTEBRATE\AGAP005048-PA-REFSEQ-INVERTEBRATE.txt","AGAP005048-PA")</f>
        <v>AGAP005048-PA</v>
      </c>
      <c r="EU293" s="2" t="str">
        <f>HYPERLINK("http://www.ncbi.nlm.nih.gov/sutils/blink.cgi?pid=XP_313920.4","0.0")</f>
        <v>0.0</v>
      </c>
      <c r="EV293" s="2" t="str">
        <f>HYPERLINK("http://www.ncbi.nlm.nih.gov/protein/XP_313920.4","XP_313920.4")</f>
        <v>XP_313920.4</v>
      </c>
      <c r="EW293" s="2">
        <v>100</v>
      </c>
      <c r="EX293" s="2">
        <v>100</v>
      </c>
      <c r="EY293" s="2">
        <v>100</v>
      </c>
      <c r="EZ293" s="2" t="s">
        <v>105</v>
      </c>
    </row>
    <row r="294" spans="1:156" x14ac:dyDescent="0.25">
      <c r="A294" s="2" t="s">
        <v>3214</v>
      </c>
      <c r="B294" s="2">
        <v>0.25655016323903301</v>
      </c>
      <c r="C294" s="2">
        <f t="shared" si="4"/>
        <v>1.194618660998636</v>
      </c>
      <c r="D294" s="2">
        <v>7.5763581730721201</v>
      </c>
      <c r="E294" s="2">
        <v>8.8230217140971394</v>
      </c>
      <c r="F294" s="2">
        <v>2.9745369022126699E-3</v>
      </c>
      <c r="G294" s="2">
        <v>4.9912704751014197E-2</v>
      </c>
      <c r="H294" s="2" t="s">
        <v>93</v>
      </c>
      <c r="I294" s="2" t="s">
        <v>94</v>
      </c>
      <c r="J294" s="2" t="str">
        <f>HYPERLINK("https://vectorbase.org/vectorbase/app/record/gene/AGAP007202","AGAP007202-RA")</f>
        <v>AGAP007202-RA</v>
      </c>
      <c r="K294" s="2" t="str">
        <f>HYPERLINK(".\links\pep\AGAP007202-PA-pep.txt","AGAP007202-PA")</f>
        <v>AGAP007202-PA</v>
      </c>
      <c r="L294" s="12" t="s">
        <v>95</v>
      </c>
      <c r="M294" s="2">
        <v>241</v>
      </c>
      <c r="N294" s="2">
        <v>0</v>
      </c>
      <c r="O294" s="2">
        <v>0</v>
      </c>
      <c r="P294" s="2" t="s">
        <v>102</v>
      </c>
      <c r="Q294" s="9" t="s">
        <v>3215</v>
      </c>
      <c r="R294" s="2" t="s">
        <v>196</v>
      </c>
      <c r="S294" s="2" t="str">
        <f>HYPERLINK(".\links\REFSEQ-INVERTEBRATE\AGAP007202-PA-REFSEQ-INVERTEBRATE.txt","REFSEQ-INVERTEBRATE")</f>
        <v>REFSEQ-INVERTEBRATE</v>
      </c>
      <c r="T294" s="2">
        <v>0</v>
      </c>
      <c r="U294" s="2">
        <v>100</v>
      </c>
      <c r="V294" s="2" t="s">
        <v>3215</v>
      </c>
      <c r="W294" s="10" t="s">
        <v>197</v>
      </c>
      <c r="X294" s="2" t="s">
        <v>196</v>
      </c>
      <c r="Y294" s="2" t="str">
        <f>HYPERLINK(".\links\ARTHORPODA\AGAP007202-PA-ARTHORPODA.txt","ARTHORPODA")</f>
        <v>ARTHORPODA</v>
      </c>
      <c r="Z294" s="2">
        <v>0</v>
      </c>
      <c r="AA294" s="2">
        <v>100</v>
      </c>
      <c r="AB294" s="13" t="str">
        <f>HYPERLINK(".\links\pep\AGAP007202-PA-sulf.txt","1")</f>
        <v>1</v>
      </c>
      <c r="AC294" s="13" t="str">
        <f>HYPERLINK(".\links\Sigp\AGAP007202-PA-SigP.txt","CYT")</f>
        <v>CYT</v>
      </c>
      <c r="AD294" s="2" t="s">
        <v>102</v>
      </c>
      <c r="AE294" s="2">
        <v>26.751999999999999</v>
      </c>
      <c r="AF294" s="2">
        <v>9.7799999999999994</v>
      </c>
      <c r="AG294" s="2" t="s">
        <v>102</v>
      </c>
      <c r="AH294" s="2" t="s">
        <v>102</v>
      </c>
      <c r="AI294" s="2" t="s">
        <v>211</v>
      </c>
      <c r="AJ294" s="13">
        <v>0</v>
      </c>
      <c r="AK294" s="2" t="s">
        <v>102</v>
      </c>
      <c r="AL294" s="2" t="s">
        <v>102</v>
      </c>
      <c r="AM294" s="2" t="s">
        <v>102</v>
      </c>
      <c r="AN294" s="13" t="str">
        <f>HYPERLINK(".\links\gpi\AGAP007202-PA-gpi.txt","N")</f>
        <v>N</v>
      </c>
      <c r="AO294" s="14" t="str">
        <f>HYPERLINK(".\links\netoglyc\AGAP007202-PA-netoglyc.txt","0")</f>
        <v>0</v>
      </c>
      <c r="AP294" s="13">
        <v>9.5</v>
      </c>
      <c r="AQ294" s="2">
        <v>7.1</v>
      </c>
      <c r="AR294" s="2">
        <v>2.5</v>
      </c>
      <c r="AS294" s="2" t="s">
        <v>104</v>
      </c>
      <c r="AT294" s="9" t="str">
        <f>HYPERLINK(".\links\NR-LIGHT\AGAP007202-PA-NR-LIGHT.txt","AGAP007202-PA")</f>
        <v>AGAP007202-PA</v>
      </c>
      <c r="AU294" s="2" t="str">
        <f>HYPERLINK("http://www.ncbi.nlm.nih.gov/sutils/blink.cgi?pid=XP_565006.2","1E-132")</f>
        <v>1E-132</v>
      </c>
      <c r="AV294" s="2" t="str">
        <f>HYPERLINK("http://www.ncbi.nlm.nih.gov/protein/XP_565006.2","XP_565006.2")</f>
        <v>XP_565006.2</v>
      </c>
      <c r="AW294" s="2">
        <v>100</v>
      </c>
      <c r="AX294" s="2">
        <v>100</v>
      </c>
      <c r="AY294" s="2">
        <v>100</v>
      </c>
      <c r="AZ294" s="2" t="s">
        <v>105</v>
      </c>
      <c r="BA294" s="9" t="str">
        <f>HYPERLINK(".\links\REFSEQ-INVERTEBRATE\AGAP007202-PA-REFSEQ-INVERTEBRATE.txt","AGAP007202-PA")</f>
        <v>AGAP007202-PA</v>
      </c>
      <c r="BB294" s="2" t="str">
        <f>HYPERLINK("http://www.ncbi.nlm.nih.gov/sutils/blink.cgi?pid=XP_565006.2","1E-132")</f>
        <v>1E-132</v>
      </c>
      <c r="BC294" s="2" t="str">
        <f>HYPERLINK("http://www.ncbi.nlm.nih.gov/protein/XP_565006.2","XP_565006.2")</f>
        <v>XP_565006.2</v>
      </c>
      <c r="BD294" s="2">
        <v>100</v>
      </c>
      <c r="BE294" s="2">
        <v>100</v>
      </c>
      <c r="BF294" s="2">
        <v>100</v>
      </c>
      <c r="BG294" s="2" t="s">
        <v>105</v>
      </c>
      <c r="BH294" s="9" t="str">
        <f>HYPERLINK(".\links\REFSEQ-PROTOZOA\AGAP007202-PA-REFSEQ-PROTOZOA.txt","hypothetical protein ACA1_101440")</f>
        <v>hypothetical protein ACA1_101440</v>
      </c>
      <c r="BI294" s="2" t="str">
        <f>HYPERLINK("http://www.ncbi.nlm.nih.gov/sutils/blink.cgi?pid=XP_004334096.1","2E-013")</f>
        <v>2E-013</v>
      </c>
      <c r="BJ294" s="2" t="str">
        <f>HYPERLINK("http://www.ncbi.nlm.nih.gov/protein/XP_004334096.1","XP_004334096.1")</f>
        <v>XP_004334096.1</v>
      </c>
      <c r="BK294" s="2">
        <v>27</v>
      </c>
      <c r="BL294" s="2">
        <v>41</v>
      </c>
      <c r="BM294" s="2">
        <v>87</v>
      </c>
      <c r="BN294" s="2" t="s">
        <v>600</v>
      </c>
      <c r="BO294" s="9" t="str">
        <f>HYPERLINK(".\links\SWISSP\AGAP007202-PA-SWISSP.txt","Uncharacterized protein C7orf50 homolog")</f>
        <v>Uncharacterized protein C7orf50 homolog</v>
      </c>
      <c r="BP294" s="2" t="str">
        <f>HYPERLINK("http://www.uniprot.org/uniprot/Q9CXL3","7E-013")</f>
        <v>7E-013</v>
      </c>
      <c r="BQ294" s="2" t="str">
        <f>HYPERLINK("http://www.uniprot.org/uniprot/Q9CXL3#expression","Q9CXL3")</f>
        <v>Q9CXL3</v>
      </c>
      <c r="BR294" s="2">
        <v>33</v>
      </c>
      <c r="BS294" s="2">
        <v>58</v>
      </c>
      <c r="BT294" s="2">
        <v>71</v>
      </c>
      <c r="BU294" s="2" t="s">
        <v>662</v>
      </c>
      <c r="BV294" s="9" t="str">
        <f>HYPERLINK(".\links\FLYBASE\AGAP007202-PA-FLYBASE.txt","FBpp0072777")</f>
        <v>FBpp0072777</v>
      </c>
      <c r="BW294" s="2" t="str">
        <f>HYPERLINK("http://flybase.org/reports/FBgn0035337#alliance_summary_container","3E-19")</f>
        <v>3E-19</v>
      </c>
      <c r="BX294" s="2">
        <v>277</v>
      </c>
      <c r="BY294" s="2">
        <v>41</v>
      </c>
      <c r="BZ294" s="2">
        <v>61</v>
      </c>
      <c r="CA294" s="2">
        <v>36</v>
      </c>
      <c r="CB294" s="9" t="str">
        <f>HYPERLINK(".\links\CDD\AGAP007202-PA-CDD.txt","DUF2373, Uncharacterized conserved protein (DUF2373)")</f>
        <v>DUF2373, Uncharacterized conserved protein (DUF2373)</v>
      </c>
      <c r="CC294" s="15">
        <v>2.9999999999999998E-15</v>
      </c>
      <c r="CD294" s="2">
        <v>100</v>
      </c>
      <c r="CE294" s="2" t="s">
        <v>3216</v>
      </c>
      <c r="CF294" s="2" t="s">
        <v>3217</v>
      </c>
      <c r="CG294" s="9" t="str">
        <f>HYPERLINK(".\links\KOG\AGAP007202-PA-KOG.txt","Uncharacterized conserved protein")</f>
        <v>Uncharacterized conserved protein</v>
      </c>
      <c r="CH294" s="15">
        <v>6E-10</v>
      </c>
      <c r="CI294" s="2">
        <v>56.8</v>
      </c>
      <c r="CJ294" s="2" t="s">
        <v>3218</v>
      </c>
      <c r="CK294" s="2" t="s">
        <v>284</v>
      </c>
      <c r="CL294" s="9" t="str">
        <f>HYPERLINK(".\links\PFAM\AGAP007202-PA-PFAM.txt","DUF2373, Uncharacterized conserved protein (DUF2373)")</f>
        <v>DUF2373, Uncharacterized conserved protein (DUF2373)</v>
      </c>
      <c r="CM294" s="15">
        <v>5.9999999999999999E-16</v>
      </c>
      <c r="CN294" s="2">
        <v>100</v>
      </c>
      <c r="CO294" s="2" t="s">
        <v>3216</v>
      </c>
      <c r="CP294" s="9" t="str">
        <f>HYPERLINK(".\links\SMART\AGAP007202-PA-SMART.txt","NRF, N-terminal domain in C")</f>
        <v>NRF, N-terminal domain in C</v>
      </c>
      <c r="CQ294" s="15">
        <v>1.5</v>
      </c>
      <c r="CR294" s="2">
        <v>9.1</v>
      </c>
      <c r="CS294" s="2" t="s">
        <v>3219</v>
      </c>
      <c r="CT294" s="2" t="s">
        <v>3215</v>
      </c>
      <c r="CU294" s="2" t="s">
        <v>3215</v>
      </c>
      <c r="CV294" s="2" t="s">
        <v>3215</v>
      </c>
      <c r="CW294" s="2" t="str">
        <f>HYPERLINK(".\links\pep\AGAP007202-PA-pep.txt","AGAP007202-PA")</f>
        <v>AGAP007202-PA</v>
      </c>
      <c r="CX294" s="2" t="s">
        <v>95</v>
      </c>
      <c r="CY294" s="2">
        <v>241</v>
      </c>
      <c r="CZ294" s="2" t="s">
        <v>113</v>
      </c>
      <c r="DA294" s="2" t="s">
        <v>3220</v>
      </c>
      <c r="DB294" s="2">
        <v>0</v>
      </c>
      <c r="DC294" s="2">
        <v>0</v>
      </c>
      <c r="DD294" s="2" t="str">
        <f>HYPERLINK("https://www.kegg.jp/kegg-bin/search_pathway_text?map=aga&amp;keyword=AGAP007202&amp;mode=1&amp;viewImage=true","AGAP007202")</f>
        <v>AGAP007202</v>
      </c>
      <c r="DE294" s="2" t="s">
        <v>3214</v>
      </c>
      <c r="DF294" s="2" t="s">
        <v>93</v>
      </c>
      <c r="DG294" s="2" t="s">
        <v>94</v>
      </c>
      <c r="DH294" s="2" t="str">
        <f>HYPERLINK("https://vectorbase.org/vectorbase/app/record/gene/AGAP007202","AGAP007202-RA")</f>
        <v>AGAP007202-RA</v>
      </c>
      <c r="DI294" s="2" t="s">
        <v>90</v>
      </c>
      <c r="DJ294" s="2">
        <v>773</v>
      </c>
      <c r="DK294" s="2" t="str">
        <f>HYPERLINK(".\links\netoglyc\AGAP007202-PA-netoglyc.txt","0")</f>
        <v>0</v>
      </c>
      <c r="DL294" s="2">
        <v>9.5</v>
      </c>
      <c r="DM294" s="2">
        <v>7.1</v>
      </c>
      <c r="DN294" s="2">
        <v>2.5</v>
      </c>
      <c r="DO294" s="2" t="s">
        <v>104</v>
      </c>
      <c r="DP294" s="2" t="s">
        <v>102</v>
      </c>
      <c r="DQ294" s="2" t="str">
        <f>HYPERLINK(".\links\Sigp\AGAP007202-PA-SigP.txt","CYT")</f>
        <v>CYT</v>
      </c>
      <c r="DR294" s="2" t="s">
        <v>102</v>
      </c>
      <c r="DS294" s="2">
        <v>26.751999999999999</v>
      </c>
      <c r="DT294" s="2">
        <v>9.7799999999999994</v>
      </c>
      <c r="DU294" s="2" t="s">
        <v>102</v>
      </c>
      <c r="DV294" s="2" t="s">
        <v>102</v>
      </c>
      <c r="DW294" s="2" t="s">
        <v>211</v>
      </c>
      <c r="DX294" s="2">
        <v>241</v>
      </c>
      <c r="DY294" s="12">
        <v>0</v>
      </c>
      <c r="DZ294" s="2" t="s">
        <v>102</v>
      </c>
      <c r="EA294" s="2" t="s">
        <v>102</v>
      </c>
      <c r="EB294" s="2" t="s">
        <v>102</v>
      </c>
      <c r="EC294" s="2" t="str">
        <f>HYPERLINK(".\links\gpi\AGAP007202-PA-gpi.txt","Y-NoSP")</f>
        <v>Y-NoSP</v>
      </c>
      <c r="ED294" s="2">
        <v>0.43</v>
      </c>
      <c r="EE294" s="2" t="s">
        <v>3221</v>
      </c>
      <c r="EF294" s="2">
        <v>1</v>
      </c>
      <c r="EG294" s="2" t="str">
        <f>HYPERLINK(".\links\pep\AGAP007202-PA-sulf.txt","1")</f>
        <v>1</v>
      </c>
      <c r="EH294" s="2" t="s">
        <v>102</v>
      </c>
      <c r="EI294" s="2">
        <v>9.5435684647302903</v>
      </c>
      <c r="EJ294" s="2">
        <v>2.4896265560166002</v>
      </c>
      <c r="EK294" s="2">
        <v>7.0539419087136901</v>
      </c>
      <c r="EL294" s="2">
        <v>9.5435684647302903</v>
      </c>
      <c r="EM294" s="2" t="s">
        <v>102</v>
      </c>
      <c r="EN294" s="2">
        <v>4</v>
      </c>
      <c r="EO294" s="2">
        <v>4</v>
      </c>
      <c r="EP294" s="2" t="s">
        <v>102</v>
      </c>
      <c r="EQ294" s="2" t="s">
        <v>102</v>
      </c>
      <c r="ER294" s="2" t="s">
        <v>102</v>
      </c>
      <c r="ES294" s="2" t="s">
        <v>102</v>
      </c>
      <c r="ET294" s="2" t="str">
        <f>HYPERLINK(".\links\REFSEQ-INVERTEBRATE\AGAP007202-PA-REFSEQ-INVERTEBRATE.txt","AGAP007202-PA")</f>
        <v>AGAP007202-PA</v>
      </c>
      <c r="EU294" s="2" t="str">
        <f>HYPERLINK("http://www.ncbi.nlm.nih.gov/sutils/blink.cgi?pid=XP_565006.2","1E-174")</f>
        <v>1E-174</v>
      </c>
      <c r="EV294" s="2" t="str">
        <f>HYPERLINK("http://www.ncbi.nlm.nih.gov/protein/XP_565006.2","XP_565006.2")</f>
        <v>XP_565006.2</v>
      </c>
      <c r="EW294" s="2">
        <v>100</v>
      </c>
      <c r="EX294" s="2">
        <v>100</v>
      </c>
      <c r="EY294" s="2">
        <v>100</v>
      </c>
      <c r="EZ294" s="2" t="s">
        <v>105</v>
      </c>
    </row>
    <row r="295" spans="1:156" x14ac:dyDescent="0.25">
      <c r="A295" s="2" t="s">
        <v>3222</v>
      </c>
      <c r="B295" s="2">
        <v>0.25621498684320199</v>
      </c>
      <c r="C295" s="2">
        <f t="shared" si="4"/>
        <v>1.1943411515758309</v>
      </c>
      <c r="D295" s="2">
        <v>6.76793172621064</v>
      </c>
      <c r="E295" s="2">
        <v>9.6510109994269708</v>
      </c>
      <c r="F295" s="2">
        <v>1.8924739940810501E-3</v>
      </c>
      <c r="G295" s="2">
        <v>4.2483670186033502E-2</v>
      </c>
      <c r="H295" s="2" t="s">
        <v>3223</v>
      </c>
      <c r="I295" s="2" t="s">
        <v>94</v>
      </c>
      <c r="J295" s="2" t="str">
        <f>HYPERLINK("https://vectorbase.org/vectorbase/app/record/gene/AGAP010464","AGAP010464-RA")</f>
        <v>AGAP010464-RA</v>
      </c>
      <c r="K295" s="2" t="str">
        <f>HYPERLINK(".\links\pep\AGAP010464-PA-pep.txt","AGAP010464-PA")</f>
        <v>AGAP010464-PA</v>
      </c>
      <c r="L295" s="12" t="s">
        <v>95</v>
      </c>
      <c r="M295" s="2">
        <v>156</v>
      </c>
      <c r="N295" s="2">
        <v>0</v>
      </c>
      <c r="O295" s="2">
        <v>0</v>
      </c>
      <c r="P295" s="2" t="s">
        <v>3224</v>
      </c>
      <c r="Q295" s="9" t="s">
        <v>3225</v>
      </c>
      <c r="R295" s="2" t="s">
        <v>447</v>
      </c>
      <c r="S295" s="2" t="str">
        <f>HYPERLINK(".\links\KOG\AGAP010464-PA-KOG.txt","KOG")</f>
        <v>KOG</v>
      </c>
      <c r="T295" s="2">
        <v>6E-37</v>
      </c>
      <c r="U295" s="2">
        <v>104.5</v>
      </c>
      <c r="V295" s="2" t="s">
        <v>3226</v>
      </c>
      <c r="W295" s="10" t="s">
        <v>3227</v>
      </c>
      <c r="X295" s="2" t="s">
        <v>345</v>
      </c>
      <c r="Y295" s="2" t="str">
        <f>HYPERLINK(".\links\ARTHORPODA\AGAP010464-PA-ARTHORPODA.txt","ARTHORPODA")</f>
        <v>ARTHORPODA</v>
      </c>
      <c r="Z295" s="15">
        <v>0</v>
      </c>
      <c r="AA295" s="2">
        <v>100</v>
      </c>
      <c r="AB295" s="13" t="s">
        <v>102</v>
      </c>
      <c r="AC295" s="13" t="str">
        <f>HYPERLINK(".\links\Sigp\AGAP010464-PA-SigP.txt","CYT")</f>
        <v>CYT</v>
      </c>
      <c r="AD295" s="2" t="s">
        <v>102</v>
      </c>
      <c r="AE295" s="2">
        <v>17.792000000000002</v>
      </c>
      <c r="AF295" s="2">
        <v>5.0199999999999996</v>
      </c>
      <c r="AG295" s="2" t="s">
        <v>102</v>
      </c>
      <c r="AH295" s="2" t="s">
        <v>102</v>
      </c>
      <c r="AI295" s="2" t="s">
        <v>198</v>
      </c>
      <c r="AJ295" s="13">
        <v>0</v>
      </c>
      <c r="AK295" s="2" t="s">
        <v>102</v>
      </c>
      <c r="AL295" s="2" t="s">
        <v>102</v>
      </c>
      <c r="AM295" s="2" t="s">
        <v>102</v>
      </c>
      <c r="AN295" s="13" t="str">
        <f>HYPERLINK(".\links\gpi\AGAP010464-PA-gpi.txt","N")</f>
        <v>N</v>
      </c>
      <c r="AO295" s="14" t="str">
        <f>HYPERLINK(".\links\netoglyc\AGAP010464-PA-netoglyc.txt","0")</f>
        <v>0</v>
      </c>
      <c r="AP295" s="13">
        <v>10.3</v>
      </c>
      <c r="AQ295" s="2">
        <v>3.2</v>
      </c>
      <c r="AR295" s="2">
        <v>3.8</v>
      </c>
      <c r="AS295" s="2" t="s">
        <v>104</v>
      </c>
      <c r="AT295" s="9" t="str">
        <f>HYPERLINK(".\links\NR-LIGHT\AGAP010464-PA-NR-LIGHT.txt","AGAP010464-PA")</f>
        <v>AGAP010464-PA</v>
      </c>
      <c r="AU295" s="2" t="str">
        <f>HYPERLINK("http://www.ncbi.nlm.nih.gov/sutils/blink.cgi?pid=XP_311483.3","8E-083")</f>
        <v>8E-083</v>
      </c>
      <c r="AV295" s="2" t="str">
        <f>HYPERLINK("http://www.ncbi.nlm.nih.gov/protein/XP_311483.3","XP_311483.3")</f>
        <v>XP_311483.3</v>
      </c>
      <c r="AW295" s="2">
        <v>100</v>
      </c>
      <c r="AX295" s="2">
        <v>100</v>
      </c>
      <c r="AY295" s="2">
        <v>100</v>
      </c>
      <c r="AZ295" s="2" t="s">
        <v>105</v>
      </c>
      <c r="BA295" s="9" t="str">
        <f>HYPERLINK(".\links\REFSEQ-INVERTEBRATE\AGAP010464-PA-REFSEQ-INVERTEBRATE.txt","AGAP010464-PA")</f>
        <v>AGAP010464-PA</v>
      </c>
      <c r="BB295" s="2" t="str">
        <f>HYPERLINK("http://www.ncbi.nlm.nih.gov/sutils/blink.cgi?pid=XP_311483.3","7E-083")</f>
        <v>7E-083</v>
      </c>
      <c r="BC295" s="2" t="str">
        <f>HYPERLINK("http://www.ncbi.nlm.nih.gov/protein/XP_311483.3","XP_311483.3")</f>
        <v>XP_311483.3</v>
      </c>
      <c r="BD295" s="2">
        <v>100</v>
      </c>
      <c r="BE295" s="2">
        <v>100</v>
      </c>
      <c r="BF295" s="2">
        <v>100</v>
      </c>
      <c r="BG295" s="2" t="s">
        <v>105</v>
      </c>
      <c r="BH295" s="9" t="str">
        <f>HYPERLINK(".\links\REFSEQ-PROTOZOA\AGAP010464-PA-REFSEQ-PROTOZOA.txt","putative mitochondrial acyl carrier protein")</f>
        <v>putative mitochondrial acyl carrier protein</v>
      </c>
      <c r="BI295" s="2" t="str">
        <f>HYPERLINK("http://www.ncbi.nlm.nih.gov/sutils/blink.cgi?pid=XP_005766589.1","8E-019")</f>
        <v>8E-019</v>
      </c>
      <c r="BJ295" s="2" t="str">
        <f>HYPERLINK("http://www.ncbi.nlm.nih.gov/protein/XP_005766589.1","XP_005766589.1")</f>
        <v>XP_005766589.1</v>
      </c>
      <c r="BK295" s="2">
        <v>41</v>
      </c>
      <c r="BL295" s="2">
        <v>61</v>
      </c>
      <c r="BM295" s="2">
        <v>92</v>
      </c>
      <c r="BN295" s="2" t="s">
        <v>169</v>
      </c>
      <c r="BO295" s="9" t="str">
        <f>HYPERLINK(".\links\SWISSP\AGAP010464-PA-SWISSP.txt","Acyl carrier protein, mitochondrial")</f>
        <v>Acyl carrier protein, mitochondrial</v>
      </c>
      <c r="BP295" s="2" t="str">
        <f>HYPERLINK("http://www.uniprot.org/uniprot/Q94519","2E-042")</f>
        <v>2E-042</v>
      </c>
      <c r="BQ295" s="2" t="str">
        <f>HYPERLINK("http://www.uniprot.org/uniprot/Q94519#expression","Q94519")</f>
        <v>Q94519</v>
      </c>
      <c r="BR295" s="2">
        <v>78</v>
      </c>
      <c r="BS295" s="2">
        <v>90</v>
      </c>
      <c r="BT295" s="2">
        <v>67</v>
      </c>
      <c r="BU295" s="2" t="s">
        <v>107</v>
      </c>
      <c r="BV295" s="9" t="str">
        <f>HYPERLINK(".\links\FLYBASE\AGAP010464-PA-FLYBASE.txt","FBpp0072569")</f>
        <v>FBpp0072569</v>
      </c>
      <c r="BW295" s="2" t="str">
        <f>HYPERLINK("http://flybase.org/reports/FBgn0011361#alliance_summary_container","1E-57")</f>
        <v>1E-57</v>
      </c>
      <c r="BX295" s="2">
        <v>152</v>
      </c>
      <c r="BY295" s="2">
        <v>78</v>
      </c>
      <c r="BZ295" s="2">
        <v>90</v>
      </c>
      <c r="CA295" s="2">
        <v>67</v>
      </c>
      <c r="CB295" s="9" t="str">
        <f>HYPERLINK(".\links\CDD\AGAP010464-PA-CDD.txt","acpP, acyl carrier protein")</f>
        <v>acpP, acyl carrier protein</v>
      </c>
      <c r="CC295" s="15">
        <v>2E-16</v>
      </c>
      <c r="CD295" s="2">
        <v>75.599999999999994</v>
      </c>
      <c r="CE295" s="2" t="s">
        <v>3228</v>
      </c>
      <c r="CF295" s="2" t="s">
        <v>3229</v>
      </c>
      <c r="CG295" s="9" t="str">
        <f>HYPERLINK(".\links\KOG\AGAP010464-PA-KOG.txt","NDUFAB1/SDAP subunit")</f>
        <v>NDUFAB1/SDAP subunit</v>
      </c>
      <c r="CH295" s="15">
        <v>6E-37</v>
      </c>
      <c r="CI295" s="2">
        <v>104.6</v>
      </c>
      <c r="CJ295" s="2" t="s">
        <v>3230</v>
      </c>
      <c r="CK295" s="2" t="s">
        <v>3231</v>
      </c>
      <c r="CL295" s="9" t="str">
        <f>HYPERLINK(".\links\PFAM\AGAP010464-PA-PFAM.txt","PP-binding, Phosphopantetheine attachment site")</f>
        <v>PP-binding, Phosphopantetheine attachment site</v>
      </c>
      <c r="CM295" s="15">
        <v>1.0000000000000001E-5</v>
      </c>
      <c r="CN295" s="2">
        <v>107.5</v>
      </c>
      <c r="CO295" s="2" t="s">
        <v>3232</v>
      </c>
      <c r="CP295" s="9" t="str">
        <f>HYPERLINK(".\links\SMART\AGAP010464-PA-SMART.txt","PKS_PP, Phosphopantetheine attachment site")</f>
        <v>PKS_PP, Phosphopantetheine attachment site</v>
      </c>
      <c r="CQ295" s="15">
        <v>6.9999999999999999E-4</v>
      </c>
      <c r="CR295" s="2">
        <v>94.2</v>
      </c>
      <c r="CS295" s="2" t="s">
        <v>3233</v>
      </c>
      <c r="CT295" s="2" t="s">
        <v>3226</v>
      </c>
      <c r="CU295" s="2" t="s">
        <v>3226</v>
      </c>
      <c r="CV295" s="2" t="s">
        <v>3226</v>
      </c>
      <c r="CW295" s="2" t="str">
        <f>HYPERLINK(".\links\pep\AGAP010464-PA-pep.txt","AGAP010464-PA")</f>
        <v>AGAP010464-PA</v>
      </c>
      <c r="CX295" s="2" t="s">
        <v>95</v>
      </c>
      <c r="CY295" s="2">
        <v>156</v>
      </c>
      <c r="CZ295" s="2" t="s">
        <v>113</v>
      </c>
      <c r="DA295" s="2" t="s">
        <v>3234</v>
      </c>
      <c r="DB295" s="2">
        <v>0</v>
      </c>
      <c r="DC295" s="2">
        <v>0</v>
      </c>
      <c r="DD295" s="2" t="str">
        <f>HYPERLINK("https://www.kegg.jp/kegg-bin/search_pathway_text?map=aga&amp;keyword=AGAP010464&amp;mode=1&amp;viewImage=true","AGAP010464")</f>
        <v>AGAP010464</v>
      </c>
      <c r="DE295" s="2" t="s">
        <v>3222</v>
      </c>
      <c r="DF295" s="2" t="s">
        <v>3223</v>
      </c>
      <c r="DG295" s="2" t="s">
        <v>94</v>
      </c>
      <c r="DH295" s="2" t="str">
        <f>HYPERLINK("https://vectorbase.org/vectorbase/app/record/gene/AGAP010464","AGAP010464-RA")</f>
        <v>AGAP010464-RA</v>
      </c>
      <c r="DI295" s="2" t="s">
        <v>90</v>
      </c>
      <c r="DJ295" s="2">
        <v>878</v>
      </c>
      <c r="DK295" s="2" t="str">
        <f>HYPERLINK(".\links\netoglyc\AGAP010464-PA-netoglyc.txt","0")</f>
        <v>0</v>
      </c>
      <c r="DL295" s="2">
        <v>10.3</v>
      </c>
      <c r="DM295" s="2">
        <v>3.2</v>
      </c>
      <c r="DN295" s="2">
        <v>3.8</v>
      </c>
      <c r="DO295" s="2" t="s">
        <v>104</v>
      </c>
      <c r="DP295" s="2" t="s">
        <v>102</v>
      </c>
      <c r="DQ295" s="2" t="str">
        <f>HYPERLINK(".\links\Sigp\AGAP010464-PA-SigP.txt","CYT")</f>
        <v>CYT</v>
      </c>
      <c r="DR295" s="2" t="s">
        <v>102</v>
      </c>
      <c r="DS295" s="2">
        <v>17.792000000000002</v>
      </c>
      <c r="DT295" s="2">
        <v>5.0199999999999996</v>
      </c>
      <c r="DU295" s="2" t="s">
        <v>102</v>
      </c>
      <c r="DV295" s="2" t="s">
        <v>102</v>
      </c>
      <c r="DW295" s="2" t="s">
        <v>198</v>
      </c>
      <c r="DX295" s="2">
        <v>156</v>
      </c>
      <c r="DY295" s="12">
        <v>0</v>
      </c>
      <c r="DZ295" s="2" t="s">
        <v>102</v>
      </c>
      <c r="EA295" s="2" t="s">
        <v>102</v>
      </c>
      <c r="EB295" s="2" t="s">
        <v>102</v>
      </c>
      <c r="EC295" s="2" t="str">
        <f>HYPERLINK(".\links\gpi\AGAP010464-PA-gpi.txt","N")</f>
        <v>N</v>
      </c>
      <c r="ED295" s="2">
        <v>0.28000000000000003</v>
      </c>
      <c r="EF295" s="2">
        <v>3</v>
      </c>
      <c r="EG295" s="2" t="s">
        <v>102</v>
      </c>
      <c r="EH295" s="2" t="s">
        <v>102</v>
      </c>
      <c r="EI295" s="2">
        <v>10.2564102564103</v>
      </c>
      <c r="EJ295" s="2">
        <v>3.8461538461538498</v>
      </c>
      <c r="EK295" s="2">
        <v>3.2051282051282102</v>
      </c>
      <c r="EL295" s="2">
        <v>7.0512820512820502</v>
      </c>
      <c r="EM295" s="2" t="s">
        <v>102</v>
      </c>
      <c r="EN295" s="2" t="s">
        <v>102</v>
      </c>
      <c r="EO295" s="2" t="s">
        <v>102</v>
      </c>
      <c r="EP295" s="2" t="s">
        <v>102</v>
      </c>
      <c r="EQ295" s="2" t="s">
        <v>102</v>
      </c>
      <c r="ER295" s="2" t="s">
        <v>102</v>
      </c>
      <c r="ES295" s="2" t="s">
        <v>102</v>
      </c>
      <c r="ET295" s="2" t="str">
        <f>HYPERLINK(".\links\REFSEQ-INVERTEBRATE\AGAP010464-PA-REFSEQ-INVERTEBRATE.txt","AGAP010464-PA")</f>
        <v>AGAP010464-PA</v>
      </c>
      <c r="EU295" s="2" t="str">
        <f>HYPERLINK("http://www.ncbi.nlm.nih.gov/sutils/blink.cgi?pid=XP_311483.3","1E-112")</f>
        <v>1E-112</v>
      </c>
      <c r="EV295" s="2" t="str">
        <f>HYPERLINK("http://www.ncbi.nlm.nih.gov/protein/XP_311483.3","XP_311483.3")</f>
        <v>XP_311483.3</v>
      </c>
      <c r="EW295" s="2">
        <v>100</v>
      </c>
      <c r="EX295" s="2">
        <v>100</v>
      </c>
      <c r="EY295" s="2">
        <v>100</v>
      </c>
      <c r="EZ295" s="2" t="s">
        <v>105</v>
      </c>
    </row>
    <row r="296" spans="1:156" x14ac:dyDescent="0.25">
      <c r="A296" s="2" t="s">
        <v>3235</v>
      </c>
      <c r="B296" s="2">
        <v>0.25603702307236098</v>
      </c>
      <c r="C296" s="2">
        <f t="shared" si="4"/>
        <v>1.1941938326068233</v>
      </c>
      <c r="D296" s="2">
        <v>5.8805536879712399</v>
      </c>
      <c r="E296" s="2">
        <v>9.7039923386860707</v>
      </c>
      <c r="F296" s="2">
        <v>1.83868117389602E-3</v>
      </c>
      <c r="G296" s="2">
        <v>4.1848043807725901E-2</v>
      </c>
      <c r="H296" s="2" t="s">
        <v>3236</v>
      </c>
      <c r="I296" s="2" t="s">
        <v>94</v>
      </c>
      <c r="J296" s="2" t="str">
        <f>HYPERLINK("https://vectorbase.org/vectorbase/app/record/gene/AGAP002898","AGAP002898-RB")</f>
        <v>AGAP002898-RB</v>
      </c>
      <c r="K296" s="2" t="str">
        <f>HYPERLINK(".\links\pep\AGAP002898-PB-pep.txt","AGAP002898-PB")</f>
        <v>AGAP002898-PB</v>
      </c>
      <c r="L296" s="12" t="s">
        <v>95</v>
      </c>
      <c r="M296" s="2">
        <v>263</v>
      </c>
      <c r="N296" s="2">
        <v>0</v>
      </c>
      <c r="O296" s="2">
        <v>0</v>
      </c>
      <c r="P296" s="2" t="s">
        <v>3237</v>
      </c>
      <c r="Q296" s="9" t="s">
        <v>3238</v>
      </c>
      <c r="R296" s="2" t="s">
        <v>318</v>
      </c>
      <c r="S296" s="2" t="str">
        <f>HYPERLINK(".\links\KOG\AGAP002898-PB-KOG.txt","KOG")</f>
        <v>KOG</v>
      </c>
      <c r="T296" s="2">
        <v>0</v>
      </c>
      <c r="U296" s="2">
        <v>100.4</v>
      </c>
      <c r="V296" s="2" t="s">
        <v>3239</v>
      </c>
      <c r="W296" s="10" t="s">
        <v>3240</v>
      </c>
      <c r="X296" s="2" t="s">
        <v>318</v>
      </c>
      <c r="Y296" s="2" t="str">
        <f>HYPERLINK(".\links\UNIPROTKB\AGAP002898-PB-UNIPROTKB.txt","UNIPROTKB")</f>
        <v>UNIPROTKB</v>
      </c>
      <c r="Z296" s="2">
        <v>0</v>
      </c>
      <c r="AA296" s="2">
        <v>86.9</v>
      </c>
      <c r="AB296" s="13" t="s">
        <v>102</v>
      </c>
      <c r="AC296" s="13" t="str">
        <f>HYPERLINK(".\links\Sigp\AGAP002898-PB-SigP.txt","CYT")</f>
        <v>CYT</v>
      </c>
      <c r="AD296" s="2" t="s">
        <v>102</v>
      </c>
      <c r="AE296" s="2">
        <v>29.83</v>
      </c>
      <c r="AF296" s="2">
        <v>8.9600000000000009</v>
      </c>
      <c r="AG296" s="2" t="s">
        <v>102</v>
      </c>
      <c r="AH296" s="2" t="s">
        <v>102</v>
      </c>
      <c r="AI296" s="2" t="s">
        <v>3241</v>
      </c>
      <c r="AJ296" s="13">
        <v>0</v>
      </c>
      <c r="AK296" s="2" t="s">
        <v>102</v>
      </c>
      <c r="AL296" s="2" t="s">
        <v>102</v>
      </c>
      <c r="AM296" s="2" t="s">
        <v>102</v>
      </c>
      <c r="AN296" s="13" t="str">
        <f>HYPERLINK(".\links\gpi\AGAP002898-PB-gpi.txt","N")</f>
        <v>N</v>
      </c>
      <c r="AO296" s="14" t="str">
        <f>HYPERLINK(".\links\netoglyc\AGAP002898-PB-netoglyc.txt","0")</f>
        <v>0</v>
      </c>
      <c r="AP296" s="13">
        <v>10.6</v>
      </c>
      <c r="AQ296" s="2">
        <v>4.5999999999999996</v>
      </c>
      <c r="AR296" s="2">
        <v>7.2</v>
      </c>
      <c r="AS296" s="2" t="s">
        <v>104</v>
      </c>
      <c r="AT296" s="9" t="str">
        <f>HYPERLINK(".\links\NR-LIGHT\AGAP002898-PB-NR-LIGHT.txt","AGAP002898-PB")</f>
        <v>AGAP002898-PB</v>
      </c>
      <c r="AU296" s="2" t="str">
        <f>HYPERLINK("http://www.ncbi.nlm.nih.gov/sutils/blink.cgi?pid=XP_003436289.1","1E-151")</f>
        <v>1E-151</v>
      </c>
      <c r="AV296" s="2" t="str">
        <f>HYPERLINK("http://www.ncbi.nlm.nih.gov/protein/XP_003436289.1","XP_003436289.1")</f>
        <v>XP_003436289.1</v>
      </c>
      <c r="AW296" s="2">
        <v>100</v>
      </c>
      <c r="AX296" s="2">
        <v>100</v>
      </c>
      <c r="AY296" s="2">
        <v>100</v>
      </c>
      <c r="AZ296" s="2" t="s">
        <v>105</v>
      </c>
      <c r="BA296" s="9" t="str">
        <f>HYPERLINK(".\links\REFSEQ-INVERTEBRATE\AGAP002898-PB-REFSEQ-INVERTEBRATE.txt","AGAP002898-PB")</f>
        <v>AGAP002898-PB</v>
      </c>
      <c r="BB296" s="2" t="str">
        <f>HYPERLINK("http://www.ncbi.nlm.nih.gov/sutils/blink.cgi?pid=XP_003436289.1","1E-151")</f>
        <v>1E-151</v>
      </c>
      <c r="BC296" s="2" t="str">
        <f>HYPERLINK("http://www.ncbi.nlm.nih.gov/protein/XP_003436289.1","XP_003436289.1")</f>
        <v>XP_003436289.1</v>
      </c>
      <c r="BD296" s="2">
        <v>100</v>
      </c>
      <c r="BE296" s="2">
        <v>100</v>
      </c>
      <c r="BF296" s="2">
        <v>100</v>
      </c>
      <c r="BG296" s="2" t="s">
        <v>105</v>
      </c>
      <c r="BH296" s="9" t="str">
        <f>HYPERLINK(".\links\REFSEQ-PROTOZOA\AGAP002898-PB-REFSEQ-PROTOZOA.txt","maleylacetoacetate isomerase")</f>
        <v>maleylacetoacetate isomerase</v>
      </c>
      <c r="BI296" s="2" t="str">
        <f>HYPERLINK("http://www.ncbi.nlm.nih.gov/sutils/blink.cgi?pid=XP_004365010.1","1E-069")</f>
        <v>1E-069</v>
      </c>
      <c r="BJ296" s="2" t="str">
        <f>HYPERLINK("http://www.ncbi.nlm.nih.gov/protein/XP_004365010.1","XP_004365010.1")</f>
        <v>XP_004365010.1</v>
      </c>
      <c r="BK296" s="2">
        <v>60</v>
      </c>
      <c r="BL296" s="2">
        <v>75</v>
      </c>
      <c r="BM296" s="2">
        <v>97</v>
      </c>
      <c r="BN296" s="2" t="s">
        <v>106</v>
      </c>
      <c r="BO296" s="9" t="str">
        <f>HYPERLINK(".\links\SWISSP\AGAP002898-PB-SWISSP.txt","Probable maleylacetoacetate isomerase 2")</f>
        <v>Probable maleylacetoacetate isomerase 2</v>
      </c>
      <c r="BP296" s="2" t="str">
        <f>HYPERLINK("http://www.uniprot.org/uniprot/Q9VHD2","1E-113")</f>
        <v>1E-113</v>
      </c>
      <c r="BQ296" s="2" t="str">
        <f>HYPERLINK("http://www.uniprot.org/uniprot/Q9VHD2#expression","Q9VHD2")</f>
        <v>Q9VHD2</v>
      </c>
      <c r="BR296" s="2">
        <v>91</v>
      </c>
      <c r="BS296" s="2">
        <v>97</v>
      </c>
      <c r="BT296" s="2">
        <v>92</v>
      </c>
      <c r="BU296" s="2" t="s">
        <v>107</v>
      </c>
      <c r="BV296" s="9" t="str">
        <f>HYPERLINK(".\links\FLYBASE\AGAP002898-PB-FLYBASE.txt","FBpp0081519")</f>
        <v>FBpp0081519</v>
      </c>
      <c r="BW296" s="2" t="str">
        <f>HYPERLINK("http://flybase.org/reports/FBgn0037697#alliance_summary_container","1E-152")</f>
        <v>1E-152</v>
      </c>
      <c r="BX296" s="2">
        <v>220</v>
      </c>
      <c r="BY296" s="2">
        <v>91</v>
      </c>
      <c r="BZ296" s="2">
        <v>97</v>
      </c>
      <c r="CA296" s="2">
        <v>98</v>
      </c>
      <c r="CB296" s="9" t="str">
        <f>HYPERLINK(".\links\CDD\AGAP002898-PB-CDD.txt","Maleylacetoacetate_isomerase, maleylacetoacetate isomerase")</f>
        <v>Maleylacetoacetate_isomerase, maleylacetoacetate isomerase</v>
      </c>
      <c r="CC296" s="15">
        <v>7.0000000000000006E-83</v>
      </c>
      <c r="CD296" s="2">
        <v>100.5</v>
      </c>
      <c r="CE296" s="2" t="s">
        <v>3242</v>
      </c>
      <c r="CF296" s="2" t="s">
        <v>3243</v>
      </c>
      <c r="CG296" s="9" t="str">
        <f>HYPERLINK(".\links\KOG\AGAP002898-PB-KOG.txt","Glutathione S-transferase")</f>
        <v>Glutathione S-transferase</v>
      </c>
      <c r="CH296" s="15">
        <v>9.9999999999999996E-104</v>
      </c>
      <c r="CI296" s="2">
        <v>100.5</v>
      </c>
      <c r="CJ296" s="2" t="s">
        <v>3244</v>
      </c>
      <c r="CK296" s="2" t="s">
        <v>111</v>
      </c>
      <c r="CL296" s="9" t="str">
        <f>HYPERLINK(".\links\PFAM\AGAP002898-PB-PFAM.txt","GST_N_3, Glutathione S-transferase, N-terminal domain")</f>
        <v>GST_N_3, Glutathione S-transferase, N-terminal domain</v>
      </c>
      <c r="CM296" s="15">
        <v>1E-14</v>
      </c>
      <c r="CN296" s="2">
        <v>106.7</v>
      </c>
      <c r="CO296" s="2" t="s">
        <v>3245</v>
      </c>
      <c r="CP296" s="9" t="str">
        <f>HYPERLINK(".\links\SMART\AGAP002898-PB-SMART.txt","PLAc, Cytoplasmic phospholipase A2, catalytic subunit")</f>
        <v>PLAc, Cytoplasmic phospholipase A2, catalytic subunit</v>
      </c>
      <c r="CQ296" s="15">
        <v>0.21</v>
      </c>
      <c r="CR296" s="2">
        <v>7.3</v>
      </c>
      <c r="CS296" s="2" t="s">
        <v>3246</v>
      </c>
      <c r="CT296" s="2" t="s">
        <v>3239</v>
      </c>
      <c r="CU296" s="2" t="s">
        <v>3239</v>
      </c>
      <c r="CV296" s="2" t="s">
        <v>3239</v>
      </c>
      <c r="CW296" s="2" t="str">
        <f>HYPERLINK(".\links\pep\AGAP002898-PB-pep.txt","AGAP002898-PB")</f>
        <v>AGAP002898-PB</v>
      </c>
      <c r="CX296" s="2" t="s">
        <v>95</v>
      </c>
      <c r="CY296" s="2">
        <v>263</v>
      </c>
      <c r="CZ296" s="2" t="s">
        <v>113</v>
      </c>
      <c r="DA296" s="2" t="s">
        <v>3247</v>
      </c>
      <c r="DB296" s="2">
        <v>0</v>
      </c>
      <c r="DC296" s="2">
        <v>0</v>
      </c>
      <c r="DD296" s="2" t="str">
        <f>HYPERLINK("https://www.kegg.jp/kegg-bin/search_pathway_text?map=aga&amp;keyword=AGAP002898&amp;mode=1&amp;viewImage=true","AGAP002898")</f>
        <v>AGAP002898</v>
      </c>
      <c r="DE296" s="2" t="s">
        <v>3235</v>
      </c>
      <c r="DF296" s="2" t="s">
        <v>3236</v>
      </c>
      <c r="DG296" s="2" t="s">
        <v>94</v>
      </c>
      <c r="DH296" s="2" t="str">
        <f>HYPERLINK("https://vectorbase.org/vectorbase/app/record/gene/AGAP002898","AGAP002898-RB")</f>
        <v>AGAP002898-RB</v>
      </c>
      <c r="DI296" s="2" t="s">
        <v>115</v>
      </c>
      <c r="DJ296" s="2">
        <v>1431</v>
      </c>
      <c r="DK296" s="2" t="str">
        <f>HYPERLINK(".\links\netoglyc\AGAP002898-PB-netoglyc.txt","0")</f>
        <v>0</v>
      </c>
      <c r="DL296" s="2">
        <v>10.6</v>
      </c>
      <c r="DM296" s="2">
        <v>4.5999999999999996</v>
      </c>
      <c r="DN296" s="2">
        <v>7.2</v>
      </c>
      <c r="DO296" s="2" t="s">
        <v>104</v>
      </c>
      <c r="DP296" s="2" t="s">
        <v>102</v>
      </c>
      <c r="DQ296" s="2" t="str">
        <f>HYPERLINK(".\links\Sigp\AGAP002898-PB-SigP.txt","CYT")</f>
        <v>CYT</v>
      </c>
      <c r="DR296" s="2" t="s">
        <v>102</v>
      </c>
      <c r="DS296" s="2">
        <v>29.83</v>
      </c>
      <c r="DT296" s="2">
        <v>8.9600000000000009</v>
      </c>
      <c r="DU296" s="2" t="s">
        <v>102</v>
      </c>
      <c r="DV296" s="2" t="s">
        <v>102</v>
      </c>
      <c r="DW296" s="2" t="s">
        <v>3241</v>
      </c>
      <c r="DX296" s="2">
        <v>263</v>
      </c>
      <c r="DY296" s="12">
        <v>0</v>
      </c>
      <c r="DZ296" s="2" t="s">
        <v>102</v>
      </c>
      <c r="EA296" s="2" t="s">
        <v>102</v>
      </c>
      <c r="EB296" s="2" t="s">
        <v>102</v>
      </c>
      <c r="EC296" s="2" t="str">
        <f>HYPERLINK(".\links\gpi\AGAP002898-PB-gpi.txt","N")</f>
        <v>N</v>
      </c>
      <c r="ED296" s="2">
        <v>0.2</v>
      </c>
      <c r="EF296" s="2">
        <v>8</v>
      </c>
      <c r="EG296" s="2" t="s">
        <v>102</v>
      </c>
      <c r="EH296" s="2" t="s">
        <v>102</v>
      </c>
      <c r="EI296" s="2">
        <v>10.646387832699601</v>
      </c>
      <c r="EJ296" s="2">
        <v>7.2243346007604599</v>
      </c>
      <c r="EK296" s="2">
        <v>4.5627376425855504</v>
      </c>
      <c r="EL296" s="2">
        <v>11.787072243346</v>
      </c>
      <c r="EM296" s="2" t="s">
        <v>102</v>
      </c>
      <c r="EN296" s="2" t="s">
        <v>102</v>
      </c>
      <c r="EO296" s="2" t="s">
        <v>102</v>
      </c>
      <c r="EP296" s="2" t="s">
        <v>102</v>
      </c>
      <c r="EQ296" s="2" t="s">
        <v>102</v>
      </c>
      <c r="ER296" s="2" t="s">
        <v>102</v>
      </c>
      <c r="ES296" s="2" t="s">
        <v>102</v>
      </c>
      <c r="ET296" s="2" t="str">
        <f>HYPERLINK(".\links\REFSEQ-INVERTEBRATE\AGAP002898-PB-REFSEQ-INVERTEBRATE.txt","AGAP002898-PB")</f>
        <v>AGAP002898-PB</v>
      </c>
      <c r="EU296" s="2" t="str">
        <f>HYPERLINK("http://www.ncbi.nlm.nih.gov/sutils/blink.cgi?pid=XP_003436289.1","0.0")</f>
        <v>0.0</v>
      </c>
      <c r="EV296" s="2" t="str">
        <f>HYPERLINK("http://www.ncbi.nlm.nih.gov/protein/XP_003436289.1","XP_003436289.1")</f>
        <v>XP_003436289.1</v>
      </c>
      <c r="EW296" s="2">
        <v>100</v>
      </c>
      <c r="EX296" s="2">
        <v>100</v>
      </c>
      <c r="EY296" s="2">
        <v>100</v>
      </c>
      <c r="EZ296" s="2" t="s">
        <v>105</v>
      </c>
    </row>
    <row r="297" spans="1:156" x14ac:dyDescent="0.25">
      <c r="A297" s="2" t="s">
        <v>3248</v>
      </c>
      <c r="B297" s="2">
        <v>0.25449337803544397</v>
      </c>
      <c r="C297" s="2">
        <f t="shared" si="4"/>
        <v>1.1929167605424915</v>
      </c>
      <c r="D297" s="2">
        <v>7.6433501072362802</v>
      </c>
      <c r="E297" s="2">
        <v>9.6149996878983703</v>
      </c>
      <c r="F297" s="2">
        <v>1.92994495631943E-3</v>
      </c>
      <c r="G297" s="2">
        <v>4.2732150541357102E-2</v>
      </c>
      <c r="H297" s="2" t="s">
        <v>3249</v>
      </c>
      <c r="I297" s="2" t="s">
        <v>94</v>
      </c>
      <c r="J297" s="2" t="str">
        <f>HYPERLINK("https://vectorbase.org/vectorbase/app/record/gene/AGAP010382","AGAP010382-RA")</f>
        <v>AGAP010382-RA</v>
      </c>
      <c r="K297" s="2" t="str">
        <f>HYPERLINK(".\links\pep\AGAP010382-PA-pep.txt","AGAP010382-PA")</f>
        <v>AGAP010382-PA</v>
      </c>
      <c r="L297" s="12" t="s">
        <v>95</v>
      </c>
      <c r="M297" s="2">
        <v>967</v>
      </c>
      <c r="N297" s="2">
        <v>0</v>
      </c>
      <c r="O297" s="2">
        <v>4</v>
      </c>
      <c r="P297" s="2" t="s">
        <v>3250</v>
      </c>
      <c r="Q297" s="9" t="s">
        <v>3251</v>
      </c>
      <c r="R297" s="2" t="s">
        <v>196</v>
      </c>
      <c r="S297" s="2" t="str">
        <f>HYPERLINK(".\links\REFSEQ-INVERTEBRATE\AGAP010382-PA-REFSEQ-INVERTEBRATE.txt","REFSEQ-INVERTEBRATE")</f>
        <v>REFSEQ-INVERTEBRATE</v>
      </c>
      <c r="T297" s="2">
        <v>0</v>
      </c>
      <c r="U297" s="2">
        <v>100</v>
      </c>
      <c r="V297" s="2" t="s">
        <v>3251</v>
      </c>
      <c r="W297" s="10" t="s">
        <v>3252</v>
      </c>
      <c r="X297" s="2" t="s">
        <v>1825</v>
      </c>
      <c r="Y297" s="2" t="str">
        <f>HYPERLINK(".\links\UNIPROTKB\AGAP010382-PA-UNIPROTKB.txt","UNIPROTKB")</f>
        <v>UNIPROTKB</v>
      </c>
      <c r="Z297" s="2">
        <v>0</v>
      </c>
      <c r="AA297" s="2">
        <v>106.8</v>
      </c>
      <c r="AB297" s="13" t="str">
        <f>HYPERLINK(".\links\pep\AGAP010382-PA-sulf.txt","4")</f>
        <v>4</v>
      </c>
      <c r="AC297" s="13" t="str">
        <f>HYPERLINK(".\links\Sigp\AGAP010382-PA-SigP.txt","CYT")</f>
        <v>CYT</v>
      </c>
      <c r="AD297" s="2" t="s">
        <v>102</v>
      </c>
      <c r="AE297" s="2">
        <v>109.675</v>
      </c>
      <c r="AF297" s="2">
        <v>5.27</v>
      </c>
      <c r="AG297" s="2" t="s">
        <v>102</v>
      </c>
      <c r="AH297" s="2" t="s">
        <v>102</v>
      </c>
      <c r="AI297" s="2" t="s">
        <v>611</v>
      </c>
      <c r="AJ297" s="13">
        <v>0</v>
      </c>
      <c r="AK297" s="2" t="s">
        <v>102</v>
      </c>
      <c r="AL297" s="2" t="s">
        <v>102</v>
      </c>
      <c r="AM297" s="2" t="s">
        <v>102</v>
      </c>
      <c r="AN297" s="13" t="str">
        <f>HYPERLINK(".\links\gpi\AGAP010382-PA-gpi.txt","N")</f>
        <v>N</v>
      </c>
      <c r="AO297" s="14" t="str">
        <f>HYPERLINK(".\links\netoglyc\AGAP010382-PA-netoglyc.txt","2")</f>
        <v>2</v>
      </c>
      <c r="AP297" s="13">
        <v>12</v>
      </c>
      <c r="AQ297" s="2">
        <v>6.8</v>
      </c>
      <c r="AR297" s="2">
        <v>4.7</v>
      </c>
      <c r="AS297" s="2">
        <v>0.3</v>
      </c>
      <c r="AT297" s="9" t="str">
        <f>HYPERLINK(".\links\NR-LIGHT\AGAP010382-PA-NR-LIGHT.txt","AGAP010382-PA")</f>
        <v>AGAP010382-PA</v>
      </c>
      <c r="AU297" s="2" t="str">
        <f>HYPERLINK("http://www.ncbi.nlm.nih.gov/sutils/blink.cgi?pid=XP_559074.3","0.0")</f>
        <v>0.0</v>
      </c>
      <c r="AV297" s="2" t="str">
        <f>HYPERLINK("http://www.ncbi.nlm.nih.gov/protein/XP_559074.3","XP_559074.3")</f>
        <v>XP_559074.3</v>
      </c>
      <c r="AW297" s="2">
        <v>100</v>
      </c>
      <c r="AX297" s="2">
        <v>100</v>
      </c>
      <c r="AY297" s="2">
        <v>100</v>
      </c>
      <c r="AZ297" s="2" t="s">
        <v>105</v>
      </c>
      <c r="BA297" s="9" t="str">
        <f>HYPERLINK(".\links\REFSEQ-INVERTEBRATE\AGAP010382-PA-REFSEQ-INVERTEBRATE.txt","AGAP010382-PA")</f>
        <v>AGAP010382-PA</v>
      </c>
      <c r="BB297" s="2" t="str">
        <f>HYPERLINK("http://www.ncbi.nlm.nih.gov/sutils/blink.cgi?pid=XP_559074.3","0.0")</f>
        <v>0.0</v>
      </c>
      <c r="BC297" s="2" t="str">
        <f>HYPERLINK("http://www.ncbi.nlm.nih.gov/protein/XP_559074.3","XP_559074.3")</f>
        <v>XP_559074.3</v>
      </c>
      <c r="BD297" s="2">
        <v>100</v>
      </c>
      <c r="BE297" s="2">
        <v>100</v>
      </c>
      <c r="BF297" s="2">
        <v>100</v>
      </c>
      <c r="BG297" s="2" t="s">
        <v>105</v>
      </c>
      <c r="BH297" s="9" t="str">
        <f>HYPERLINK(".\links\REFSEQ-PROTOZOA\AGAP010382-PA-REFSEQ-PROTOZOA.txt","uncharacterized protein")</f>
        <v>uncharacterized protein</v>
      </c>
      <c r="BI297" s="2" t="str">
        <f>HYPERLINK("http://www.ncbi.nlm.nih.gov/sutils/blink.cgi?pid=XP_012895354.1","1E-023")</f>
        <v>1E-023</v>
      </c>
      <c r="BJ297" s="2" t="str">
        <f>HYPERLINK("http://www.ncbi.nlm.nih.gov/protein/XP_012895354.1","XP_012895354.1")</f>
        <v>XP_012895354.1</v>
      </c>
      <c r="BK297" s="2">
        <v>29</v>
      </c>
      <c r="BL297" s="2">
        <v>49</v>
      </c>
      <c r="BM297" s="2">
        <v>46</v>
      </c>
      <c r="BN297" s="2" t="s">
        <v>1511</v>
      </c>
      <c r="BO297" s="9" t="str">
        <f>HYPERLINK(".\links\SWISSP\AGAP010382-PA-SWISSP.txt","Serrate RNA effector molecule homolog")</f>
        <v>Serrate RNA effector molecule homolog</v>
      </c>
      <c r="BP297" s="2" t="str">
        <f>HYPERLINK("http://www.uniprot.org/uniprot/Q5TUF1","0.0")</f>
        <v>0.0</v>
      </c>
      <c r="BQ297" s="2" t="str">
        <f>HYPERLINK("http://www.uniprot.org/uniprot/Q5TUF1#expression","Q5TUF1")</f>
        <v>Q5TUF1</v>
      </c>
      <c r="BR297" s="2">
        <v>100</v>
      </c>
      <c r="BS297" s="2">
        <v>100</v>
      </c>
      <c r="BT297" s="2">
        <v>100</v>
      </c>
      <c r="BU297" s="2" t="s">
        <v>249</v>
      </c>
      <c r="BV297" s="9" t="str">
        <f>HYPERLINK(".\links\FLYBASE\AGAP010382-PA-FLYBASE.txt","FBpp0302785")</f>
        <v>FBpp0302785</v>
      </c>
      <c r="BW297" s="2" t="str">
        <f>HYPERLINK("http://flybase.org/reports/FBgn0033062#alliance_summary_container","0.0")</f>
        <v>0.0</v>
      </c>
      <c r="BX297" s="2">
        <v>935</v>
      </c>
      <c r="BY297" s="2">
        <v>50</v>
      </c>
      <c r="BZ297" s="2">
        <v>63</v>
      </c>
      <c r="CA297" s="2">
        <v>107</v>
      </c>
      <c r="CB297" s="9" t="str">
        <f>HYPERLINK(".\links\CDD\AGAP010382-PA-CDD.txt","ARS2, Arsenite-resistance protein 2")</f>
        <v>ARS2, Arsenite-resistance protein 2</v>
      </c>
      <c r="CC297" s="15">
        <v>3.9999999999999999E-45</v>
      </c>
      <c r="CD297" s="2">
        <v>101.5</v>
      </c>
      <c r="CE297" s="2" t="s">
        <v>3253</v>
      </c>
      <c r="CF297" s="2" t="s">
        <v>3254</v>
      </c>
      <c r="CG297" s="9" t="str">
        <f>HYPERLINK(".\links\KOG\AGAP010382-PA-KOG.txt","C2H2 Zn-finger protein")</f>
        <v>C2H2 Zn-finger protein</v>
      </c>
      <c r="CH297" s="15">
        <v>6.0000000000000005E-97</v>
      </c>
      <c r="CI297" s="2">
        <v>104.2</v>
      </c>
      <c r="CJ297" s="2" t="s">
        <v>3255</v>
      </c>
      <c r="CK297" s="2" t="s">
        <v>191</v>
      </c>
      <c r="CL297" s="9" t="str">
        <f>HYPERLINK(".\links\PFAM\AGAP010382-PA-PFAM.txt","ARS2, Arsenite-resistance protein 2")</f>
        <v>ARS2, Arsenite-resistance protein 2</v>
      </c>
      <c r="CM297" s="15">
        <v>8.0000000000000002E-46</v>
      </c>
      <c r="CN297" s="2">
        <v>101.5</v>
      </c>
      <c r="CO297" s="2" t="s">
        <v>3253</v>
      </c>
      <c r="CP297" s="9" t="str">
        <f>HYPERLINK(".\links\SMART\AGAP010382-PA-SMART.txt","RRM, RNA recognition motif")</f>
        <v>RRM, RNA recognition motif</v>
      </c>
      <c r="CQ297" s="15">
        <v>7.0000000000000001E-3</v>
      </c>
      <c r="CR297" s="2">
        <v>97.3</v>
      </c>
      <c r="CS297" s="2" t="s">
        <v>1254</v>
      </c>
      <c r="CT297" s="2" t="s">
        <v>3251</v>
      </c>
      <c r="CU297" s="2" t="s">
        <v>3251</v>
      </c>
      <c r="CV297" s="2" t="s">
        <v>3251</v>
      </c>
      <c r="CW297" s="2" t="str">
        <f>HYPERLINK(".\links\pep\AGAP010382-PA-pep.txt","AGAP010382-PA")</f>
        <v>AGAP010382-PA</v>
      </c>
      <c r="CX297" s="2" t="s">
        <v>95</v>
      </c>
      <c r="CY297" s="2">
        <v>967</v>
      </c>
      <c r="CZ297" s="2" t="s">
        <v>113</v>
      </c>
      <c r="DA297" s="2" t="s">
        <v>3256</v>
      </c>
      <c r="DB297" s="2">
        <v>0</v>
      </c>
      <c r="DC297" s="2">
        <v>4</v>
      </c>
      <c r="DD297" s="2" t="str">
        <f>HYPERLINK("https://www.kegg.jp/kegg-bin/search_pathway_text?map=aga&amp;keyword=AGAP010382&amp;mode=1&amp;viewImage=true","AGAP010382")</f>
        <v>AGAP010382</v>
      </c>
      <c r="DE297" s="2" t="s">
        <v>3248</v>
      </c>
      <c r="DF297" s="2" t="s">
        <v>3249</v>
      </c>
      <c r="DG297" s="2" t="s">
        <v>94</v>
      </c>
      <c r="DH297" s="2" t="str">
        <f>HYPERLINK("https://vectorbase.org/vectorbase/app/record/gene/AGAP010382","AGAP010382-RA")</f>
        <v>AGAP010382-RA</v>
      </c>
      <c r="DI297" s="2" t="s">
        <v>90</v>
      </c>
      <c r="DJ297" s="2">
        <v>3347</v>
      </c>
      <c r="DK297" s="2" t="str">
        <f>HYPERLINK(".\links\netoglyc\AGAP010382-PA-netoglyc.txt","2")</f>
        <v>2</v>
      </c>
      <c r="DL297" s="2">
        <v>12</v>
      </c>
      <c r="DM297" s="2">
        <v>6.8</v>
      </c>
      <c r="DN297" s="2">
        <v>4.7</v>
      </c>
      <c r="DO297" s="2">
        <v>0.3</v>
      </c>
      <c r="DP297" s="2" t="s">
        <v>3257</v>
      </c>
      <c r="DQ297" s="2" t="str">
        <f>HYPERLINK(".\links\Sigp\AGAP010382-PA-SigP.txt","CYT")</f>
        <v>CYT</v>
      </c>
      <c r="DR297" s="2" t="s">
        <v>102</v>
      </c>
      <c r="DS297" s="2">
        <v>109.675</v>
      </c>
      <c r="DT297" s="2">
        <v>5.27</v>
      </c>
      <c r="DU297" s="2" t="s">
        <v>102</v>
      </c>
      <c r="DV297" s="2" t="s">
        <v>102</v>
      </c>
      <c r="DW297" s="2" t="s">
        <v>611</v>
      </c>
      <c r="DX297" s="2">
        <v>967</v>
      </c>
      <c r="DY297" s="12">
        <v>0</v>
      </c>
      <c r="DZ297" s="2" t="s">
        <v>102</v>
      </c>
      <c r="EA297" s="2" t="s">
        <v>102</v>
      </c>
      <c r="EB297" s="2" t="s">
        <v>102</v>
      </c>
      <c r="EC297" s="2" t="str">
        <f>HYPERLINK(".\links\gpi\AGAP010382-PA-gpi.txt","N")</f>
        <v>N</v>
      </c>
      <c r="ED297" s="2">
        <v>0.27</v>
      </c>
      <c r="EF297" s="2">
        <v>10</v>
      </c>
      <c r="EG297" s="2" t="str">
        <f>HYPERLINK(".\links\pep\AGAP010382-PA-sulf.txt","4")</f>
        <v>4</v>
      </c>
      <c r="EH297" s="2" t="s">
        <v>102</v>
      </c>
      <c r="EI297" s="2">
        <v>11.9958634953464</v>
      </c>
      <c r="EJ297" s="2">
        <v>4.6535677352637004</v>
      </c>
      <c r="EK297" s="2">
        <v>6.8252326783867598</v>
      </c>
      <c r="EL297" s="2">
        <v>11.4788004136505</v>
      </c>
      <c r="EM297" s="2" t="s">
        <v>102</v>
      </c>
      <c r="EN297" s="2" t="s">
        <v>102</v>
      </c>
      <c r="EO297" s="2">
        <v>2</v>
      </c>
      <c r="EP297" s="2" t="s">
        <v>102</v>
      </c>
      <c r="EQ297" s="2" t="s">
        <v>102</v>
      </c>
      <c r="ER297" s="2" t="s">
        <v>102</v>
      </c>
      <c r="ES297" s="2" t="s">
        <v>102</v>
      </c>
      <c r="ET297" s="2" t="str">
        <f>HYPERLINK(".\links\REFSEQ-INVERTEBRATE\AGAP010382-PA-REFSEQ-INVERTEBRATE.txt","AGAP010382-PA")</f>
        <v>AGAP010382-PA</v>
      </c>
      <c r="EU297" s="2" t="str">
        <f>HYPERLINK("http://www.ncbi.nlm.nih.gov/sutils/blink.cgi?pid=XP_559074.3","0.0")</f>
        <v>0.0</v>
      </c>
      <c r="EV297" s="2" t="str">
        <f>HYPERLINK("http://www.ncbi.nlm.nih.gov/protein/XP_559074.3","XP_559074.3")</f>
        <v>XP_559074.3</v>
      </c>
      <c r="EW297" s="2">
        <v>100</v>
      </c>
      <c r="EX297" s="2">
        <v>100</v>
      </c>
      <c r="EY297" s="2">
        <v>100</v>
      </c>
      <c r="EZ297" s="2" t="s">
        <v>105</v>
      </c>
    </row>
    <row r="298" spans="1:156" x14ac:dyDescent="0.25">
      <c r="A298" s="2" t="s">
        <v>3258</v>
      </c>
      <c r="B298" s="2">
        <v>0.254269002222684</v>
      </c>
      <c r="C298" s="2">
        <f t="shared" si="4"/>
        <v>1.1927312460386683</v>
      </c>
      <c r="D298" s="2">
        <v>8.1538588519825996</v>
      </c>
      <c r="E298" s="2">
        <v>9.86253618273388</v>
      </c>
      <c r="F298" s="2">
        <v>1.6867841614652201E-3</v>
      </c>
      <c r="G298" s="2">
        <v>4.0347713376795401E-2</v>
      </c>
      <c r="H298" s="2" t="s">
        <v>3259</v>
      </c>
      <c r="I298" s="2" t="s">
        <v>94</v>
      </c>
      <c r="J298" s="2" t="str">
        <f>HYPERLINK("https://vectorbase.org/vectorbase/app/record/gene/AGAP012113","AGAP012113-RA")</f>
        <v>AGAP012113-RA</v>
      </c>
      <c r="K298" s="2" t="str">
        <f>HYPERLINK(".\links\pep\AGAP012113-PA-pep.txt","AGAP012113-PA")</f>
        <v>AGAP012113-PA</v>
      </c>
      <c r="L298" s="12" t="s">
        <v>95</v>
      </c>
      <c r="M298" s="2">
        <v>228</v>
      </c>
      <c r="N298" s="2">
        <v>0</v>
      </c>
      <c r="O298" s="2">
        <v>1</v>
      </c>
      <c r="P298" s="2" t="s">
        <v>3260</v>
      </c>
      <c r="Q298" s="9" t="s">
        <v>3261</v>
      </c>
      <c r="R298" s="2" t="s">
        <v>931</v>
      </c>
      <c r="S298" s="2" t="str">
        <f>HYPERLINK(".\links\CDD\AGAP012113-PA-CDD.txt","CDD")</f>
        <v>CDD</v>
      </c>
      <c r="T298" s="2">
        <v>9.999999999999999E-94</v>
      </c>
      <c r="U298" s="2">
        <v>100</v>
      </c>
      <c r="V298" s="2" t="s">
        <v>3262</v>
      </c>
      <c r="W298" s="10" t="s">
        <v>3263</v>
      </c>
      <c r="X298" s="2" t="s">
        <v>822</v>
      </c>
      <c r="Y298" s="2" t="str">
        <f>HYPERLINK(".\links\ARTHORPODA\AGAP012113-PA-ARTHORPODA.txt","ARTHORPODA")</f>
        <v>ARTHORPODA</v>
      </c>
      <c r="Z298" s="2">
        <v>0</v>
      </c>
      <c r="AA298" s="2">
        <v>100</v>
      </c>
      <c r="AB298" s="13" t="str">
        <f>HYPERLINK(".\links\pep\AGAP012113-PA-sulf.txt","1")</f>
        <v>1</v>
      </c>
      <c r="AC298" s="13" t="str">
        <f>HYPERLINK(".\links\Sigp\AGAP012113-PA-SigP.txt","CYT")</f>
        <v>CYT</v>
      </c>
      <c r="AD298" s="2" t="s">
        <v>102</v>
      </c>
      <c r="AE298" s="2">
        <v>25.812999999999999</v>
      </c>
      <c r="AF298" s="2">
        <v>5</v>
      </c>
      <c r="AG298" s="2" t="s">
        <v>102</v>
      </c>
      <c r="AH298" s="2" t="s">
        <v>102</v>
      </c>
      <c r="AI298" s="2" t="s">
        <v>3264</v>
      </c>
      <c r="AJ298" s="13">
        <v>0</v>
      </c>
      <c r="AK298" s="2" t="s">
        <v>102</v>
      </c>
      <c r="AL298" s="2" t="s">
        <v>102</v>
      </c>
      <c r="AM298" s="2" t="s">
        <v>102</v>
      </c>
      <c r="AN298" s="13" t="str">
        <f>HYPERLINK(".\links\gpi\AGAP012113-PA-gpi.txt","N")</f>
        <v>N</v>
      </c>
      <c r="AO298" s="14" t="str">
        <f>HYPERLINK(".\links\netoglyc\AGAP012113-PA-netoglyc.txt","1")</f>
        <v>1</v>
      </c>
      <c r="AP298" s="13">
        <v>11.4</v>
      </c>
      <c r="AQ298" s="2">
        <v>4.4000000000000004</v>
      </c>
      <c r="AR298" s="2">
        <v>6.6</v>
      </c>
      <c r="AS298" s="2" t="s">
        <v>104</v>
      </c>
      <c r="AT298" s="9" t="str">
        <f>HYPERLINK(".\links\NR-LIGHT\AGAP012113-PA-NR-LIGHT.txt","AGAP012113-PA")</f>
        <v>AGAP012113-PA</v>
      </c>
      <c r="AU298" s="2" t="str">
        <f>HYPERLINK("http://www.ncbi.nlm.nih.gov/sutils/blink.cgi?pid=XP_320415.2","1E-129")</f>
        <v>1E-129</v>
      </c>
      <c r="AV298" s="2" t="str">
        <f>HYPERLINK("http://www.ncbi.nlm.nih.gov/protein/XP_320415.2","XP_320415.2")</f>
        <v>XP_320415.2</v>
      </c>
      <c r="AW298" s="2">
        <v>100</v>
      </c>
      <c r="AX298" s="2">
        <v>100</v>
      </c>
      <c r="AY298" s="2">
        <v>100</v>
      </c>
      <c r="AZ298" s="2" t="s">
        <v>105</v>
      </c>
      <c r="BA298" s="9" t="str">
        <f>HYPERLINK(".\links\REFSEQ-INVERTEBRATE\AGAP012113-PA-REFSEQ-INVERTEBRATE.txt","AGAP012113-PA")</f>
        <v>AGAP012113-PA</v>
      </c>
      <c r="BB298" s="2" t="str">
        <f>HYPERLINK("http://www.ncbi.nlm.nih.gov/sutils/blink.cgi?pid=XP_320415.2","1E-129")</f>
        <v>1E-129</v>
      </c>
      <c r="BC298" s="2" t="str">
        <f>HYPERLINK("http://www.ncbi.nlm.nih.gov/protein/XP_320415.2","XP_320415.2")</f>
        <v>XP_320415.2</v>
      </c>
      <c r="BD298" s="2">
        <v>100</v>
      </c>
      <c r="BE298" s="2">
        <v>100</v>
      </c>
      <c r="BF298" s="2">
        <v>100</v>
      </c>
      <c r="BG298" s="2" t="s">
        <v>105</v>
      </c>
      <c r="BH298" s="9" t="str">
        <f>HYPERLINK(".\links\REFSEQ-PROTOZOA\AGAP012113-PA-REFSEQ-PROTOZOA.txt","hypothetical protein DICPUDRAFT_146855")</f>
        <v>hypothetical protein DICPUDRAFT_146855</v>
      </c>
      <c r="BI298" s="2" t="str">
        <f>HYPERLINK("http://www.ncbi.nlm.nih.gov/sutils/blink.cgi?pid=XP_003283238.1","2E-057")</f>
        <v>2E-057</v>
      </c>
      <c r="BJ298" s="2" t="str">
        <f>HYPERLINK("http://www.ncbi.nlm.nih.gov/protein/XP_003283238.1","XP_003283238.1")</f>
        <v>XP_003283238.1</v>
      </c>
      <c r="BK298" s="2">
        <v>48</v>
      </c>
      <c r="BL298" s="2">
        <v>67</v>
      </c>
      <c r="BM298" s="2">
        <v>91</v>
      </c>
      <c r="BN298" s="2" t="s">
        <v>337</v>
      </c>
      <c r="BO298" s="9" t="str">
        <f>HYPERLINK(".\links\SWISSP\AGAP012113-PA-SWISSP.txt","Ubiquitin carboxyl-terminal hydrolase")</f>
        <v>Ubiquitin carboxyl-terminal hydrolase</v>
      </c>
      <c r="BP298" s="2" t="str">
        <f>HYPERLINK("http://www.uniprot.org/uniprot/P35122","9E-071")</f>
        <v>9E-071</v>
      </c>
      <c r="BQ298" s="2" t="str">
        <f>HYPERLINK("http://www.uniprot.org/uniprot/P35122#expression","P35122")</f>
        <v>P35122</v>
      </c>
      <c r="BR298" s="2">
        <v>53</v>
      </c>
      <c r="BS298" s="2">
        <v>73</v>
      </c>
      <c r="BT298" s="2">
        <v>100</v>
      </c>
      <c r="BU298" s="2" t="s">
        <v>107</v>
      </c>
      <c r="BV298" s="9" t="str">
        <f>HYPERLINK(".\links\FLYBASE\AGAP012113-PA-FLYBASE.txt","FBpp0292511")</f>
        <v>FBpp0292511</v>
      </c>
      <c r="BW298" s="2" t="str">
        <f>HYPERLINK("http://flybase.org/reports/FBgn0010288#alliance_summary_container","7E-92")</f>
        <v>7E-92</v>
      </c>
      <c r="BX298" s="2">
        <v>227</v>
      </c>
      <c r="BY298" s="2">
        <v>53</v>
      </c>
      <c r="BZ298" s="2">
        <v>73</v>
      </c>
      <c r="CA298" s="2">
        <v>100</v>
      </c>
      <c r="CB298" s="9" t="str">
        <f>HYPERLINK(".\links\CDD\AGAP012113-PA-CDD.txt","Peptidase_C12_UCH_L1_L3, Cysteine peptidase C12 containing ubiquitin carboxyl-terminal hydrolase (UCH) families L1 and L3")</f>
        <v>Peptidase_C12_UCH_L1_L3, Cysteine peptidase C12 containing ubiquitin carboxyl-terminal hydrolase (UCH) families L1 and L3</v>
      </c>
      <c r="CC298" s="15">
        <v>9.999999999999999E-94</v>
      </c>
      <c r="CD298" s="2">
        <v>100</v>
      </c>
      <c r="CE298" s="2" t="s">
        <v>3265</v>
      </c>
      <c r="CF298" s="2" t="s">
        <v>3266</v>
      </c>
      <c r="CG298" s="9" t="str">
        <f>HYPERLINK(".\links\KOG\AGAP012113-PA-KOG.txt","Ubiquitin C-terminal hydrolase UCHL1")</f>
        <v>Ubiquitin C-terminal hydrolase UCHL1</v>
      </c>
      <c r="CH298" s="15">
        <v>4.9999999999999996E-78</v>
      </c>
      <c r="CI298" s="2">
        <v>100.9</v>
      </c>
      <c r="CJ298" s="2" t="s">
        <v>3267</v>
      </c>
      <c r="CK298" s="2" t="s">
        <v>111</v>
      </c>
      <c r="CL298" s="9" t="str">
        <f>HYPERLINK(".\links\PFAM\AGAP012113-PA-PFAM.txt","Peptidase_C12, Ubiquitin carboxyl-terminal hydrolase, family 1")</f>
        <v>Peptidase_C12, Ubiquitin carboxyl-terminal hydrolase, family 1</v>
      </c>
      <c r="CM298" s="15">
        <v>1E-79</v>
      </c>
      <c r="CN298" s="2">
        <v>101</v>
      </c>
      <c r="CO298" s="2" t="s">
        <v>3268</v>
      </c>
      <c r="CP298" s="9" t="str">
        <f>HYPERLINK(".\links\SMART\AGAP012113-PA-SMART.txt","TOP4c, DNA Topoisomerase IV")</f>
        <v>TOP4c, DNA Topoisomerase IV</v>
      </c>
      <c r="CQ298" s="15">
        <v>0.59</v>
      </c>
      <c r="CR298" s="2">
        <v>7.2</v>
      </c>
      <c r="CS298" s="2" t="s">
        <v>3269</v>
      </c>
      <c r="CT298" s="2" t="s">
        <v>3262</v>
      </c>
      <c r="CU298" s="2" t="s">
        <v>3262</v>
      </c>
      <c r="CV298" s="2" t="s">
        <v>3262</v>
      </c>
      <c r="CW298" s="2" t="str">
        <f>HYPERLINK(".\links\pep\AGAP012113-PA-pep.txt","AGAP012113-PA")</f>
        <v>AGAP012113-PA</v>
      </c>
      <c r="CX298" s="2" t="s">
        <v>95</v>
      </c>
      <c r="CY298" s="2">
        <v>228</v>
      </c>
      <c r="CZ298" s="2" t="s">
        <v>113</v>
      </c>
      <c r="DA298" s="2" t="s">
        <v>3270</v>
      </c>
      <c r="DB298" s="2">
        <v>0</v>
      </c>
      <c r="DC298" s="2">
        <v>1</v>
      </c>
      <c r="DD298" s="2" t="str">
        <f>HYPERLINK("https://www.kegg.jp/kegg-bin/search_pathway_text?map=aga&amp;keyword=AGAP012113&amp;mode=1&amp;viewImage=true","AGAP012113")</f>
        <v>AGAP012113</v>
      </c>
      <c r="DE298" s="2" t="s">
        <v>3258</v>
      </c>
      <c r="DF298" s="2" t="s">
        <v>3259</v>
      </c>
      <c r="DG298" s="2" t="s">
        <v>94</v>
      </c>
      <c r="DH298" s="2" t="str">
        <f>HYPERLINK("https://vectorbase.org/vectorbase/app/record/gene/AGAP012113","AGAP012113-RA")</f>
        <v>AGAP012113-RA</v>
      </c>
      <c r="DI298" s="2" t="s">
        <v>115</v>
      </c>
      <c r="DJ298" s="2">
        <v>1041</v>
      </c>
      <c r="DK298" s="2" t="str">
        <f>HYPERLINK(".\links\netoglyc\AGAP012113-PA-netoglyc.txt","1")</f>
        <v>1</v>
      </c>
      <c r="DL298" s="2">
        <v>11.4</v>
      </c>
      <c r="DM298" s="2">
        <v>4.4000000000000004</v>
      </c>
      <c r="DN298" s="2">
        <v>6.6</v>
      </c>
      <c r="DO298" s="2" t="s">
        <v>104</v>
      </c>
      <c r="DP298" s="2" t="s">
        <v>102</v>
      </c>
      <c r="DQ298" s="2" t="str">
        <f>HYPERLINK(".\links\Sigp\AGAP012113-PA-SigP.txt","CYT")</f>
        <v>CYT</v>
      </c>
      <c r="DR298" s="2" t="s">
        <v>102</v>
      </c>
      <c r="DS298" s="2">
        <v>25.812999999999999</v>
      </c>
      <c r="DT298" s="2">
        <v>5</v>
      </c>
      <c r="DU298" s="2" t="s">
        <v>102</v>
      </c>
      <c r="DV298" s="2" t="s">
        <v>102</v>
      </c>
      <c r="DW298" s="2" t="s">
        <v>3264</v>
      </c>
      <c r="DX298" s="2">
        <v>228</v>
      </c>
      <c r="DY298" s="12">
        <v>0</v>
      </c>
      <c r="DZ298" s="2" t="s">
        <v>102</v>
      </c>
      <c r="EA298" s="2" t="s">
        <v>102</v>
      </c>
      <c r="EB298" s="2" t="s">
        <v>102</v>
      </c>
      <c r="EC298" s="2" t="str">
        <f>HYPERLINK(".\links\gpi\AGAP012113-PA-gpi.txt","N")</f>
        <v>N</v>
      </c>
      <c r="ED298" s="2">
        <v>0.28000000000000003</v>
      </c>
      <c r="EF298" s="2">
        <v>3</v>
      </c>
      <c r="EG298" s="2" t="str">
        <f>HYPERLINK(".\links\pep\AGAP012113-PA-sulf.txt","1")</f>
        <v>1</v>
      </c>
      <c r="EH298" s="2" t="s">
        <v>102</v>
      </c>
      <c r="EI298" s="2">
        <v>11.403508771929801</v>
      </c>
      <c r="EJ298" s="2">
        <v>6.5789473684210504</v>
      </c>
      <c r="EK298" s="2">
        <v>4.3859649122807003</v>
      </c>
      <c r="EL298" s="2">
        <v>10.9649122807018</v>
      </c>
      <c r="EM298" s="2" t="s">
        <v>102</v>
      </c>
      <c r="EN298" s="2" t="s">
        <v>102</v>
      </c>
      <c r="EO298" s="2" t="s">
        <v>102</v>
      </c>
      <c r="EP298" s="2" t="s">
        <v>102</v>
      </c>
      <c r="EQ298" s="2" t="s">
        <v>102</v>
      </c>
      <c r="ER298" s="2" t="s">
        <v>102</v>
      </c>
      <c r="ES298" s="2" t="s">
        <v>102</v>
      </c>
      <c r="ET298" s="2" t="str">
        <f>HYPERLINK(".\links\REFSEQ-INVERTEBRATE\AGAP012113-PA-REFSEQ-INVERTEBRATE.txt","AGAP012113-PA")</f>
        <v>AGAP012113-PA</v>
      </c>
      <c r="EU298" s="2" t="str">
        <f>HYPERLINK("http://www.ncbi.nlm.nih.gov/sutils/blink.cgi?pid=XP_320415.2","1E-169")</f>
        <v>1E-169</v>
      </c>
      <c r="EV298" s="2" t="str">
        <f>HYPERLINK("http://www.ncbi.nlm.nih.gov/protein/XP_320415.2","XP_320415.2")</f>
        <v>XP_320415.2</v>
      </c>
      <c r="EW298" s="2">
        <v>100</v>
      </c>
      <c r="EX298" s="2">
        <v>100</v>
      </c>
      <c r="EY298" s="2">
        <v>100</v>
      </c>
      <c r="EZ298" s="2" t="s">
        <v>105</v>
      </c>
    </row>
    <row r="299" spans="1:156" x14ac:dyDescent="0.25">
      <c r="A299" s="2" t="s">
        <v>3271</v>
      </c>
      <c r="B299" s="2">
        <v>0.25342433583902302</v>
      </c>
      <c r="C299" s="2">
        <f t="shared" si="4"/>
        <v>1.1920331323733524</v>
      </c>
      <c r="D299" s="2">
        <v>6.7757904010260104</v>
      </c>
      <c r="E299" s="2">
        <v>9.1248783430964604</v>
      </c>
      <c r="F299" s="2">
        <v>2.52156652957757E-3</v>
      </c>
      <c r="G299" s="2">
        <v>4.6810324315669602E-2</v>
      </c>
      <c r="H299" s="2" t="s">
        <v>93</v>
      </c>
      <c r="I299" s="2" t="s">
        <v>94</v>
      </c>
      <c r="J299" s="2" t="str">
        <f>HYPERLINK("https://vectorbase.org/vectorbase/app/record/gene/AGAP004889","AGAP004889-RA")</f>
        <v>AGAP004889-RA</v>
      </c>
      <c r="K299" s="2" t="str">
        <f>HYPERLINK(".\links\pep\AGAP004889-PA-pep.txt","AGAP004889-PA")</f>
        <v>AGAP004889-PA</v>
      </c>
      <c r="L299" s="12" t="s">
        <v>95</v>
      </c>
      <c r="M299" s="2">
        <v>192</v>
      </c>
      <c r="N299" s="2">
        <v>0</v>
      </c>
      <c r="O299" s="2">
        <v>1</v>
      </c>
      <c r="P299" s="2" t="s">
        <v>3272</v>
      </c>
      <c r="Q299" s="9" t="s">
        <v>3273</v>
      </c>
      <c r="R299" s="2" t="s">
        <v>822</v>
      </c>
      <c r="S299" s="2" t="str">
        <f>HYPERLINK(".\links\NR-LIGHT\AGAP004889-PA-NR-LIGHT.txt","NR-LIGHT")</f>
        <v>NR-LIGHT</v>
      </c>
      <c r="T299" s="2">
        <v>0</v>
      </c>
      <c r="U299" s="2">
        <v>100</v>
      </c>
      <c r="V299" s="2" t="s">
        <v>3274</v>
      </c>
      <c r="W299" s="10" t="s">
        <v>3275</v>
      </c>
      <c r="X299" s="2" t="s">
        <v>822</v>
      </c>
      <c r="Y299" s="2" t="str">
        <f>HYPERLINK(".\links\EC\AGAP004889-PA-EC.txt","EC")</f>
        <v>EC</v>
      </c>
      <c r="Z299" s="15">
        <v>0</v>
      </c>
      <c r="AA299" s="2">
        <v>100</v>
      </c>
      <c r="AB299" s="13" t="s">
        <v>102</v>
      </c>
      <c r="AC299" s="13" t="str">
        <f>HYPERLINK(".\links\Sigp\AGAP004889-PA-SigP.txt","CYT")</f>
        <v>CYT</v>
      </c>
      <c r="AD299" s="2" t="s">
        <v>102</v>
      </c>
      <c r="AE299" s="2">
        <v>21.663</v>
      </c>
      <c r="AF299" s="2">
        <v>5.96</v>
      </c>
      <c r="AG299" s="2" t="s">
        <v>102</v>
      </c>
      <c r="AH299" s="2" t="s">
        <v>102</v>
      </c>
      <c r="AI299" s="2" t="s">
        <v>555</v>
      </c>
      <c r="AJ299" s="13">
        <v>0</v>
      </c>
      <c r="AK299" s="2" t="s">
        <v>102</v>
      </c>
      <c r="AL299" s="2" t="s">
        <v>102</v>
      </c>
      <c r="AM299" s="2" t="s">
        <v>102</v>
      </c>
      <c r="AN299" s="13" t="str">
        <f>HYPERLINK(".\links\gpi\AGAP004889-PA-gpi.txt","N")</f>
        <v>N</v>
      </c>
      <c r="AO299" s="14" t="str">
        <f>HYPERLINK(".\links\netoglyc\AGAP004889-PA-netoglyc.txt","1")</f>
        <v>1</v>
      </c>
      <c r="AP299" s="13">
        <v>9.9</v>
      </c>
      <c r="AQ299" s="2">
        <v>4.7</v>
      </c>
      <c r="AR299" s="2">
        <v>4.7</v>
      </c>
      <c r="AS299" s="2" t="s">
        <v>104</v>
      </c>
      <c r="AT299" s="9" t="str">
        <f>HYPERLINK(".\links\NR-LIGHT\AGAP004889-PA-NR-LIGHT.txt","AGAP004889-PA")</f>
        <v>AGAP004889-PA</v>
      </c>
      <c r="AU299" s="2" t="str">
        <f>HYPERLINK("http://www.ncbi.nlm.nih.gov/sutils/blink.cgi?pid=XP_314290.2","1E-107")</f>
        <v>1E-107</v>
      </c>
      <c r="AV299" s="2" t="str">
        <f>HYPERLINK("http://www.ncbi.nlm.nih.gov/protein/XP_314290.2","XP_314290.2")</f>
        <v>XP_314290.2</v>
      </c>
      <c r="AW299" s="2">
        <v>100</v>
      </c>
      <c r="AX299" s="2">
        <v>100</v>
      </c>
      <c r="AY299" s="2">
        <v>100</v>
      </c>
      <c r="AZ299" s="2" t="s">
        <v>105</v>
      </c>
      <c r="BA299" s="9" t="str">
        <f>HYPERLINK(".\links\REFSEQ-INVERTEBRATE\AGAP004889-PA-REFSEQ-INVERTEBRATE.txt","AGAP004889-PA")</f>
        <v>AGAP004889-PA</v>
      </c>
      <c r="BB299" s="2" t="str">
        <f>HYPERLINK("http://www.ncbi.nlm.nih.gov/sutils/blink.cgi?pid=XP_314290.2","1E-107")</f>
        <v>1E-107</v>
      </c>
      <c r="BC299" s="2" t="str">
        <f>HYPERLINK("http://www.ncbi.nlm.nih.gov/protein/XP_314290.2","XP_314290.2")</f>
        <v>XP_314290.2</v>
      </c>
      <c r="BD299" s="2">
        <v>100</v>
      </c>
      <c r="BE299" s="2">
        <v>100</v>
      </c>
      <c r="BF299" s="2">
        <v>100</v>
      </c>
      <c r="BG299" s="2" t="s">
        <v>105</v>
      </c>
      <c r="BH299" s="9" t="str">
        <f>HYPERLINK(".\links\REFSEQ-PROTOZOA\AGAP004889-PA-REFSEQ-PROTOZOA.txt","ubiquitin-conjugating enzyme")</f>
        <v>ubiquitin-conjugating enzyme</v>
      </c>
      <c r="BI299" s="2" t="str">
        <f>HYPERLINK("http://www.ncbi.nlm.nih.gov/sutils/blink.cgi?pid=XP_004344504.1","5E-051")</f>
        <v>5E-051</v>
      </c>
      <c r="BJ299" s="2" t="str">
        <f>HYPERLINK("http://www.ncbi.nlm.nih.gov/protein/XP_004344504.1","XP_004344504.1")</f>
        <v>XP_004344504.1</v>
      </c>
      <c r="BK299" s="2">
        <v>53</v>
      </c>
      <c r="BL299" s="2">
        <v>70</v>
      </c>
      <c r="BM299" s="2">
        <v>89</v>
      </c>
      <c r="BN299" s="2" t="s">
        <v>106</v>
      </c>
      <c r="BO299" s="9" t="str">
        <f>HYPERLINK(".\links\SWISSP\AGAP004889-PA-SWISSP.txt","Ubiquitin-conjugating enzyme E2-22 kDa")</f>
        <v>Ubiquitin-conjugating enzyme E2-22 kDa</v>
      </c>
      <c r="BP299" s="2" t="str">
        <f>HYPERLINK("http://www.uniprot.org/uniprot/P52486","6E-085")</f>
        <v>6E-085</v>
      </c>
      <c r="BQ299" s="2" t="str">
        <f>HYPERLINK("http://www.uniprot.org/uniprot/P52486#expression","P52486")</f>
        <v>P52486</v>
      </c>
      <c r="BR299" s="2">
        <v>76</v>
      </c>
      <c r="BS299" s="2">
        <v>87</v>
      </c>
      <c r="BT299" s="2">
        <v>100</v>
      </c>
      <c r="BU299" s="2" t="s">
        <v>107</v>
      </c>
      <c r="BV299" s="9" t="str">
        <f>HYPERLINK(".\links\FLYBASE\AGAP004889-PA-FLYBASE.txt","FBpp0311673")</f>
        <v>FBpp0311673</v>
      </c>
      <c r="BW299" s="2" t="str">
        <f>HYPERLINK("http://flybase.org/reports/FBgn0015321#alliance_summary_container","1E-104")</f>
        <v>1E-104</v>
      </c>
      <c r="BX299" s="2">
        <v>199</v>
      </c>
      <c r="BY299" s="2">
        <v>76</v>
      </c>
      <c r="BZ299" s="2">
        <v>87</v>
      </c>
      <c r="CA299" s="2">
        <v>100</v>
      </c>
      <c r="CB299" s="9" t="str">
        <f>HYPERLINK(".\links\CDD\AGAP004889-PA-CDD.txt","UBCc, Ubiquitin-conjugating enzyme E2, catalytic (UBCc) domain")</f>
        <v>UBCc, Ubiquitin-conjugating enzyme E2, catalytic (UBCc) domain</v>
      </c>
      <c r="CC299" s="15">
        <v>1.9999999999999999E-40</v>
      </c>
      <c r="CD299" s="2">
        <v>102.8</v>
      </c>
      <c r="CE299" s="2" t="s">
        <v>3276</v>
      </c>
      <c r="CF299" s="2" t="s">
        <v>3277</v>
      </c>
      <c r="CG299" s="9" t="str">
        <f>HYPERLINK(".\links\KOG\AGAP004889-PA-KOG.txt","Ubiquitin-protein ligase")</f>
        <v>Ubiquitin-protein ligase</v>
      </c>
      <c r="CH299" s="15">
        <v>8E-78</v>
      </c>
      <c r="CI299" s="2">
        <v>100</v>
      </c>
      <c r="CJ299" s="2" t="s">
        <v>3278</v>
      </c>
      <c r="CK299" s="2" t="s">
        <v>111</v>
      </c>
      <c r="CL299" s="9" t="str">
        <f>HYPERLINK(".\links\PFAM\AGAP004889-PA-PFAM.txt","UQ_con, Ubiquitin-conjugating enzyme")</f>
        <v>UQ_con, Ubiquitin-conjugating enzyme</v>
      </c>
      <c r="CM299" s="15">
        <v>9.9999999999999993E-41</v>
      </c>
      <c r="CN299" s="2">
        <v>102.9</v>
      </c>
      <c r="CO299" s="2" t="s">
        <v>1482</v>
      </c>
      <c r="CP299" s="9" t="str">
        <f>HYPERLINK(".\links\SMART\AGAP004889-PA-SMART.txt","UBCc, Ubiquitin-conjugating enzyme E2, catalytic domain homologues")</f>
        <v>UBCc, Ubiquitin-conjugating enzyme E2, catalytic domain homologues</v>
      </c>
      <c r="CQ299" s="15">
        <v>2.9999999999999999E-38</v>
      </c>
      <c r="CR299" s="2">
        <v>102.1</v>
      </c>
      <c r="CS299" s="2" t="s">
        <v>1485</v>
      </c>
      <c r="CT299" s="2" t="s">
        <v>3274</v>
      </c>
      <c r="CU299" s="2" t="s">
        <v>3274</v>
      </c>
      <c r="CV299" s="2" t="s">
        <v>3274</v>
      </c>
      <c r="CW299" s="2" t="str">
        <f>HYPERLINK(".\links\pep\AGAP004889-PA-pep.txt","AGAP004889-PA")</f>
        <v>AGAP004889-PA</v>
      </c>
      <c r="CX299" s="2" t="s">
        <v>95</v>
      </c>
      <c r="CY299" s="2">
        <v>199</v>
      </c>
      <c r="CZ299" s="2" t="s">
        <v>113</v>
      </c>
      <c r="DA299" s="2" t="s">
        <v>3279</v>
      </c>
      <c r="DB299" s="2">
        <v>0</v>
      </c>
      <c r="DC299" s="2">
        <v>1</v>
      </c>
      <c r="DD299" s="2" t="str">
        <f>HYPERLINK("https://www.kegg.jp/kegg-bin/search_pathway_text?map=aga&amp;keyword=AGAP004889&amp;mode=1&amp;viewImage=true","AGAP004889")</f>
        <v>AGAP004889</v>
      </c>
      <c r="DE299" s="2" t="s">
        <v>3271</v>
      </c>
      <c r="DF299" s="2" t="s">
        <v>93</v>
      </c>
      <c r="DG299" s="2" t="s">
        <v>94</v>
      </c>
      <c r="DH299" s="2" t="str">
        <f>HYPERLINK("https://vectorbase.org/vectorbase/app/record/gene/AGAP004889","AGAP004889-RA")</f>
        <v>AGAP004889-RA</v>
      </c>
      <c r="DI299" s="2" t="s">
        <v>135</v>
      </c>
      <c r="DJ299" s="2">
        <v>1519</v>
      </c>
      <c r="DK299" s="2" t="str">
        <f>HYPERLINK(".\links\netoglyc\AGAP004889-PA-netoglyc.txt","1")</f>
        <v>1</v>
      </c>
      <c r="DL299" s="2">
        <v>10.1</v>
      </c>
      <c r="DM299" s="2">
        <v>4</v>
      </c>
      <c r="DN299" s="2">
        <v>6</v>
      </c>
      <c r="DO299" s="2" t="s">
        <v>104</v>
      </c>
      <c r="DP299" s="2" t="s">
        <v>3280</v>
      </c>
      <c r="DQ299" s="2" t="str">
        <f>HYPERLINK(".\links\Sigp\AGAP004889-PA-SigP.txt","CYT")</f>
        <v>CYT</v>
      </c>
      <c r="DR299" s="2" t="s">
        <v>102</v>
      </c>
      <c r="DS299" s="2">
        <v>22.538</v>
      </c>
      <c r="DT299" s="2">
        <v>5.75</v>
      </c>
      <c r="DU299" s="2" t="s">
        <v>102</v>
      </c>
      <c r="DV299" s="2" t="s">
        <v>102</v>
      </c>
      <c r="DW299" s="2" t="s">
        <v>2739</v>
      </c>
      <c r="DX299" s="2">
        <v>199</v>
      </c>
      <c r="DY299" s="12">
        <v>0</v>
      </c>
      <c r="DZ299" s="2" t="s">
        <v>102</v>
      </c>
      <c r="EA299" s="2" t="s">
        <v>102</v>
      </c>
      <c r="EB299" s="2" t="s">
        <v>102</v>
      </c>
      <c r="EC299" s="2" t="str">
        <f>HYPERLINK(".\links\gpi\AGAP004889-PA-gpi.txt","N")</f>
        <v>N</v>
      </c>
      <c r="ED299" s="2">
        <v>0.21</v>
      </c>
      <c r="EF299" s="2">
        <v>2</v>
      </c>
      <c r="EG299" s="2" t="s">
        <v>102</v>
      </c>
      <c r="EH299" s="2" t="s">
        <v>102</v>
      </c>
      <c r="EI299" s="2">
        <v>10.050251256281401</v>
      </c>
      <c r="EJ299" s="2">
        <v>6.0301507537688401</v>
      </c>
      <c r="EK299" s="2">
        <v>4.0201005025125598</v>
      </c>
      <c r="EL299" s="2">
        <v>10.050251256281401</v>
      </c>
      <c r="EM299" s="2" t="s">
        <v>102</v>
      </c>
      <c r="EN299" s="2" t="s">
        <v>102</v>
      </c>
      <c r="EO299" s="2" t="s">
        <v>102</v>
      </c>
      <c r="EP299" s="2" t="s">
        <v>102</v>
      </c>
      <c r="EQ299" s="2" t="s">
        <v>102</v>
      </c>
      <c r="ER299" s="2" t="s">
        <v>102</v>
      </c>
      <c r="ES299" s="2" t="s">
        <v>102</v>
      </c>
      <c r="ET299" s="2" t="str">
        <f>HYPERLINK(".\links\REFSEQ-INVERTEBRATE\AGAP004889-PA-REFSEQ-INVERTEBRATE.txt","ubiquitin-conjugating enzyme E2-22 kDa")</f>
        <v>ubiquitin-conjugating enzyme E2-22 kDa</v>
      </c>
      <c r="EU299" s="2" t="str">
        <f>HYPERLINK("http://www.ncbi.nlm.nih.gov/sutils/blink.cgi?pid=XP_035912421.1","1E-137")</f>
        <v>1E-137</v>
      </c>
      <c r="EV299" s="2" t="str">
        <f>HYPERLINK("http://www.ncbi.nlm.nih.gov/protein/XP_035912421.1","XP_035912421.1")</f>
        <v>XP_035912421.1</v>
      </c>
      <c r="EW299" s="2">
        <v>97</v>
      </c>
      <c r="EX299" s="2">
        <v>98</v>
      </c>
      <c r="EY299" s="2">
        <v>100</v>
      </c>
      <c r="EZ299" s="2" t="s">
        <v>370</v>
      </c>
    </row>
    <row r="300" spans="1:156" x14ac:dyDescent="0.25">
      <c r="A300" s="2" t="s">
        <v>3281</v>
      </c>
      <c r="B300" s="2">
        <v>0.25230520067481799</v>
      </c>
      <c r="C300" s="2">
        <f t="shared" si="4"/>
        <v>1.1911088005744892</v>
      </c>
      <c r="D300" s="2">
        <v>6.4863201289403403</v>
      </c>
      <c r="E300" s="2">
        <v>9.6112445091499197</v>
      </c>
      <c r="F300" s="2">
        <v>1.93389539740693E-3</v>
      </c>
      <c r="G300" s="2">
        <v>4.2732150541357102E-2</v>
      </c>
      <c r="H300" s="2" t="s">
        <v>93</v>
      </c>
      <c r="I300" s="2" t="s">
        <v>94</v>
      </c>
      <c r="J300" s="2" t="str">
        <f>HYPERLINK("https://vectorbase.org/vectorbase/app/record/gene/AGAP002705","AGAP002705-RA")</f>
        <v>AGAP002705-RA</v>
      </c>
      <c r="K300" s="2" t="str">
        <f>HYPERLINK(".\links\pep\AGAP002705-PA-pep.txt","AGAP002705-PA")</f>
        <v>AGAP002705-PA</v>
      </c>
      <c r="L300" s="12" t="s">
        <v>95</v>
      </c>
      <c r="M300" s="2">
        <v>660</v>
      </c>
      <c r="N300" s="2">
        <v>0</v>
      </c>
      <c r="O300" s="2">
        <v>1</v>
      </c>
      <c r="P300" s="2" t="s">
        <v>102</v>
      </c>
      <c r="Q300" s="9" t="s">
        <v>738</v>
      </c>
      <c r="R300" s="2" t="s">
        <v>420</v>
      </c>
      <c r="S300" s="2" t="str">
        <f>HYPERLINK(".\links\KOG\AGAP002705-PA-KOG.txt","KOG")</f>
        <v>KOG</v>
      </c>
      <c r="T300" s="2">
        <v>7.0000000000000004E-25</v>
      </c>
      <c r="U300" s="2">
        <v>51.9</v>
      </c>
      <c r="V300" s="2" t="s">
        <v>3282</v>
      </c>
      <c r="W300" s="10" t="s">
        <v>3283</v>
      </c>
      <c r="X300" s="2" t="s">
        <v>420</v>
      </c>
      <c r="Y300" s="2" t="str">
        <f>HYPERLINK(".\links\UNIPROTKB\AGAP002705-PA-UNIPROTKB.txt","UNIPROTKB")</f>
        <v>UNIPROTKB</v>
      </c>
      <c r="Z300" s="15">
        <v>4.9999999999999998E-58</v>
      </c>
      <c r="AA300" s="2">
        <v>45.7</v>
      </c>
      <c r="AB300" s="13" t="str">
        <f>HYPERLINK(".\links\pep\AGAP002705-PA-sulf.txt","7")</f>
        <v>7</v>
      </c>
      <c r="AC300" s="13" t="str">
        <f>HYPERLINK(".\links\Sigp\AGAP002705-PA-SigP.txt","CYT")</f>
        <v>CYT</v>
      </c>
      <c r="AD300" s="2" t="s">
        <v>102</v>
      </c>
      <c r="AE300" s="2">
        <v>75.941000000000003</v>
      </c>
      <c r="AF300" s="2">
        <v>5.25</v>
      </c>
      <c r="AG300" s="2" t="s">
        <v>102</v>
      </c>
      <c r="AH300" s="2" t="s">
        <v>102</v>
      </c>
      <c r="AI300" s="2" t="s">
        <v>211</v>
      </c>
      <c r="AJ300" s="13">
        <v>0</v>
      </c>
      <c r="AK300" s="2" t="s">
        <v>102</v>
      </c>
      <c r="AL300" s="2" t="s">
        <v>102</v>
      </c>
      <c r="AM300" s="2" t="s">
        <v>102</v>
      </c>
      <c r="AN300" s="13" t="str">
        <f>HYPERLINK(".\links\gpi\AGAP002705-PA-gpi.txt","N")</f>
        <v>N</v>
      </c>
      <c r="AO300" s="14" t="str">
        <f>HYPERLINK(".\links\netoglyc\AGAP002705-PA-netoglyc.txt","0")</f>
        <v>0</v>
      </c>
      <c r="AP300" s="13">
        <v>10.5</v>
      </c>
      <c r="AQ300" s="2">
        <v>3.9</v>
      </c>
      <c r="AR300" s="2">
        <v>4.8</v>
      </c>
      <c r="AS300" s="2" t="s">
        <v>104</v>
      </c>
      <c r="AT300" s="9" t="str">
        <f>HYPERLINK(".\links\NR-LIGHT\AGAP002705-PA-NR-LIGHT.txt","AGAP002705-PA")</f>
        <v>AGAP002705-PA</v>
      </c>
      <c r="AU300" s="2" t="str">
        <f>HYPERLINK("http://www.ncbi.nlm.nih.gov/sutils/blink.cgi?pid=XP_312223.5","0.0")</f>
        <v>0.0</v>
      </c>
      <c r="AV300" s="2" t="str">
        <f>HYPERLINK("http://www.ncbi.nlm.nih.gov/protein/XP_312223.5","XP_312223.5")</f>
        <v>XP_312223.5</v>
      </c>
      <c r="AW300" s="2">
        <v>100</v>
      </c>
      <c r="AX300" s="2">
        <v>100</v>
      </c>
      <c r="AY300" s="2">
        <v>100</v>
      </c>
      <c r="AZ300" s="2" t="s">
        <v>105</v>
      </c>
      <c r="BA300" s="9" t="str">
        <f>HYPERLINK(".\links\REFSEQ-INVERTEBRATE\AGAP002705-PA-REFSEQ-INVERTEBRATE.txt","AGAP002705-PA")</f>
        <v>AGAP002705-PA</v>
      </c>
      <c r="BB300" s="2" t="str">
        <f>HYPERLINK("http://www.ncbi.nlm.nih.gov/sutils/blink.cgi?pid=XP_312223.5","0.0")</f>
        <v>0.0</v>
      </c>
      <c r="BC300" s="2" t="str">
        <f>HYPERLINK("http://www.ncbi.nlm.nih.gov/protein/XP_312223.5","XP_312223.5")</f>
        <v>XP_312223.5</v>
      </c>
      <c r="BD300" s="2">
        <v>100</v>
      </c>
      <c r="BE300" s="2">
        <v>100</v>
      </c>
      <c r="BF300" s="2">
        <v>100</v>
      </c>
      <c r="BG300" s="2" t="s">
        <v>105</v>
      </c>
      <c r="BH300" s="9" t="str">
        <f>HYPERLINK(".\links\REFSEQ-PROTOZOA\AGAP002705-PA-REFSEQ-PROTOZOA.txt","zinc finger protein")</f>
        <v>zinc finger protein</v>
      </c>
      <c r="BI300" s="2" t="str">
        <f>HYPERLINK("http://www.ncbi.nlm.nih.gov/sutils/blink.cgi?pid=XP_004989424.1","9E-040")</f>
        <v>9E-040</v>
      </c>
      <c r="BJ300" s="2" t="str">
        <f>HYPERLINK("http://www.ncbi.nlm.nih.gov/protein/XP_004989424.1","XP_004989424.1")</f>
        <v>XP_004989424.1</v>
      </c>
      <c r="BK300" s="2">
        <v>33</v>
      </c>
      <c r="BL300" s="2">
        <v>45</v>
      </c>
      <c r="BM300" s="2">
        <v>59</v>
      </c>
      <c r="BN300" s="2" t="s">
        <v>435</v>
      </c>
      <c r="BO300" s="9" t="str">
        <f>HYPERLINK(".\links\SWISSP\AGAP002705-PA-SWISSP.txt","Zinc finger protein 226")</f>
        <v>Zinc finger protein 226</v>
      </c>
      <c r="BP300" s="2" t="str">
        <f>HYPERLINK("http://www.uniprot.org/uniprot/Q9NYT6","5E-058")</f>
        <v>5E-058</v>
      </c>
      <c r="BQ300" s="2" t="str">
        <f>HYPERLINK("http://www.uniprot.org/uniprot/Q9NYT6#expression","Q9NYT6")</f>
        <v>Q9NYT6</v>
      </c>
      <c r="BR300" s="2">
        <v>40</v>
      </c>
      <c r="BS300" s="2">
        <v>54</v>
      </c>
      <c r="BT300" s="2">
        <v>35</v>
      </c>
      <c r="BU300" s="2" t="s">
        <v>127</v>
      </c>
      <c r="BV300" s="9" t="str">
        <f>HYPERLINK(".\links\FLYBASE\AGAP002705-PA-FLYBASE.txt","FBpp0073236")</f>
        <v>FBpp0073236</v>
      </c>
      <c r="BW300" s="2" t="str">
        <f>HYPERLINK("http://flybase.org/reports/FBgn0030240#alliance_summary_container","2E-60")</f>
        <v>2E-60</v>
      </c>
      <c r="BX300" s="2">
        <v>889</v>
      </c>
      <c r="BY300" s="2">
        <v>37</v>
      </c>
      <c r="BZ300" s="2">
        <v>51</v>
      </c>
      <c r="CA300" s="2">
        <v>35</v>
      </c>
      <c r="CB300" s="9" t="str">
        <f>HYPERLINK(".\links\CDD\AGAP002705-PA-CDD.txt","ZF_C2H2, Zinc finger, C2H2 type")</f>
        <v>ZF_C2H2, Zinc finger, C2H2 type</v>
      </c>
      <c r="CC300" s="15">
        <v>1E-26</v>
      </c>
      <c r="CD300" s="2">
        <v>100</v>
      </c>
      <c r="CE300" s="2" t="s">
        <v>569</v>
      </c>
      <c r="CF300" s="2" t="s">
        <v>3284</v>
      </c>
      <c r="CG300" s="9" t="str">
        <f>HYPERLINK(".\links\KOG\AGAP002705-PA-KOG.txt","C2H2-type Zn-finger protein")</f>
        <v>C2H2-type Zn-finger protein</v>
      </c>
      <c r="CH300" s="15">
        <v>7.0000000000000004E-25</v>
      </c>
      <c r="CI300" s="2">
        <v>52</v>
      </c>
      <c r="CJ300" s="2" t="s">
        <v>743</v>
      </c>
      <c r="CK300" s="2" t="s">
        <v>309</v>
      </c>
      <c r="CL300" s="9" t="str">
        <f>HYPERLINK(".\links\PFAM\AGAP002705-PA-PFAM.txt","zf-H2C2_2, Zinc-finger double domain")</f>
        <v>zf-H2C2_2, Zinc-finger double domain</v>
      </c>
      <c r="CM300" s="15">
        <v>2.0000000000000001E-4</v>
      </c>
      <c r="CN300" s="2">
        <v>88.5</v>
      </c>
      <c r="CO300" s="2" t="s">
        <v>3285</v>
      </c>
      <c r="CP300" s="9" t="str">
        <f>HYPERLINK(".\links\SMART\AGAP002705-PA-SMART.txt","zf-AD, Zinc-finger associated domain (zf-AD)")</f>
        <v>zf-AD, Zinc-finger associated domain (zf-AD)</v>
      </c>
      <c r="CQ300" s="15">
        <v>3.0000000000000001E-5</v>
      </c>
      <c r="CR300" s="2">
        <v>63</v>
      </c>
      <c r="CS300" s="2" t="s">
        <v>684</v>
      </c>
      <c r="CT300" s="2" t="s">
        <v>3282</v>
      </c>
      <c r="CU300" s="2" t="s">
        <v>3282</v>
      </c>
      <c r="CV300" s="2" t="s">
        <v>3282</v>
      </c>
      <c r="CW300" s="2" t="str">
        <f>HYPERLINK(".\links\pep\AGAP002705-PA-pep.txt","AGAP002705-PA")</f>
        <v>AGAP002705-PA</v>
      </c>
      <c r="CX300" s="2" t="s">
        <v>95</v>
      </c>
      <c r="CY300" s="2">
        <v>660</v>
      </c>
      <c r="CZ300" s="2" t="s">
        <v>113</v>
      </c>
      <c r="DA300" s="2" t="s">
        <v>3286</v>
      </c>
      <c r="DB300" s="2">
        <v>0</v>
      </c>
      <c r="DC300" s="2">
        <v>1</v>
      </c>
      <c r="DD300" s="2" t="str">
        <f>HYPERLINK("https://www.kegg.jp/kegg-bin/search_pathway_text?map=aga&amp;keyword=AGAP002705&amp;mode=1&amp;viewImage=true","AGAP002705")</f>
        <v>AGAP002705</v>
      </c>
      <c r="DE300" s="2" t="s">
        <v>3281</v>
      </c>
      <c r="DF300" s="2" t="s">
        <v>93</v>
      </c>
      <c r="DG300" s="2" t="s">
        <v>94</v>
      </c>
      <c r="DH300" s="2" t="str">
        <f>HYPERLINK("https://vectorbase.org/vectorbase/app/record/gene/AGAP002705","AGAP002705-RA")</f>
        <v>AGAP002705-RA</v>
      </c>
      <c r="DI300" s="2" t="s">
        <v>90</v>
      </c>
      <c r="DJ300" s="2">
        <v>2194</v>
      </c>
      <c r="DK300" s="2" t="str">
        <f>HYPERLINK(".\links\netoglyc\AGAP002705-PA-netoglyc.txt","0")</f>
        <v>0</v>
      </c>
      <c r="DL300" s="2">
        <v>10.5</v>
      </c>
      <c r="DM300" s="2">
        <v>3.9</v>
      </c>
      <c r="DN300" s="2">
        <v>4.8</v>
      </c>
      <c r="DO300" s="2" t="s">
        <v>104</v>
      </c>
      <c r="DP300" s="2" t="s">
        <v>3287</v>
      </c>
      <c r="DQ300" s="2" t="str">
        <f>HYPERLINK(".\links\Sigp\AGAP002705-PA-SigP.txt","CYT")</f>
        <v>CYT</v>
      </c>
      <c r="DR300" s="2" t="s">
        <v>102</v>
      </c>
      <c r="DS300" s="2">
        <v>75.941000000000003</v>
      </c>
      <c r="DT300" s="2">
        <v>5.25</v>
      </c>
      <c r="DU300" s="2" t="s">
        <v>102</v>
      </c>
      <c r="DV300" s="2" t="s">
        <v>102</v>
      </c>
      <c r="DW300" s="2" t="s">
        <v>211</v>
      </c>
      <c r="DX300" s="2">
        <v>660</v>
      </c>
      <c r="DY300" s="12">
        <v>0</v>
      </c>
      <c r="DZ300" s="2" t="s">
        <v>102</v>
      </c>
      <c r="EA300" s="2" t="s">
        <v>102</v>
      </c>
      <c r="EB300" s="2" t="s">
        <v>102</v>
      </c>
      <c r="EC300" s="2" t="str">
        <f>HYPERLINK(".\links\gpi\AGAP002705-PA-gpi.txt","N")</f>
        <v>N</v>
      </c>
      <c r="ED300" s="2">
        <v>0.33</v>
      </c>
      <c r="EF300" s="2">
        <v>26</v>
      </c>
      <c r="EG300" s="2" t="str">
        <f>HYPERLINK(".\links\pep\AGAP002705-PA-sulf.txt","7")</f>
        <v>7</v>
      </c>
      <c r="EH300" s="2" t="s">
        <v>102</v>
      </c>
      <c r="EI300" s="2">
        <v>10.454545454545499</v>
      </c>
      <c r="EJ300" s="2">
        <v>4.8484848484848504</v>
      </c>
      <c r="EK300" s="2">
        <v>3.9393939393939399</v>
      </c>
      <c r="EL300" s="2">
        <v>8.7878787878787907</v>
      </c>
      <c r="EM300" s="2" t="s">
        <v>102</v>
      </c>
      <c r="EN300" s="2" t="s">
        <v>102</v>
      </c>
      <c r="EO300" s="2">
        <v>2</v>
      </c>
      <c r="EP300" s="2" t="s">
        <v>102</v>
      </c>
      <c r="EQ300" s="2" t="s">
        <v>102</v>
      </c>
      <c r="ER300" s="2" t="s">
        <v>102</v>
      </c>
      <c r="ES300" s="2" t="s">
        <v>102</v>
      </c>
      <c r="ET300" s="2" t="str">
        <f>HYPERLINK(".\links\REFSEQ-INVERTEBRATE\AGAP002705-PA-REFSEQ-INVERTEBRATE.txt","AGAP002705-PA")</f>
        <v>AGAP002705-PA</v>
      </c>
      <c r="EU300" s="2" t="str">
        <f>HYPERLINK("http://www.ncbi.nlm.nih.gov/sutils/blink.cgi?pid=XP_312223.5","0.0")</f>
        <v>0.0</v>
      </c>
      <c r="EV300" s="2" t="str">
        <f>HYPERLINK("http://www.ncbi.nlm.nih.gov/protein/XP_312223.5","XP_312223.5")</f>
        <v>XP_312223.5</v>
      </c>
      <c r="EW300" s="2">
        <v>100</v>
      </c>
      <c r="EX300" s="2">
        <v>100</v>
      </c>
      <c r="EY300" s="2">
        <v>100</v>
      </c>
      <c r="EZ300" s="2" t="s">
        <v>105</v>
      </c>
    </row>
    <row r="301" spans="1:156" x14ac:dyDescent="0.25">
      <c r="A301" s="2" t="s">
        <v>3288</v>
      </c>
      <c r="B301" s="2">
        <v>0.25152954397490102</v>
      </c>
      <c r="C301" s="2">
        <f t="shared" si="4"/>
        <v>1.1904685798921288</v>
      </c>
      <c r="D301" s="2">
        <v>7.1506146712129004</v>
      </c>
      <c r="E301" s="2">
        <v>11.2804593043239</v>
      </c>
      <c r="F301" s="2">
        <v>7.8327175331659605E-4</v>
      </c>
      <c r="G301" s="2">
        <v>2.9655933300736001E-2</v>
      </c>
      <c r="H301" s="2" t="s">
        <v>549</v>
      </c>
      <c r="I301" s="2" t="s">
        <v>88</v>
      </c>
      <c r="J301" s="8" t="s">
        <v>3289</v>
      </c>
      <c r="Q301" s="9"/>
      <c r="W301" s="10"/>
      <c r="AB301" s="9"/>
      <c r="AC301" s="9"/>
      <c r="AJ301" s="9"/>
      <c r="AN301" s="9"/>
      <c r="AO301" s="11"/>
      <c r="AP301" s="9"/>
      <c r="AT301" s="9"/>
      <c r="BA301" s="9"/>
      <c r="BH301" s="9"/>
      <c r="BO301" s="9"/>
      <c r="BV301" s="9"/>
      <c r="CB301" s="9"/>
      <c r="CG301" s="9"/>
      <c r="CL301" s="9"/>
      <c r="CP301" s="9"/>
      <c r="DE301" s="2" t="s">
        <v>3288</v>
      </c>
      <c r="DF301" s="2" t="s">
        <v>549</v>
      </c>
      <c r="DG301" s="2" t="s">
        <v>88</v>
      </c>
      <c r="DH301" s="8" t="s">
        <v>3289</v>
      </c>
      <c r="DI301" s="2" t="s">
        <v>118</v>
      </c>
      <c r="DJ301" s="2">
        <v>6450</v>
      </c>
      <c r="DQ301" s="2" t="s">
        <v>141</v>
      </c>
      <c r="DS301" s="2">
        <v>113690</v>
      </c>
      <c r="DT301" s="2">
        <v>8.73</v>
      </c>
      <c r="DX301" s="2">
        <v>1027</v>
      </c>
      <c r="DY301" s="12"/>
    </row>
    <row r="302" spans="1:156" x14ac:dyDescent="0.25">
      <c r="A302" s="2" t="s">
        <v>3290</v>
      </c>
      <c r="B302" s="2">
        <v>0.25139425388852299</v>
      </c>
      <c r="C302" s="2">
        <f t="shared" si="4"/>
        <v>1.1903569478139941</v>
      </c>
      <c r="D302" s="2">
        <v>5.93541515936327</v>
      </c>
      <c r="E302" s="2">
        <v>9.1750757103605594</v>
      </c>
      <c r="F302" s="2">
        <v>2.4533321829891099E-3</v>
      </c>
      <c r="G302" s="2">
        <v>4.6584949255024502E-2</v>
      </c>
      <c r="H302" s="2" t="s">
        <v>3291</v>
      </c>
      <c r="I302" s="2" t="s">
        <v>94</v>
      </c>
      <c r="J302" s="2" t="str">
        <f>HYPERLINK("https://vectorbase.org/vectorbase/app/record/gene/AGAP002130","AGAP002130-RA")</f>
        <v>AGAP002130-RA</v>
      </c>
      <c r="K302" s="2" t="str">
        <f>HYPERLINK(".\links\pep\AGAP002130-PA-pep.txt","AGAP002130-PA")</f>
        <v>AGAP002130-PA</v>
      </c>
      <c r="L302" s="12" t="s">
        <v>95</v>
      </c>
      <c r="M302" s="2">
        <v>114</v>
      </c>
      <c r="N302" s="2">
        <v>0</v>
      </c>
      <c r="O302" s="2">
        <v>1</v>
      </c>
      <c r="P302" s="2" t="s">
        <v>3292</v>
      </c>
      <c r="Q302" s="9" t="s">
        <v>3292</v>
      </c>
      <c r="R302" s="2" t="s">
        <v>358</v>
      </c>
      <c r="S302" s="2" t="str">
        <f>HYPERLINK(".\links\NR-LIGHT\AGAP002130-PA-NR-LIGHT.txt","NR-LIGHT")</f>
        <v>NR-LIGHT</v>
      </c>
      <c r="T302" s="2">
        <v>4E-52</v>
      </c>
      <c r="U302" s="2">
        <v>100</v>
      </c>
      <c r="V302" s="2" t="s">
        <v>3293</v>
      </c>
      <c r="W302" s="10" t="s">
        <v>3294</v>
      </c>
      <c r="X302" s="2" t="s">
        <v>358</v>
      </c>
      <c r="Y302" s="2" t="str">
        <f>HYPERLINK(".\links\ARTHORPODA\AGAP002130-PA-ARTHORPODA.txt","ARTHORPODA")</f>
        <v>ARTHORPODA</v>
      </c>
      <c r="Z302" s="15">
        <v>1.9999999999999999E-77</v>
      </c>
      <c r="AA302" s="2">
        <v>100</v>
      </c>
      <c r="AB302" s="13" t="s">
        <v>102</v>
      </c>
      <c r="AC302" s="13" t="str">
        <f>HYPERLINK(".\links\Sigp\AGAP002130-PA-SigP.txt","CYT")</f>
        <v>CYT</v>
      </c>
      <c r="AD302" s="2" t="s">
        <v>102</v>
      </c>
      <c r="AE302" s="2">
        <v>13.169</v>
      </c>
      <c r="AF302" s="2">
        <v>6.16</v>
      </c>
      <c r="AG302" s="2" t="s">
        <v>102</v>
      </c>
      <c r="AH302" s="2" t="s">
        <v>102</v>
      </c>
      <c r="AI302" s="2" t="s">
        <v>211</v>
      </c>
      <c r="AJ302" s="13">
        <v>0</v>
      </c>
      <c r="AK302" s="2" t="s">
        <v>102</v>
      </c>
      <c r="AL302" s="2" t="s">
        <v>102</v>
      </c>
      <c r="AM302" s="2" t="s">
        <v>102</v>
      </c>
      <c r="AN302" s="13" t="str">
        <f>HYPERLINK(".\links\gpi\AGAP002130-PA-gpi.txt","N")</f>
        <v>N</v>
      </c>
      <c r="AO302" s="14" t="str">
        <f>HYPERLINK(".\links\netoglyc\AGAP002130-PA-netoglyc.txt","1")</f>
        <v>1</v>
      </c>
      <c r="AP302" s="13">
        <v>9.6</v>
      </c>
      <c r="AQ302" s="2">
        <v>1.8</v>
      </c>
      <c r="AR302" s="2">
        <v>2.6</v>
      </c>
      <c r="AS302" s="2" t="s">
        <v>104</v>
      </c>
      <c r="AT302" s="9" t="str">
        <f>HYPERLINK(".\links\NR-LIGHT\AGAP002130-PA-NR-LIGHT.txt","AGAP002130-PA")</f>
        <v>AGAP002130-PA</v>
      </c>
      <c r="AU302" s="2" t="str">
        <f>HYPERLINK("http://www.ncbi.nlm.nih.gov/sutils/blink.cgi?pid=XP_001689303.1","3E-056")</f>
        <v>3E-056</v>
      </c>
      <c r="AV302" s="2" t="str">
        <f>HYPERLINK("http://www.ncbi.nlm.nih.gov/protein/XP_001689303.1","XP_001689303.1")</f>
        <v>XP_001689303.1</v>
      </c>
      <c r="AW302" s="2">
        <v>100</v>
      </c>
      <c r="AX302" s="2">
        <v>100</v>
      </c>
      <c r="AY302" s="2">
        <v>100</v>
      </c>
      <c r="AZ302" s="2" t="s">
        <v>105</v>
      </c>
      <c r="BA302" s="9" t="str">
        <f>HYPERLINK(".\links\REFSEQ-INVERTEBRATE\AGAP002130-PA-REFSEQ-INVERTEBRATE.txt","AGAP002130-PA")</f>
        <v>AGAP002130-PA</v>
      </c>
      <c r="BB302" s="2" t="str">
        <f>HYPERLINK("http://www.ncbi.nlm.nih.gov/sutils/blink.cgi?pid=XP_001689303.1","2E-056")</f>
        <v>2E-056</v>
      </c>
      <c r="BC302" s="2" t="str">
        <f>HYPERLINK("http://www.ncbi.nlm.nih.gov/protein/XP_001689303.1","XP_001689303.1")</f>
        <v>XP_001689303.1</v>
      </c>
      <c r="BD302" s="2">
        <v>100</v>
      </c>
      <c r="BE302" s="2">
        <v>100</v>
      </c>
      <c r="BF302" s="2">
        <v>100</v>
      </c>
      <c r="BG302" s="2" t="s">
        <v>105</v>
      </c>
      <c r="BH302" s="9" t="str">
        <f>HYPERLINK(".\links\REFSEQ-PROTOZOA\AGAP002130-PA-REFSEQ-PROTOZOA.txt","tubulin cofactor a")</f>
        <v>tubulin cofactor a</v>
      </c>
      <c r="BI302" s="2" t="str">
        <f>HYPERLINK("http://www.ncbi.nlm.nih.gov/sutils/blink.cgi?pid=XP_004991161.1","2E-025")</f>
        <v>2E-025</v>
      </c>
      <c r="BJ302" s="2" t="str">
        <f>HYPERLINK("http://www.ncbi.nlm.nih.gov/protein/XP_004991161.1","XP_004991161.1")</f>
        <v>XP_004991161.1</v>
      </c>
      <c r="BK302" s="2">
        <v>52</v>
      </c>
      <c r="BL302" s="2">
        <v>73</v>
      </c>
      <c r="BM302" s="2">
        <v>99</v>
      </c>
      <c r="BN302" s="2" t="s">
        <v>435</v>
      </c>
      <c r="BO302" s="9" t="str">
        <f>HYPERLINK(".\links\SWISSP\AGAP002130-PA-SWISSP.txt","Tubulin-specific chaperone A")</f>
        <v>Tubulin-specific chaperone A</v>
      </c>
      <c r="BP302" s="2" t="str">
        <f>HYPERLINK("http://www.uniprot.org/uniprot/P80585","5E-031")</f>
        <v>5E-031</v>
      </c>
      <c r="BQ302" s="2" t="str">
        <f>HYPERLINK("http://www.uniprot.org/uniprot/P80585#expression","P80585")</f>
        <v>P80585</v>
      </c>
      <c r="BR302" s="2">
        <v>58</v>
      </c>
      <c r="BS302" s="2">
        <v>81</v>
      </c>
      <c r="BT302" s="2">
        <v>98</v>
      </c>
      <c r="BU302" s="2" t="s">
        <v>483</v>
      </c>
      <c r="BV302" s="9" t="str">
        <f>HYPERLINK(".\links\FLYBASE\AGAP002130-PA-FLYBASE.txt","FBpp0085195")</f>
        <v>FBpp0085195</v>
      </c>
      <c r="BW302" s="2" t="str">
        <f>HYPERLINK("http://flybase.org/reports/FBgn0039869#alliance_summary_container","9E-40")</f>
        <v>9E-40</v>
      </c>
      <c r="BX302" s="2">
        <v>110</v>
      </c>
      <c r="BY302" s="2">
        <v>55</v>
      </c>
      <c r="BZ302" s="2">
        <v>78</v>
      </c>
      <c r="CA302" s="2">
        <v>98</v>
      </c>
      <c r="CB302" s="9" t="str">
        <f>HYPERLINK(".\links\CDD\AGAP002130-PA-CDD.txt","TBCA, Tubulin binding cofactor A")</f>
        <v>TBCA, Tubulin binding cofactor A</v>
      </c>
      <c r="CC302" s="15">
        <v>8.9999999999999994E-21</v>
      </c>
      <c r="CD302" s="2">
        <v>100</v>
      </c>
      <c r="CE302" s="2" t="s">
        <v>3295</v>
      </c>
      <c r="CF302" s="2" t="s">
        <v>3296</v>
      </c>
      <c r="CG302" s="9" t="str">
        <f>HYPERLINK(".\links\KOG\AGAP002130-PA-KOG.txt","Beta-tubulin folding cofactor A")</f>
        <v>Beta-tubulin folding cofactor A</v>
      </c>
      <c r="CH302" s="15">
        <v>2.9999999999999999E-21</v>
      </c>
      <c r="CI302" s="2">
        <v>98.1</v>
      </c>
      <c r="CJ302" s="2" t="s">
        <v>3297</v>
      </c>
      <c r="CK302" s="2" t="s">
        <v>111</v>
      </c>
      <c r="CL302" s="9" t="str">
        <f>HYPERLINK(".\links\PFAM\AGAP002130-PA-PFAM.txt","TBCA, Tubulin binding cofactor A")</f>
        <v>TBCA, Tubulin binding cofactor A</v>
      </c>
      <c r="CM302" s="15">
        <v>1.9999999999999998E-21</v>
      </c>
      <c r="CN302" s="2">
        <v>100</v>
      </c>
      <c r="CO302" s="2" t="s">
        <v>3295</v>
      </c>
      <c r="CP302" s="9" t="str">
        <f>HYPERLINK(".\links\SMART\AGAP002130-PA-SMART.txt","RPOLA_N, RNA polymerase I subunit A N-terminus")</f>
        <v>RPOLA_N, RNA polymerase I subunit A N-terminus</v>
      </c>
      <c r="CQ302" s="15">
        <v>5.6000000000000001E-2</v>
      </c>
      <c r="CR302" s="2">
        <v>11.2</v>
      </c>
      <c r="CS302" s="2" t="s">
        <v>3298</v>
      </c>
      <c r="CT302" s="2" t="s">
        <v>3293</v>
      </c>
      <c r="CU302" s="2" t="s">
        <v>3293</v>
      </c>
      <c r="CV302" s="2" t="s">
        <v>3293</v>
      </c>
      <c r="CW302" s="2" t="str">
        <f>HYPERLINK(".\links\pep\AGAP002130-PA-pep.txt","AGAP002130-PA")</f>
        <v>AGAP002130-PA</v>
      </c>
      <c r="CX302" s="2" t="s">
        <v>95</v>
      </c>
      <c r="CY302" s="2">
        <v>114</v>
      </c>
      <c r="CZ302" s="2" t="s">
        <v>113</v>
      </c>
      <c r="DA302" s="2" t="s">
        <v>3299</v>
      </c>
      <c r="DB302" s="2">
        <v>0</v>
      </c>
      <c r="DC302" s="2">
        <v>1</v>
      </c>
      <c r="DD302" s="2" t="str">
        <f>HYPERLINK("https://www.kegg.jp/kegg-bin/search_pathway_text?map=aga&amp;keyword=AGAP002130&amp;mode=1&amp;viewImage=true","AGAP002130")</f>
        <v>AGAP002130</v>
      </c>
      <c r="DE302" s="2" t="s">
        <v>3290</v>
      </c>
      <c r="DF302" s="2" t="s">
        <v>3291</v>
      </c>
      <c r="DG302" s="2" t="s">
        <v>94</v>
      </c>
      <c r="DH302" s="2" t="str">
        <f>HYPERLINK("https://vectorbase.org/vectorbase/app/record/gene/AGAP002130","AGAP002130-RA")</f>
        <v>AGAP002130-RA</v>
      </c>
      <c r="DI302" s="2" t="s">
        <v>115</v>
      </c>
      <c r="DJ302" s="2">
        <v>741</v>
      </c>
      <c r="DK302" s="2" t="str">
        <f>HYPERLINK(".\links\netoglyc\AGAP002130-PA-netoglyc.txt","1")</f>
        <v>1</v>
      </c>
      <c r="DL302" s="2">
        <v>9.6</v>
      </c>
      <c r="DM302" s="2">
        <v>1.8</v>
      </c>
      <c r="DN302" s="2">
        <v>2.6</v>
      </c>
      <c r="DO302" s="2" t="s">
        <v>104</v>
      </c>
      <c r="DP302" s="2" t="s">
        <v>102</v>
      </c>
      <c r="DQ302" s="2" t="str">
        <f>HYPERLINK(".\links\Sigp\AGAP002130-PA-SigP.txt","CYT")</f>
        <v>CYT</v>
      </c>
      <c r="DR302" s="2" t="s">
        <v>102</v>
      </c>
      <c r="DS302" s="2">
        <v>13.169</v>
      </c>
      <c r="DT302" s="2">
        <v>6.16</v>
      </c>
      <c r="DU302" s="2" t="s">
        <v>102</v>
      </c>
      <c r="DV302" s="2" t="s">
        <v>102</v>
      </c>
      <c r="DW302" s="2" t="s">
        <v>211</v>
      </c>
      <c r="DX302" s="2">
        <v>114</v>
      </c>
      <c r="DY302" s="12">
        <v>0</v>
      </c>
      <c r="DZ302" s="2" t="s">
        <v>102</v>
      </c>
      <c r="EA302" s="2" t="s">
        <v>102</v>
      </c>
      <c r="EB302" s="2" t="s">
        <v>102</v>
      </c>
      <c r="EC302" s="2" t="str">
        <f>HYPERLINK(".\links\gpi\AGAP002130-PA-gpi.txt","N")</f>
        <v>N</v>
      </c>
      <c r="ED302" s="2">
        <v>0.44</v>
      </c>
      <c r="EF302" s="2">
        <v>1</v>
      </c>
      <c r="EG302" s="2" t="s">
        <v>102</v>
      </c>
      <c r="EH302" s="2" t="s">
        <v>102</v>
      </c>
      <c r="EI302" s="2">
        <v>9.6491228070175392</v>
      </c>
      <c r="EJ302" s="2">
        <v>2.6315789473684199</v>
      </c>
      <c r="EK302" s="2">
        <v>1.7543859649122799</v>
      </c>
      <c r="EL302" s="2">
        <v>4.3859649122807003</v>
      </c>
      <c r="EM302" s="2" t="s">
        <v>102</v>
      </c>
      <c r="EN302" s="2" t="s">
        <v>102</v>
      </c>
      <c r="EO302" s="2" t="s">
        <v>102</v>
      </c>
      <c r="EP302" s="2" t="s">
        <v>102</v>
      </c>
      <c r="EQ302" s="2" t="s">
        <v>102</v>
      </c>
      <c r="ER302" s="2" t="s">
        <v>102</v>
      </c>
      <c r="ES302" s="2" t="s">
        <v>102</v>
      </c>
      <c r="ET302" s="2" t="str">
        <f>HYPERLINK(".\links\REFSEQ-INVERTEBRATE\AGAP002130-PA-REFSEQ-INVERTEBRATE.txt","AGAP002130-PA")</f>
        <v>AGAP002130-PA</v>
      </c>
      <c r="EU302" s="2" t="str">
        <f>HYPERLINK("http://www.ncbi.nlm.nih.gov/sutils/blink.cgi?pid=XP_001689303.1","4E-77")</f>
        <v>4E-77</v>
      </c>
      <c r="EV302" s="2" t="str">
        <f>HYPERLINK("http://www.ncbi.nlm.nih.gov/protein/XP_001689303.1","XP_001689303.1")</f>
        <v>XP_001689303.1</v>
      </c>
      <c r="EW302" s="2">
        <v>100</v>
      </c>
      <c r="EX302" s="2">
        <v>100</v>
      </c>
      <c r="EY302" s="2">
        <v>100</v>
      </c>
      <c r="EZ302" s="2" t="s">
        <v>105</v>
      </c>
    </row>
    <row r="303" spans="1:156" x14ac:dyDescent="0.25">
      <c r="A303" s="2" t="s">
        <v>3300</v>
      </c>
      <c r="B303" s="2">
        <v>0.24944168452499199</v>
      </c>
      <c r="C303" s="2">
        <f t="shared" si="4"/>
        <v>1.1887469870755254</v>
      </c>
      <c r="D303" s="2">
        <v>7.4402531689478701</v>
      </c>
      <c r="E303" s="2">
        <v>9.1209767661123209</v>
      </c>
      <c r="F303" s="2">
        <v>2.52695002901433E-3</v>
      </c>
      <c r="G303" s="2">
        <v>4.6810324315669602E-2</v>
      </c>
      <c r="H303" s="2" t="s">
        <v>3301</v>
      </c>
      <c r="I303" s="2" t="s">
        <v>94</v>
      </c>
      <c r="J303" s="2" t="str">
        <f>HYPERLINK("https://vectorbase.org/vectorbase/app/record/gene/AGAP001102","AGAP001102-RA")</f>
        <v>AGAP001102-RA</v>
      </c>
      <c r="K303" s="2" t="str">
        <f>HYPERLINK(".\links\pep\AGAP001102-PA-pep.txt","AGAP001102-PA")</f>
        <v>AGAP001102-PA</v>
      </c>
      <c r="L303" s="12" t="s">
        <v>95</v>
      </c>
      <c r="M303" s="2">
        <v>1643</v>
      </c>
      <c r="N303" s="2">
        <v>0</v>
      </c>
      <c r="O303" s="2">
        <v>5</v>
      </c>
      <c r="P303" s="2" t="s">
        <v>3302</v>
      </c>
      <c r="Q303" s="9" t="s">
        <v>3303</v>
      </c>
      <c r="R303" s="2" t="s">
        <v>355</v>
      </c>
      <c r="S303" s="2" t="str">
        <f>HYPERLINK(".\links\KOG\AGAP001102-PA-KOG.txt","KOG")</f>
        <v>KOG</v>
      </c>
      <c r="T303" s="2">
        <v>0</v>
      </c>
      <c r="U303" s="2">
        <v>84.4</v>
      </c>
      <c r="V303" s="2" t="s">
        <v>3304</v>
      </c>
      <c r="W303" s="10" t="s">
        <v>3305</v>
      </c>
      <c r="X303" s="2" t="s">
        <v>355</v>
      </c>
      <c r="Y303" s="2" t="str">
        <f>HYPERLINK(".\links\KOG\AGAP001102-PA-KOG.txt","KOG")</f>
        <v>KOG</v>
      </c>
      <c r="Z303" s="2">
        <v>0</v>
      </c>
      <c r="AA303" s="2">
        <v>50.3</v>
      </c>
      <c r="AB303" s="13" t="str">
        <f>HYPERLINK(".\links\pep\AGAP001102-PA-sulf.txt","5")</f>
        <v>5</v>
      </c>
      <c r="AC303" s="13" t="str">
        <f>HYPERLINK(".\links\Sigp\AGAP001102-PA-SigP.txt","CYT")</f>
        <v>CYT</v>
      </c>
      <c r="AD303" s="2" t="s">
        <v>102</v>
      </c>
      <c r="AE303" s="2">
        <v>184.858</v>
      </c>
      <c r="AF303" s="2">
        <v>6.54</v>
      </c>
      <c r="AG303" s="2" t="s">
        <v>102</v>
      </c>
      <c r="AH303" s="2" t="s">
        <v>102</v>
      </c>
      <c r="AI303" s="2" t="s">
        <v>934</v>
      </c>
      <c r="AJ303" s="13">
        <v>0</v>
      </c>
      <c r="AK303" s="2" t="s">
        <v>102</v>
      </c>
      <c r="AL303" s="2" t="s">
        <v>102</v>
      </c>
      <c r="AM303" s="2" t="s">
        <v>102</v>
      </c>
      <c r="AN303" s="13" t="str">
        <f>HYPERLINK(".\links\gpi\AGAP001102-PA-gpi.txt","N")</f>
        <v>N</v>
      </c>
      <c r="AO303" s="14" t="str">
        <f>HYPERLINK(".\links\netoglyc\AGAP001102-PA-netoglyc.txt","0")</f>
        <v>0</v>
      </c>
      <c r="AP303" s="13">
        <v>15.7</v>
      </c>
      <c r="AQ303" s="2">
        <v>4.5999999999999996</v>
      </c>
      <c r="AR303" s="2">
        <v>5.5</v>
      </c>
      <c r="AS303" s="2" t="s">
        <v>104</v>
      </c>
      <c r="AT303" s="9" t="str">
        <f>HYPERLINK(".\links\NR-LIGHT\AGAP001102-PA-NR-LIGHT.txt","AGAP001102-PA")</f>
        <v>AGAP001102-PA</v>
      </c>
      <c r="AU303" s="2" t="str">
        <f>HYPERLINK("http://www.ncbi.nlm.nih.gov/sutils/blink.cgi?pid=XP_322065.3","0.0")</f>
        <v>0.0</v>
      </c>
      <c r="AV303" s="2" t="str">
        <f>HYPERLINK("http://www.ncbi.nlm.nih.gov/protein/XP_322065.3","XP_322065.3")</f>
        <v>XP_322065.3</v>
      </c>
      <c r="AW303" s="2">
        <v>100</v>
      </c>
      <c r="AX303" s="2">
        <v>100</v>
      </c>
      <c r="AY303" s="2">
        <v>100</v>
      </c>
      <c r="AZ303" s="2" t="s">
        <v>105</v>
      </c>
      <c r="BA303" s="9" t="str">
        <f>HYPERLINK(".\links\REFSEQ-INVERTEBRATE\AGAP001102-PA-REFSEQ-INVERTEBRATE.txt","AGAP001102-PA")</f>
        <v>AGAP001102-PA</v>
      </c>
      <c r="BB303" s="2" t="str">
        <f>HYPERLINK("http://www.ncbi.nlm.nih.gov/sutils/blink.cgi?pid=XP_322065.3","0.0")</f>
        <v>0.0</v>
      </c>
      <c r="BC303" s="2" t="str">
        <f>HYPERLINK("http://www.ncbi.nlm.nih.gov/protein/XP_322065.3","XP_322065.3")</f>
        <v>XP_322065.3</v>
      </c>
      <c r="BD303" s="2">
        <v>100</v>
      </c>
      <c r="BE303" s="2">
        <v>100</v>
      </c>
      <c r="BF303" s="2">
        <v>100</v>
      </c>
      <c r="BG303" s="2" t="s">
        <v>105</v>
      </c>
      <c r="BH303" s="9" t="str">
        <f>HYPERLINK(".\links\REFSEQ-PROTOZOA\AGAP001102-PA-REFSEQ-PROTOZOA.txt","hypothetical protein SARC_00239")</f>
        <v>hypothetical protein SARC_00239</v>
      </c>
      <c r="BI303" s="2" t="str">
        <f>HYPERLINK("http://www.ncbi.nlm.nih.gov/sutils/blink.cgi?pid=XP_014161570.1","5E-054")</f>
        <v>5E-054</v>
      </c>
      <c r="BJ303" s="2" t="str">
        <f>HYPERLINK("http://www.ncbi.nlm.nih.gov/protein/XP_014161570.1","XP_014161570.1")</f>
        <v>XP_014161570.1</v>
      </c>
      <c r="BK303" s="2">
        <v>27</v>
      </c>
      <c r="BL303" s="2">
        <v>44</v>
      </c>
      <c r="BM303" s="2">
        <v>40</v>
      </c>
      <c r="BN303" s="2" t="s">
        <v>393</v>
      </c>
      <c r="BO303" s="9" t="str">
        <f>HYPERLINK(".\links\SWISSP\AGAP001102-PA-SWISSP.txt","C-myc promoter-binding protein")</f>
        <v>C-myc promoter-binding protein</v>
      </c>
      <c r="BP303" s="2" t="str">
        <f>HYPERLINK("http://www.uniprot.org/uniprot/Q7Z401","0.0")</f>
        <v>0.0</v>
      </c>
      <c r="BQ303" s="2" t="str">
        <f>HYPERLINK("http://www.uniprot.org/uniprot/Q7Z401#expression","Q7Z401")</f>
        <v>Q7Z401</v>
      </c>
      <c r="BR303" s="2">
        <v>45</v>
      </c>
      <c r="BS303" s="2">
        <v>63</v>
      </c>
      <c r="BT303" s="2">
        <v>53</v>
      </c>
      <c r="BU303" s="2" t="s">
        <v>127</v>
      </c>
      <c r="BV303" s="9" t="str">
        <f>HYPERLINK(".\links\FLYBASE\AGAP001102-PA-FLYBASE.txt","FBpp0310013")</f>
        <v>FBpp0310013</v>
      </c>
      <c r="BW303" s="2" t="str">
        <f>HYPERLINK("http://flybase.org/reports/FBgn0025864#alliance_summary_container","0.0")</f>
        <v>0.0</v>
      </c>
      <c r="BX303" s="2">
        <v>1671</v>
      </c>
      <c r="BY303" s="2">
        <v>67</v>
      </c>
      <c r="BZ303" s="2">
        <v>82</v>
      </c>
      <c r="CA303" s="2">
        <v>59</v>
      </c>
      <c r="CB303" s="9" t="str">
        <f>HYPERLINK(".\links\CDD\AGAP001102-PA-CDD.txt","DENN, DENN (AEX-3) domain")</f>
        <v>DENN, DENN (AEX-3) domain</v>
      </c>
      <c r="CC303" s="15">
        <v>2.0000000000000001E-68</v>
      </c>
      <c r="CD303" s="2">
        <v>100.5</v>
      </c>
      <c r="CE303" s="2" t="s">
        <v>3306</v>
      </c>
      <c r="CF303" s="2" t="s">
        <v>3307</v>
      </c>
      <c r="CG303" s="9" t="str">
        <f>HYPERLINK(".\links\KOG\AGAP001102-PA-KOG.txt","contains DENN domain")</f>
        <v>contains DENN domain</v>
      </c>
      <c r="CH303" s="15">
        <v>9.9999999999999999E-161</v>
      </c>
      <c r="CI303" s="2">
        <v>84.4</v>
      </c>
      <c r="CJ303" s="2" t="s">
        <v>3308</v>
      </c>
      <c r="CK303" s="2" t="s">
        <v>173</v>
      </c>
      <c r="CL303" s="9" t="str">
        <f>HYPERLINK(".\links\PFAM\AGAP001102-PA-PFAM.txt","DENN, DENN (AEX-3) domain")</f>
        <v>DENN, DENN (AEX-3) domain</v>
      </c>
      <c r="CM303" s="15">
        <v>3.9999999999999999E-69</v>
      </c>
      <c r="CN303" s="2">
        <v>100.5</v>
      </c>
      <c r="CO303" s="2" t="s">
        <v>3306</v>
      </c>
      <c r="CP303" s="9" t="str">
        <f>HYPERLINK(".\links\SMART\AGAP001102-PA-SMART.txt","DENN, Domain found in a variety of signalling proteins, always encircled by uDENN and dDENN")</f>
        <v>DENN, Domain found in a variety of signalling proteins, always encircled by uDENN and dDENN</v>
      </c>
      <c r="CQ303" s="15">
        <v>2E-55</v>
      </c>
      <c r="CR303" s="2">
        <v>101.6</v>
      </c>
      <c r="CS303" s="2" t="s">
        <v>3309</v>
      </c>
      <c r="CT303" s="2" t="s">
        <v>3304</v>
      </c>
      <c r="CU303" s="2" t="s">
        <v>3304</v>
      </c>
      <c r="CV303" s="2" t="s">
        <v>3304</v>
      </c>
      <c r="CW303" s="2" t="str">
        <f>HYPERLINK(".\links\pep\AGAP001102-PA-pep.txt","AGAP001102-PA")</f>
        <v>AGAP001102-PA</v>
      </c>
      <c r="CX303" s="2" t="s">
        <v>95</v>
      </c>
      <c r="CY303" s="2">
        <v>1643</v>
      </c>
      <c r="CZ303" s="2" t="s">
        <v>113</v>
      </c>
      <c r="DA303" s="2" t="s">
        <v>3310</v>
      </c>
      <c r="DB303" s="2">
        <v>0</v>
      </c>
      <c r="DC303" s="2">
        <v>5</v>
      </c>
      <c r="DD303" s="2" t="str">
        <f>HYPERLINK("https://www.kegg.jp/kegg-bin/search_pathway_text?map=aga&amp;keyword=AGAP001102&amp;mode=1&amp;viewImage=true","AGAP001102")</f>
        <v>AGAP001102</v>
      </c>
      <c r="DE303" s="2" t="s">
        <v>3300</v>
      </c>
      <c r="DF303" s="2" t="s">
        <v>3301</v>
      </c>
      <c r="DG303" s="2" t="s">
        <v>94</v>
      </c>
      <c r="DH303" s="2" t="str">
        <f>HYPERLINK("https://vectorbase.org/vectorbase/app/record/gene/AGAP001102","AGAP001102-RA")</f>
        <v>AGAP001102-RA</v>
      </c>
      <c r="DI303" s="2" t="s">
        <v>115</v>
      </c>
      <c r="DJ303" s="2">
        <v>6080</v>
      </c>
      <c r="DK303" s="2" t="str">
        <f>HYPERLINK(".\links\netoglyc\AGAP001102-PA-netoglyc.txt","0")</f>
        <v>0</v>
      </c>
      <c r="DL303" s="2">
        <v>15.7</v>
      </c>
      <c r="DM303" s="2">
        <v>4.5999999999999996</v>
      </c>
      <c r="DN303" s="2">
        <v>5.5</v>
      </c>
      <c r="DO303" s="2" t="s">
        <v>104</v>
      </c>
      <c r="DP303" s="2" t="s">
        <v>3311</v>
      </c>
      <c r="DQ303" s="2" t="str">
        <f>HYPERLINK(".\links\Sigp\AGAP001102-PA-SigP.txt","CYT")</f>
        <v>CYT</v>
      </c>
      <c r="DR303" s="2" t="s">
        <v>102</v>
      </c>
      <c r="DS303" s="2">
        <v>184.858</v>
      </c>
      <c r="DT303" s="2">
        <v>6.54</v>
      </c>
      <c r="DU303" s="2" t="s">
        <v>102</v>
      </c>
      <c r="DV303" s="2" t="s">
        <v>102</v>
      </c>
      <c r="DW303" s="2" t="s">
        <v>934</v>
      </c>
      <c r="DX303" s="2">
        <v>1643</v>
      </c>
      <c r="DY303" s="12">
        <v>0</v>
      </c>
      <c r="DZ303" s="2" t="s">
        <v>102</v>
      </c>
      <c r="EA303" s="2" t="s">
        <v>102</v>
      </c>
      <c r="EB303" s="2" t="s">
        <v>102</v>
      </c>
      <c r="EC303" s="2" t="str">
        <f>HYPERLINK(".\links\gpi\AGAP001102-PA-gpi.txt","Y-NoSP")</f>
        <v>Y-NoSP</v>
      </c>
      <c r="ED303" s="2">
        <v>0.16</v>
      </c>
      <c r="EF303" s="2">
        <v>37</v>
      </c>
      <c r="EG303" s="2" t="str">
        <f>HYPERLINK(".\links\pep\AGAP001102-PA-sulf.txt","5")</f>
        <v>5</v>
      </c>
      <c r="EH303" s="2" t="s">
        <v>102</v>
      </c>
      <c r="EI303" s="2">
        <v>15.7029823493609</v>
      </c>
      <c r="EJ303" s="2">
        <v>5.53864881314668</v>
      </c>
      <c r="EK303" s="2">
        <v>4.5648204503956196</v>
      </c>
      <c r="EL303" s="2">
        <v>10.1034692635423</v>
      </c>
      <c r="EM303" s="2">
        <v>1</v>
      </c>
      <c r="EN303" s="2">
        <v>6</v>
      </c>
      <c r="EO303" s="2">
        <v>6</v>
      </c>
      <c r="EP303" s="2" t="s">
        <v>102</v>
      </c>
      <c r="EQ303" s="2" t="s">
        <v>102</v>
      </c>
      <c r="ER303" s="2" t="s">
        <v>102</v>
      </c>
      <c r="ES303" s="2" t="s">
        <v>102</v>
      </c>
      <c r="ET303" s="2" t="str">
        <f>HYPERLINK(".\links\REFSEQ-INVERTEBRATE\AGAP001102-PA-REFSEQ-INVERTEBRATE.txt","AGAP001102-PA")</f>
        <v>AGAP001102-PA</v>
      </c>
      <c r="EU303" s="2" t="str">
        <f>HYPERLINK("http://www.ncbi.nlm.nih.gov/sutils/blink.cgi?pid=XP_322065.3","0.0")</f>
        <v>0.0</v>
      </c>
      <c r="EV303" s="2" t="str">
        <f>HYPERLINK("http://www.ncbi.nlm.nih.gov/protein/XP_322065.3","XP_322065.3")</f>
        <v>XP_322065.3</v>
      </c>
      <c r="EW303" s="2">
        <v>100</v>
      </c>
      <c r="EX303" s="2">
        <v>100</v>
      </c>
      <c r="EY303" s="2">
        <v>100</v>
      </c>
      <c r="EZ303" s="2" t="s">
        <v>105</v>
      </c>
    </row>
    <row r="304" spans="1:156" x14ac:dyDescent="0.25">
      <c r="A304" s="2" t="s">
        <v>3312</v>
      </c>
      <c r="B304" s="2">
        <v>0.249414203983301</v>
      </c>
      <c r="C304" s="2">
        <f t="shared" si="4"/>
        <v>1.188724343967253</v>
      </c>
      <c r="D304" s="2">
        <v>6.0559169630863803</v>
      </c>
      <c r="E304" s="2">
        <v>11.906233524406201</v>
      </c>
      <c r="F304" s="2">
        <v>5.59464081445932E-4</v>
      </c>
      <c r="G304" s="2">
        <v>2.6335838842684402E-2</v>
      </c>
      <c r="H304" s="2" t="s">
        <v>3313</v>
      </c>
      <c r="I304" s="2" t="s">
        <v>94</v>
      </c>
      <c r="J304" s="2" t="str">
        <f>HYPERLINK("https://vectorbase.org/vectorbase/app/record/gene/AGAP002776","AGAP002776-RA")</f>
        <v>AGAP002776-RA</v>
      </c>
      <c r="K304" s="2" t="str">
        <f>HYPERLINK(".\links\pep\AGAP002776-PA-pep.txt","AGAP002776-PA")</f>
        <v>AGAP002776-PA</v>
      </c>
      <c r="L304" s="12" t="s">
        <v>95</v>
      </c>
      <c r="M304" s="2">
        <v>426</v>
      </c>
      <c r="N304" s="2">
        <v>0</v>
      </c>
      <c r="O304" s="2">
        <v>1</v>
      </c>
      <c r="P304" s="2" t="s">
        <v>3314</v>
      </c>
      <c r="Q304" s="9" t="s">
        <v>3315</v>
      </c>
      <c r="R304" s="2" t="s">
        <v>420</v>
      </c>
      <c r="S304" s="2" t="str">
        <f>HYPERLINK(".\links\KOG\AGAP002776-PA-KOG.txt","KOG")</f>
        <v>KOG</v>
      </c>
      <c r="T304" s="2">
        <v>0</v>
      </c>
      <c r="U304" s="2">
        <v>98</v>
      </c>
      <c r="V304" s="2" t="s">
        <v>3316</v>
      </c>
      <c r="W304" s="10" t="s">
        <v>3317</v>
      </c>
      <c r="X304" s="2" t="s">
        <v>420</v>
      </c>
      <c r="Y304" s="2" t="str">
        <f>HYPERLINK(".\links\KOG\AGAP002776-PA-KOG.txt","KOG")</f>
        <v>KOG</v>
      </c>
      <c r="Z304" s="2">
        <v>0</v>
      </c>
      <c r="AA304" s="2">
        <v>97.4</v>
      </c>
      <c r="AB304" s="13" t="str">
        <f>HYPERLINK(".\links\pep\AGAP002776-PA-sulf.txt","3")</f>
        <v>3</v>
      </c>
      <c r="AC304" s="13" t="str">
        <f>HYPERLINK(".\links\Sigp\AGAP002776-PA-SigP.txt","CYT")</f>
        <v>CYT</v>
      </c>
      <c r="AD304" s="2" t="s">
        <v>102</v>
      </c>
      <c r="AE304" s="2">
        <v>47.412999999999997</v>
      </c>
      <c r="AF304" s="2">
        <v>6.15</v>
      </c>
      <c r="AG304" s="2" t="s">
        <v>102</v>
      </c>
      <c r="AH304" s="2" t="s">
        <v>102</v>
      </c>
      <c r="AI304" s="2" t="s">
        <v>823</v>
      </c>
      <c r="AJ304" s="13">
        <v>0</v>
      </c>
      <c r="AK304" s="2" t="s">
        <v>102</v>
      </c>
      <c r="AL304" s="2" t="s">
        <v>102</v>
      </c>
      <c r="AM304" s="2" t="s">
        <v>102</v>
      </c>
      <c r="AN304" s="13" t="str">
        <f>HYPERLINK(".\links\gpi\AGAP002776-PA-gpi.txt","N")</f>
        <v>N</v>
      </c>
      <c r="AO304" s="14" t="str">
        <f>HYPERLINK(".\links\netoglyc\AGAP002776-PA-netoglyc.txt","0")</f>
        <v>0</v>
      </c>
      <c r="AP304" s="13">
        <v>15</v>
      </c>
      <c r="AQ304" s="2">
        <v>5.4</v>
      </c>
      <c r="AR304" s="2">
        <v>4</v>
      </c>
      <c r="AS304" s="2" t="s">
        <v>104</v>
      </c>
      <c r="AT304" s="9" t="str">
        <f>HYPERLINK(".\links\NR-LIGHT\AGAP002776-PA-NR-LIGHT.txt","AGAP002776-PA")</f>
        <v>AGAP002776-PA</v>
      </c>
      <c r="AU304" s="2" t="str">
        <f>HYPERLINK("http://www.ncbi.nlm.nih.gov/sutils/blink.cgi?pid=XP_312148.3","0.0")</f>
        <v>0.0</v>
      </c>
      <c r="AV304" s="2" t="str">
        <f>HYPERLINK("http://www.ncbi.nlm.nih.gov/protein/XP_312148.3","XP_312148.3")</f>
        <v>XP_312148.3</v>
      </c>
      <c r="AW304" s="2">
        <v>100</v>
      </c>
      <c r="AX304" s="2">
        <v>100</v>
      </c>
      <c r="AY304" s="2">
        <v>100</v>
      </c>
      <c r="AZ304" s="2" t="s">
        <v>105</v>
      </c>
      <c r="BA304" s="9" t="str">
        <f>HYPERLINK(".\links\REFSEQ-INVERTEBRATE\AGAP002776-PA-REFSEQ-INVERTEBRATE.txt","AGAP002776-PA")</f>
        <v>AGAP002776-PA</v>
      </c>
      <c r="BB304" s="2" t="str">
        <f>HYPERLINK("http://www.ncbi.nlm.nih.gov/sutils/blink.cgi?pid=XP_312148.3","0.0")</f>
        <v>0.0</v>
      </c>
      <c r="BC304" s="2" t="str">
        <f>HYPERLINK("http://www.ncbi.nlm.nih.gov/protein/XP_312148.3","XP_312148.3")</f>
        <v>XP_312148.3</v>
      </c>
      <c r="BD304" s="2">
        <v>100</v>
      </c>
      <c r="BE304" s="2">
        <v>100</v>
      </c>
      <c r="BF304" s="2">
        <v>100</v>
      </c>
      <c r="BG304" s="2" t="s">
        <v>105</v>
      </c>
      <c r="BH304" s="9" t="str">
        <f>HYPERLINK(".\links\REFSEQ-PROTOZOA\AGAP002776-PA-REFSEQ-PROTOZOA.txt","hypothetical protein SAMD00019534_090040, partial")</f>
        <v>hypothetical protein SAMD00019534_090040, partial</v>
      </c>
      <c r="BI304" s="2" t="str">
        <f>HYPERLINK("http://www.ncbi.nlm.nih.gov/sutils/blink.cgi?pid=XP_012751347.1","2E-078")</f>
        <v>2E-078</v>
      </c>
      <c r="BJ304" s="2" t="str">
        <f>HYPERLINK("http://www.ncbi.nlm.nih.gov/protein/XP_012751347.1","XP_012751347.1")</f>
        <v>XP_012751347.1</v>
      </c>
      <c r="BK304" s="2">
        <v>39</v>
      </c>
      <c r="BL304" s="2">
        <v>57</v>
      </c>
      <c r="BM304" s="2">
        <v>97</v>
      </c>
      <c r="BN304" s="2" t="s">
        <v>186</v>
      </c>
      <c r="BO304" s="9" t="str">
        <f>HYPERLINK(".\links\SWISSP\AGAP002776-PA-SWISSP.txt","Cleavage stimulation factor subunit 1")</f>
        <v>Cleavage stimulation factor subunit 1</v>
      </c>
      <c r="BP304" s="2" t="str">
        <f>HYPERLINK("http://www.uniprot.org/uniprot/Q05048","1E-136")</f>
        <v>1E-136</v>
      </c>
      <c r="BQ304" s="2" t="str">
        <f>HYPERLINK("http://www.uniprot.org/uniprot/Q05048#expression","Q05048")</f>
        <v>Q05048</v>
      </c>
      <c r="BR304" s="2">
        <v>56</v>
      </c>
      <c r="BS304" s="2">
        <v>72</v>
      </c>
      <c r="BT304" s="2">
        <v>98</v>
      </c>
      <c r="BU304" s="2" t="s">
        <v>127</v>
      </c>
      <c r="BV304" s="9" t="str">
        <f>HYPERLINK(".\links\FLYBASE\AGAP002776-PA-FLYBASE.txt","FBpp0085224")</f>
        <v>FBpp0085224</v>
      </c>
      <c r="BW304" s="2" t="str">
        <f>HYPERLINK("http://flybase.org/reports/FBgn0039867#alliance_summary_container","0.0")</f>
        <v>0.0</v>
      </c>
      <c r="BX304" s="2">
        <v>424</v>
      </c>
      <c r="BY304" s="2">
        <v>71</v>
      </c>
      <c r="BZ304" s="2">
        <v>81</v>
      </c>
      <c r="CA304" s="2">
        <v>100</v>
      </c>
      <c r="CB304" s="9" t="str">
        <f>HYPERLINK(".\links\CDD\AGAP002776-PA-CDD.txt","WD40,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304" s="15">
        <v>1E-42</v>
      </c>
      <c r="CD304" s="2">
        <v>111.8</v>
      </c>
      <c r="CE304" s="2" t="s">
        <v>1716</v>
      </c>
      <c r="CF304" s="2" t="s">
        <v>3318</v>
      </c>
      <c r="CG304" s="9" t="str">
        <f>HYPERLINK(".\links\KOG\AGAP002776-PA-KOG.txt","mRNA cleavage stimulating factor complex")</f>
        <v>mRNA cleavage stimulating factor complex</v>
      </c>
      <c r="CH304" s="15">
        <v>0</v>
      </c>
      <c r="CI304" s="2">
        <v>98.6</v>
      </c>
      <c r="CJ304" s="2" t="s">
        <v>3319</v>
      </c>
      <c r="CK304" s="2" t="s">
        <v>722</v>
      </c>
      <c r="CL304" s="9" t="str">
        <f>HYPERLINK(".\links\PFAM\AGAP002776-PA-PFAM.txt","CSTF1_dimer, Cleavage stimulation factor subunit 1, dimerisation domain")</f>
        <v>CSTF1_dimer, Cleavage stimulation factor subunit 1, dimerisation domain</v>
      </c>
      <c r="CM304" s="15">
        <v>1E-25</v>
      </c>
      <c r="CN304" s="2">
        <v>98.2</v>
      </c>
      <c r="CO304" s="2" t="s">
        <v>3320</v>
      </c>
      <c r="CP304" s="9" t="str">
        <f>HYPERLINK(".\links\SMART\AGAP002776-PA-SMART.txt","WD40, WD40 repeats")</f>
        <v>WD40, WD40 repeats</v>
      </c>
      <c r="CQ304" s="15">
        <v>1.9999999999999999E-7</v>
      </c>
      <c r="CR304" s="2">
        <v>92.5</v>
      </c>
      <c r="CS304" s="2" t="s">
        <v>1720</v>
      </c>
      <c r="CT304" s="2" t="s">
        <v>3316</v>
      </c>
      <c r="CU304" s="2" t="s">
        <v>3316</v>
      </c>
      <c r="CV304" s="2" t="s">
        <v>3316</v>
      </c>
      <c r="CW304" s="2" t="str">
        <f>HYPERLINK(".\links\pep\AGAP002776-PA-pep.txt","AGAP002776-PA")</f>
        <v>AGAP002776-PA</v>
      </c>
      <c r="CX304" s="2" t="s">
        <v>95</v>
      </c>
      <c r="CY304" s="2">
        <v>426</v>
      </c>
      <c r="CZ304" s="2" t="s">
        <v>113</v>
      </c>
      <c r="DA304" s="2" t="s">
        <v>3321</v>
      </c>
      <c r="DB304" s="2">
        <v>0</v>
      </c>
      <c r="DC304" s="2">
        <v>1</v>
      </c>
      <c r="DD304" s="2" t="str">
        <f>HYPERLINK("https://www.kegg.jp/kegg-bin/search_pathway_text?map=aga&amp;keyword=AGAP002776&amp;mode=1&amp;viewImage=true","AGAP002776")</f>
        <v>AGAP002776</v>
      </c>
      <c r="DE304" s="2" t="s">
        <v>3312</v>
      </c>
      <c r="DF304" s="2" t="s">
        <v>3313</v>
      </c>
      <c r="DG304" s="2" t="s">
        <v>94</v>
      </c>
      <c r="DH304" s="2" t="str">
        <f>HYPERLINK("https://vectorbase.org/vectorbase/app/record/gene/AGAP002776","AGAP002776-RA")</f>
        <v>AGAP002776-RA</v>
      </c>
      <c r="DI304" s="2" t="s">
        <v>118</v>
      </c>
      <c r="DJ304" s="2">
        <v>1375</v>
      </c>
      <c r="DK304" s="2" t="str">
        <f>HYPERLINK(".\links\netoglyc\AGAP002776-PA-netoglyc.txt","0")</f>
        <v>0</v>
      </c>
      <c r="DL304" s="2">
        <v>15</v>
      </c>
      <c r="DM304" s="2">
        <v>5.4</v>
      </c>
      <c r="DN304" s="2">
        <v>4</v>
      </c>
      <c r="DO304" s="2" t="s">
        <v>104</v>
      </c>
      <c r="DP304" s="2" t="s">
        <v>102</v>
      </c>
      <c r="DQ304" s="2" t="str">
        <f>HYPERLINK(".\links\Sigp\AGAP002776-PA-SigP.txt","CYT")</f>
        <v>CYT</v>
      </c>
      <c r="DR304" s="2" t="s">
        <v>102</v>
      </c>
      <c r="DS304" s="2">
        <v>47.412999999999997</v>
      </c>
      <c r="DT304" s="2">
        <v>6.15</v>
      </c>
      <c r="DU304" s="2" t="s">
        <v>102</v>
      </c>
      <c r="DV304" s="2" t="s">
        <v>102</v>
      </c>
      <c r="DW304" s="2" t="s">
        <v>823</v>
      </c>
      <c r="DX304" s="2">
        <v>426</v>
      </c>
      <c r="DY304" s="12">
        <v>0</v>
      </c>
      <c r="DZ304" s="2" t="s">
        <v>102</v>
      </c>
      <c r="EA304" s="2" t="s">
        <v>102</v>
      </c>
      <c r="EB304" s="2" t="s">
        <v>102</v>
      </c>
      <c r="EC304" s="2" t="str">
        <f>HYPERLINK(".\links\gpi\AGAP002776-PA-gpi.txt","Y-NoSP")</f>
        <v>Y-NoSP</v>
      </c>
      <c r="ED304" s="2">
        <v>0.19</v>
      </c>
      <c r="EF304" s="2">
        <v>15</v>
      </c>
      <c r="EG304" s="2" t="str">
        <f>HYPERLINK(".\links\pep\AGAP002776-PA-sulf.txt","3")</f>
        <v>3</v>
      </c>
      <c r="EH304" s="2" t="s">
        <v>102</v>
      </c>
      <c r="EI304" s="2">
        <v>15.0234741784038</v>
      </c>
      <c r="EJ304" s="2">
        <v>3.9906103286385002</v>
      </c>
      <c r="EK304" s="2">
        <v>5.39906103286385</v>
      </c>
      <c r="EL304" s="2">
        <v>9.3896713615023497</v>
      </c>
      <c r="EM304" s="2" t="s">
        <v>102</v>
      </c>
      <c r="EN304" s="2" t="s">
        <v>102</v>
      </c>
      <c r="EO304" s="2">
        <v>1</v>
      </c>
      <c r="EP304" s="2" t="s">
        <v>102</v>
      </c>
      <c r="EQ304" s="2" t="s">
        <v>102</v>
      </c>
      <c r="ER304" s="2" t="s">
        <v>102</v>
      </c>
      <c r="ES304" s="2" t="s">
        <v>102</v>
      </c>
      <c r="ET304" s="2" t="str">
        <f>HYPERLINK(".\links\REFSEQ-INVERTEBRATE\AGAP002776-PA-REFSEQ-INVERTEBRATE.txt","AGAP002776-PA")</f>
        <v>AGAP002776-PA</v>
      </c>
      <c r="EU304" s="2" t="str">
        <f>HYPERLINK("http://www.ncbi.nlm.nih.gov/sutils/blink.cgi?pid=XP_312148.3","0.0")</f>
        <v>0.0</v>
      </c>
      <c r="EV304" s="2" t="str">
        <f>HYPERLINK("http://www.ncbi.nlm.nih.gov/protein/XP_312148.3","XP_312148.3")</f>
        <v>XP_312148.3</v>
      </c>
      <c r="EW304" s="2">
        <v>100</v>
      </c>
      <c r="EX304" s="2">
        <v>100</v>
      </c>
      <c r="EY304" s="2">
        <v>100</v>
      </c>
      <c r="EZ304" s="2" t="s">
        <v>105</v>
      </c>
    </row>
    <row r="305" spans="1:156" x14ac:dyDescent="0.25">
      <c r="A305" s="2" t="s">
        <v>3322</v>
      </c>
      <c r="B305" s="2">
        <v>0.24606012015407799</v>
      </c>
      <c r="C305" s="2">
        <f t="shared" si="4"/>
        <v>1.1859639200064194</v>
      </c>
      <c r="D305" s="2">
        <v>5.8541077986792001</v>
      </c>
      <c r="E305" s="2">
        <v>10.4776250233926</v>
      </c>
      <c r="F305" s="2">
        <v>1.2082898363396401E-3</v>
      </c>
      <c r="G305" s="2">
        <v>3.4919930607410998E-2</v>
      </c>
      <c r="H305" s="2" t="s">
        <v>3323</v>
      </c>
      <c r="I305" s="2" t="s">
        <v>94</v>
      </c>
      <c r="J305" s="2" t="str">
        <f>HYPERLINK("https://vectorbase.org/vectorbase/app/record/gene/AGAP007705","AGAP007705-RA")</f>
        <v>AGAP007705-RA</v>
      </c>
      <c r="K305" s="2" t="str">
        <f>HYPERLINK(".\links\pep\AGAP007705-PA-pep.txt","AGAP007705-PA")</f>
        <v>AGAP007705-PA</v>
      </c>
      <c r="L305" s="12" t="s">
        <v>95</v>
      </c>
      <c r="M305" s="2">
        <v>289</v>
      </c>
      <c r="N305" s="2">
        <v>0</v>
      </c>
      <c r="O305" s="2">
        <v>2</v>
      </c>
      <c r="P305" s="2" t="s">
        <v>3324</v>
      </c>
      <c r="Q305" s="9" t="s">
        <v>3325</v>
      </c>
      <c r="R305" s="2" t="s">
        <v>672</v>
      </c>
      <c r="S305" s="2" t="str">
        <f>HYPERLINK(".\links\REFSEQ-INVERTEBRATE\AGAP007705-PA-REFSEQ-INVERTEBRATE.txt","REFSEQ-INVERTEBRATE")</f>
        <v>REFSEQ-INVERTEBRATE</v>
      </c>
      <c r="T305" s="2">
        <v>0</v>
      </c>
      <c r="U305" s="2">
        <v>100</v>
      </c>
      <c r="V305" s="2" t="s">
        <v>3325</v>
      </c>
      <c r="W305" s="10" t="s">
        <v>3326</v>
      </c>
      <c r="X305" s="2" t="s">
        <v>672</v>
      </c>
      <c r="Y305" s="2" t="str">
        <f>HYPERLINK(".\links\UNIPROTKB\AGAP007705-PA-UNIPROTKB.txt","UNIPROTKB")</f>
        <v>UNIPROTKB</v>
      </c>
      <c r="Z305" s="15">
        <v>5.0000000000000001E-59</v>
      </c>
      <c r="AA305" s="2">
        <v>71.900000000000006</v>
      </c>
      <c r="AB305" s="13" t="str">
        <f>HYPERLINK(".\links\pep\AGAP007705-PA-sulf.txt","1")</f>
        <v>1</v>
      </c>
      <c r="AC305" s="13" t="str">
        <f>HYPERLINK(".\links\Sigp\AGAP007705-PA-SigP.txt","CYT")</f>
        <v>CYT</v>
      </c>
      <c r="AD305" s="2" t="s">
        <v>102</v>
      </c>
      <c r="AE305" s="2">
        <v>32.091000000000001</v>
      </c>
      <c r="AF305" s="2">
        <v>5.65</v>
      </c>
      <c r="AG305" s="2" t="s">
        <v>102</v>
      </c>
      <c r="AH305" s="2" t="s">
        <v>102</v>
      </c>
      <c r="AI305" s="2" t="s">
        <v>3327</v>
      </c>
      <c r="AJ305" s="13">
        <v>0</v>
      </c>
      <c r="AK305" s="2" t="s">
        <v>102</v>
      </c>
      <c r="AL305" s="2" t="s">
        <v>102</v>
      </c>
      <c r="AM305" s="2" t="s">
        <v>102</v>
      </c>
      <c r="AN305" s="13" t="str">
        <f>HYPERLINK(".\links\gpi\AGAP007705-PA-gpi.txt","N")</f>
        <v>N</v>
      </c>
      <c r="AO305" s="14" t="str">
        <f>HYPERLINK(".\links\netoglyc\AGAP007705-PA-netoglyc.txt","6")</f>
        <v>6</v>
      </c>
      <c r="AP305" s="13">
        <v>9</v>
      </c>
      <c r="AQ305" s="2">
        <v>5.9</v>
      </c>
      <c r="AR305" s="2">
        <v>5.9</v>
      </c>
      <c r="AS305" s="2" t="s">
        <v>104</v>
      </c>
      <c r="AT305" s="9" t="str">
        <f>HYPERLINK(".\links\NR-LIGHT\AGAP007705-PA-NR-LIGHT.txt","AGAP007705-PA")</f>
        <v>AGAP007705-PA</v>
      </c>
      <c r="AU305" s="2" t="str">
        <f>HYPERLINK("http://www.ncbi.nlm.nih.gov/sutils/blink.cgi?pid=XP_308171.3","1E-163")</f>
        <v>1E-163</v>
      </c>
      <c r="AV305" s="2" t="str">
        <f>HYPERLINK("http://www.ncbi.nlm.nih.gov/protein/XP_308171.3","XP_308171.3")</f>
        <v>XP_308171.3</v>
      </c>
      <c r="AW305" s="2">
        <v>100</v>
      </c>
      <c r="AX305" s="2">
        <v>100</v>
      </c>
      <c r="AY305" s="2">
        <v>100</v>
      </c>
      <c r="AZ305" s="2" t="s">
        <v>105</v>
      </c>
      <c r="BA305" s="9" t="str">
        <f>HYPERLINK(".\links\REFSEQ-INVERTEBRATE\AGAP007705-PA-REFSEQ-INVERTEBRATE.txt","AGAP007705-PA")</f>
        <v>AGAP007705-PA</v>
      </c>
      <c r="BB305" s="2" t="str">
        <f>HYPERLINK("http://www.ncbi.nlm.nih.gov/sutils/blink.cgi?pid=XP_308171.3","1E-163")</f>
        <v>1E-163</v>
      </c>
      <c r="BC305" s="2" t="str">
        <f>HYPERLINK("http://www.ncbi.nlm.nih.gov/protein/XP_308171.3","XP_308171.3")</f>
        <v>XP_308171.3</v>
      </c>
      <c r="BD305" s="2">
        <v>100</v>
      </c>
      <c r="BE305" s="2">
        <v>100</v>
      </c>
      <c r="BF305" s="2">
        <v>100</v>
      </c>
      <c r="BG305" s="2" t="s">
        <v>105</v>
      </c>
      <c r="BH305" s="9" t="str">
        <f>HYPERLINK(".\links\REFSEQ-PROTOZOA\AGAP007705-PA-REFSEQ-PROTOZOA.txt","hypothetical protein GUITHDRAFT_161739")</f>
        <v>hypothetical protein GUITHDRAFT_161739</v>
      </c>
      <c r="BI305" s="2" t="str">
        <f>HYPERLINK("http://www.ncbi.nlm.nih.gov/sutils/blink.cgi?pid=XP_005837870.1","2E-023")</f>
        <v>2E-023</v>
      </c>
      <c r="BJ305" s="2" t="str">
        <f>HYPERLINK("http://www.ncbi.nlm.nih.gov/protein/XP_005837870.1","XP_005837870.1")</f>
        <v>XP_005837870.1</v>
      </c>
      <c r="BK305" s="2">
        <v>26</v>
      </c>
      <c r="BL305" s="2">
        <v>50</v>
      </c>
      <c r="BM305" s="2">
        <v>88</v>
      </c>
      <c r="BN305" s="2" t="s">
        <v>279</v>
      </c>
      <c r="BO305" s="9" t="str">
        <f>HYPERLINK(".\links\SWISSP\AGAP007705-PA-SWISSP.txt","THUMP domain-containing protein 1 homolog")</f>
        <v>THUMP domain-containing protein 1 homolog</v>
      </c>
      <c r="BP305" s="2" t="str">
        <f>HYPERLINK("http://www.uniprot.org/uniprot/Q9VZD8","6E-052")</f>
        <v>6E-052</v>
      </c>
      <c r="BQ305" s="2" t="str">
        <f>HYPERLINK("http://www.uniprot.org/uniprot/Q9VZD8#expression","Q9VZD8")</f>
        <v>Q9VZD8</v>
      </c>
      <c r="BR305" s="2">
        <v>36</v>
      </c>
      <c r="BS305" s="2">
        <v>57</v>
      </c>
      <c r="BT305" s="2">
        <v>88</v>
      </c>
      <c r="BU305" s="2" t="s">
        <v>107</v>
      </c>
      <c r="BV305" s="9" t="str">
        <f>HYPERLINK(".\links\FLYBASE\AGAP007705-PA-FLYBASE.txt","FBpp0073196")</f>
        <v>FBpp0073196</v>
      </c>
      <c r="BW305" s="2" t="str">
        <f>HYPERLINK("http://flybase.org/reports/FBgn0035532#alliance_summary_container","4E-63")</f>
        <v>4E-63</v>
      </c>
      <c r="BX305" s="2">
        <v>324</v>
      </c>
      <c r="BY305" s="2">
        <v>39</v>
      </c>
      <c r="BZ305" s="2">
        <v>57</v>
      </c>
      <c r="CA305" s="2">
        <v>87</v>
      </c>
      <c r="CB305" s="9" t="str">
        <f>HYPERLINK(".\links\CDD\AGAP007705-PA-CDD.txt","THUMP_THUMPD1_like, THUMP domain-containing protein 1-like")</f>
        <v>THUMP_THUMPD1_like, THUMP domain-containing protein 1-like</v>
      </c>
      <c r="CC305" s="15">
        <v>1.0000000000000001E-37</v>
      </c>
      <c r="CD305" s="2">
        <v>89.2</v>
      </c>
      <c r="CE305" s="2" t="s">
        <v>3328</v>
      </c>
      <c r="CF305" s="2" t="s">
        <v>3329</v>
      </c>
      <c r="CG305" s="9" t="str">
        <f>HYPERLINK(".\links\KOG\AGAP007705-PA-KOG.txt","THUMP domain-containing proteins")</f>
        <v>THUMP domain-containing proteins</v>
      </c>
      <c r="CH305" s="15">
        <v>3.0000000000000002E-36</v>
      </c>
      <c r="CI305" s="2">
        <v>85.6</v>
      </c>
      <c r="CJ305" s="2" t="s">
        <v>3330</v>
      </c>
      <c r="CK305" s="2" t="s">
        <v>191</v>
      </c>
      <c r="CL305" s="9" t="str">
        <f>HYPERLINK(".\links\PFAM\AGAP007705-PA-PFAM.txt","THUMP, THUMP domain")</f>
        <v>THUMP, THUMP domain</v>
      </c>
      <c r="CM305" s="15">
        <v>9.9999999999999998E-13</v>
      </c>
      <c r="CN305" s="2">
        <v>69.900000000000006</v>
      </c>
      <c r="CO305" s="2" t="s">
        <v>3331</v>
      </c>
      <c r="CP305" s="9" t="str">
        <f>HYPERLINK(".\links\SMART\AGAP007705-PA-SMART.txt","THUMP, The THUMP domain is named after after thiouridine synthases, methylases and PSUSs")</f>
        <v>THUMP, The THUMP domain is named after after thiouridine synthases, methylases and PSUSs</v>
      </c>
      <c r="CQ305" s="15">
        <v>1.0000000000000001E-9</v>
      </c>
      <c r="CR305" s="2">
        <v>98.8</v>
      </c>
      <c r="CS305" s="2" t="s">
        <v>3332</v>
      </c>
      <c r="CT305" s="2" t="s">
        <v>3325</v>
      </c>
      <c r="CU305" s="2" t="s">
        <v>3325</v>
      </c>
      <c r="CV305" s="2" t="s">
        <v>3325</v>
      </c>
      <c r="CW305" s="2" t="str">
        <f>HYPERLINK(".\links\pep\AGAP007705-PA-pep.txt","AGAP007705-PA")</f>
        <v>AGAP007705-PA</v>
      </c>
      <c r="CX305" s="2" t="s">
        <v>95</v>
      </c>
      <c r="CY305" s="2">
        <v>289</v>
      </c>
      <c r="CZ305" s="2" t="s">
        <v>113</v>
      </c>
      <c r="DA305" s="2" t="s">
        <v>3333</v>
      </c>
      <c r="DB305" s="2">
        <v>0</v>
      </c>
      <c r="DC305" s="2">
        <v>2</v>
      </c>
      <c r="DD305" s="2" t="str">
        <f>HYPERLINK("https://www.kegg.jp/kegg-bin/search_pathway_text?map=aga&amp;keyword=AGAP007705&amp;mode=1&amp;viewImage=true","AGAP007705")</f>
        <v>AGAP007705</v>
      </c>
      <c r="DE305" s="2" t="s">
        <v>3322</v>
      </c>
      <c r="DF305" s="2" t="s">
        <v>3323</v>
      </c>
      <c r="DG305" s="2" t="s">
        <v>94</v>
      </c>
      <c r="DH305" s="2" t="str">
        <f>HYPERLINK("https://vectorbase.org/vectorbase/app/record/gene/AGAP007705","AGAP007705-RA")</f>
        <v>AGAP007705-RA</v>
      </c>
      <c r="DI305" s="2" t="s">
        <v>90</v>
      </c>
      <c r="DJ305" s="2">
        <v>1144</v>
      </c>
      <c r="DK305" s="2" t="str">
        <f>HYPERLINK(".\links\netoglyc\AGAP007705-PA-netoglyc.txt","6")</f>
        <v>6</v>
      </c>
      <c r="DL305" s="2">
        <v>9</v>
      </c>
      <c r="DM305" s="2">
        <v>5.9</v>
      </c>
      <c r="DN305" s="2">
        <v>5.9</v>
      </c>
      <c r="DO305" s="2" t="s">
        <v>104</v>
      </c>
      <c r="DP305" s="2" t="s">
        <v>102</v>
      </c>
      <c r="DQ305" s="2" t="str">
        <f>HYPERLINK(".\links\Sigp\AGAP007705-PA-SigP.txt","CYT")</f>
        <v>CYT</v>
      </c>
      <c r="DR305" s="2" t="s">
        <v>102</v>
      </c>
      <c r="DS305" s="2">
        <v>32.091000000000001</v>
      </c>
      <c r="DT305" s="2">
        <v>5.65</v>
      </c>
      <c r="DU305" s="2" t="s">
        <v>102</v>
      </c>
      <c r="DV305" s="2" t="s">
        <v>102</v>
      </c>
      <c r="DW305" s="2" t="s">
        <v>3327</v>
      </c>
      <c r="DX305" s="2">
        <v>289</v>
      </c>
      <c r="DY305" s="12">
        <v>0</v>
      </c>
      <c r="DZ305" s="2" t="s">
        <v>102</v>
      </c>
      <c r="EA305" s="2" t="s">
        <v>102</v>
      </c>
      <c r="EB305" s="2" t="s">
        <v>102</v>
      </c>
      <c r="EC305" s="2" t="str">
        <f>HYPERLINK(".\links\gpi\AGAP007705-PA-gpi.txt","Y-NoSP")</f>
        <v>Y-NoSP</v>
      </c>
      <c r="ED305" s="2">
        <v>0.27</v>
      </c>
      <c r="EF305" s="2">
        <v>7</v>
      </c>
      <c r="EG305" s="2" t="str">
        <f>HYPERLINK(".\links\pep\AGAP007705-PA-sulf.txt","1")</f>
        <v>1</v>
      </c>
      <c r="EH305" s="2" t="s">
        <v>102</v>
      </c>
      <c r="EI305" s="2">
        <v>8.9965397923875408</v>
      </c>
      <c r="EJ305" s="2">
        <v>5.8823529411764701</v>
      </c>
      <c r="EK305" s="2">
        <v>5.8823529411764701</v>
      </c>
      <c r="EL305" s="2">
        <v>11.764705882352899</v>
      </c>
      <c r="EM305" s="2" t="s">
        <v>102</v>
      </c>
      <c r="EN305" s="2">
        <v>1</v>
      </c>
      <c r="EO305" s="2">
        <v>1</v>
      </c>
      <c r="EP305" s="2" t="s">
        <v>102</v>
      </c>
      <c r="EQ305" s="2" t="s">
        <v>102</v>
      </c>
      <c r="ER305" s="2" t="s">
        <v>102</v>
      </c>
      <c r="ES305" s="2" t="s">
        <v>102</v>
      </c>
      <c r="ET305" s="2" t="str">
        <f>HYPERLINK(".\links\REFSEQ-INVERTEBRATE\AGAP007705-PA-REFSEQ-INVERTEBRATE.txt","AGAP007705-PA")</f>
        <v>AGAP007705-PA</v>
      </c>
      <c r="EU305" s="2" t="str">
        <f>HYPERLINK("http://www.ncbi.nlm.nih.gov/sutils/blink.cgi?pid=XP_308171.3","0.0")</f>
        <v>0.0</v>
      </c>
      <c r="EV305" s="2" t="str">
        <f>HYPERLINK("http://www.ncbi.nlm.nih.gov/protein/XP_308171.3","XP_308171.3")</f>
        <v>XP_308171.3</v>
      </c>
      <c r="EW305" s="2">
        <v>100</v>
      </c>
      <c r="EX305" s="2">
        <v>100</v>
      </c>
      <c r="EY305" s="2">
        <v>100</v>
      </c>
      <c r="EZ305" s="2" t="s">
        <v>105</v>
      </c>
    </row>
    <row r="306" spans="1:156" x14ac:dyDescent="0.25">
      <c r="A306" s="2" t="s">
        <v>3334</v>
      </c>
      <c r="B306" s="2">
        <v>0.245526217341729</v>
      </c>
      <c r="C306" s="2">
        <f t="shared" si="4"/>
        <v>1.1855251077103286</v>
      </c>
      <c r="D306" s="2">
        <v>6.6826363619578197</v>
      </c>
      <c r="E306" s="2">
        <v>10.165037344571999</v>
      </c>
      <c r="F306" s="2">
        <v>1.4312901612930501E-3</v>
      </c>
      <c r="G306" s="2">
        <v>3.7152645524746501E-2</v>
      </c>
      <c r="H306" s="2" t="s">
        <v>3335</v>
      </c>
      <c r="I306" s="2" t="s">
        <v>94</v>
      </c>
      <c r="J306" s="2" t="str">
        <f>HYPERLINK("https://vectorbase.org/vectorbase/app/record/gene/AGAP004782","AGAP004782-RA")</f>
        <v>AGAP004782-RA</v>
      </c>
      <c r="K306" s="2" t="str">
        <f>HYPERLINK(".\links\pep\AGAP004782-PA-pep.txt","AGAP004782-PA")</f>
        <v>AGAP004782-PA</v>
      </c>
      <c r="L306" s="12" t="s">
        <v>95</v>
      </c>
      <c r="M306" s="2">
        <v>1167</v>
      </c>
      <c r="N306" s="2">
        <v>0</v>
      </c>
      <c r="O306" s="2">
        <v>0</v>
      </c>
      <c r="P306" s="2" t="s">
        <v>3336</v>
      </c>
      <c r="Q306" s="9" t="s">
        <v>3336</v>
      </c>
      <c r="R306" s="2" t="s">
        <v>358</v>
      </c>
      <c r="S306" s="2" t="str">
        <f>HYPERLINK(".\links\REFSEQ-INVERTEBRATE\AGAP004782-PA-REFSEQ-INVERTEBRATE.txt","REFSEQ-INVERTEBRATE")</f>
        <v>REFSEQ-INVERTEBRATE</v>
      </c>
      <c r="T306" s="2">
        <v>0</v>
      </c>
      <c r="U306" s="2">
        <v>100.9</v>
      </c>
      <c r="V306" s="2" t="s">
        <v>3337</v>
      </c>
      <c r="W306" s="10" t="s">
        <v>3338</v>
      </c>
      <c r="X306" s="2" t="s">
        <v>358</v>
      </c>
      <c r="Y306" s="2" t="str">
        <f>HYPERLINK(".\links\REFSEQ-PROTOZOA\AGAP004782-PA-REFSEQ-PROTOZOA.txt","REFSEQ-PROTOZOA")</f>
        <v>REFSEQ-PROTOZOA</v>
      </c>
      <c r="Z306" s="15">
        <v>0</v>
      </c>
      <c r="AA306" s="2">
        <v>85.4</v>
      </c>
      <c r="AB306" s="13" t="str">
        <f>HYPERLINK(".\links\pep\AGAP004782-PA-sulf.txt","2")</f>
        <v>2</v>
      </c>
      <c r="AC306" s="13" t="str">
        <f>HYPERLINK(".\links\Sigp\AGAP004782-PA-SigP.txt","CYT")</f>
        <v>CYT</v>
      </c>
      <c r="AD306" s="2" t="s">
        <v>102</v>
      </c>
      <c r="AE306" s="2">
        <v>132.52500000000001</v>
      </c>
      <c r="AF306" s="2">
        <v>5.73</v>
      </c>
      <c r="AG306" s="2" t="s">
        <v>102</v>
      </c>
      <c r="AH306" s="2" t="s">
        <v>102</v>
      </c>
      <c r="AI306" s="2" t="s">
        <v>3339</v>
      </c>
      <c r="AJ306" s="13">
        <v>0</v>
      </c>
      <c r="AK306" s="2" t="s">
        <v>102</v>
      </c>
      <c r="AL306" s="2" t="s">
        <v>102</v>
      </c>
      <c r="AM306" s="2" t="s">
        <v>102</v>
      </c>
      <c r="AN306" s="13" t="str">
        <f>HYPERLINK(".\links\gpi\AGAP004782-PA-gpi.txt","N")</f>
        <v>N</v>
      </c>
      <c r="AO306" s="14" t="str">
        <f>HYPERLINK(".\links\netoglyc\AGAP004782-PA-netoglyc.txt","1")</f>
        <v>1</v>
      </c>
      <c r="AP306" s="13">
        <v>10.9</v>
      </c>
      <c r="AQ306" s="2">
        <v>4.4000000000000004</v>
      </c>
      <c r="AR306" s="2">
        <v>3.6</v>
      </c>
      <c r="AS306" s="2" t="s">
        <v>104</v>
      </c>
      <c r="AT306" s="9" t="str">
        <f>HYPERLINK(".\links\NR-LIGHT\AGAP004782-PA-NR-LIGHT.txt","AGAP004782-PA")</f>
        <v>AGAP004782-PA</v>
      </c>
      <c r="AU306" s="2" t="str">
        <f>HYPERLINK("http://www.ncbi.nlm.nih.gov/sutils/blink.cgi?pid=XP_318031.4","0.0")</f>
        <v>0.0</v>
      </c>
      <c r="AV306" s="2" t="str">
        <f>HYPERLINK("http://www.ncbi.nlm.nih.gov/protein/XP_318031.4","XP_318031.4")</f>
        <v>XP_318031.4</v>
      </c>
      <c r="AW306" s="2">
        <v>100</v>
      </c>
      <c r="AX306" s="2">
        <v>100</v>
      </c>
      <c r="AY306" s="2">
        <v>100</v>
      </c>
      <c r="AZ306" s="2" t="s">
        <v>105</v>
      </c>
      <c r="BA306" s="9" t="str">
        <f>HYPERLINK(".\links\REFSEQ-INVERTEBRATE\AGAP004782-PA-REFSEQ-INVERTEBRATE.txt","AGAP004782-PA")</f>
        <v>AGAP004782-PA</v>
      </c>
      <c r="BB306" s="2" t="str">
        <f>HYPERLINK("http://www.ncbi.nlm.nih.gov/sutils/blink.cgi?pid=XP_318031.4","0.0")</f>
        <v>0.0</v>
      </c>
      <c r="BC306" s="2" t="str">
        <f>HYPERLINK("http://www.ncbi.nlm.nih.gov/protein/XP_318031.4","XP_318031.4")</f>
        <v>XP_318031.4</v>
      </c>
      <c r="BD306" s="2">
        <v>100</v>
      </c>
      <c r="BE306" s="2">
        <v>100</v>
      </c>
      <c r="BF306" s="2">
        <v>100</v>
      </c>
      <c r="BG306" s="2" t="s">
        <v>105</v>
      </c>
      <c r="BH306" s="9" t="str">
        <f>HYPERLINK(".\links\REFSEQ-PROTOZOA\AGAP004782-PA-REFSEQ-PROTOZOA.txt","Beta-tubulin cofactor D")</f>
        <v>Beta-tubulin cofactor D</v>
      </c>
      <c r="BI306" s="2" t="str">
        <f>HYPERLINK("http://www.ncbi.nlm.nih.gov/sutils/blink.cgi?pid=XP_002675465.1","1E-152")</f>
        <v>1E-152</v>
      </c>
      <c r="BJ306" s="2" t="str">
        <f>HYPERLINK("http://www.ncbi.nlm.nih.gov/protein/XP_002675465.1","XP_002675465.1")</f>
        <v>XP_002675465.1</v>
      </c>
      <c r="BK306" s="2">
        <v>31</v>
      </c>
      <c r="BL306" s="2">
        <v>52</v>
      </c>
      <c r="BM306" s="2">
        <v>97</v>
      </c>
      <c r="BN306" s="2" t="s">
        <v>1212</v>
      </c>
      <c r="BO306" s="9" t="str">
        <f>HYPERLINK(".\links\SWISSP\AGAP004782-PA-SWISSP.txt","Tubulin-specific chaperone D")</f>
        <v>Tubulin-specific chaperone D</v>
      </c>
      <c r="BP306" s="2" t="str">
        <f>HYPERLINK("http://www.uniprot.org/uniprot/Q8BYA0","0.0")</f>
        <v>0.0</v>
      </c>
      <c r="BQ306" s="2" t="str">
        <f>HYPERLINK("http://www.uniprot.org/uniprot/Q8BYA0#expression","Q8BYA0")</f>
        <v>Q8BYA0</v>
      </c>
      <c r="BR306" s="2">
        <v>39</v>
      </c>
      <c r="BS306" s="2">
        <v>56</v>
      </c>
      <c r="BT306" s="2">
        <v>99</v>
      </c>
      <c r="BU306" s="2" t="s">
        <v>662</v>
      </c>
      <c r="BV306" s="9" t="str">
        <f>HYPERLINK(".\links\FLYBASE\AGAP004782-PA-FLYBASE.txt","FBpp0077502")</f>
        <v>FBpp0077502</v>
      </c>
      <c r="BW306" s="2" t="str">
        <f>HYPERLINK("http://flybase.org/reports/FBgn0027509#alliance_summary_container","0.0")</f>
        <v>0.0</v>
      </c>
      <c r="BX306" s="2">
        <v>1189</v>
      </c>
      <c r="BY306" s="2">
        <v>45</v>
      </c>
      <c r="BZ306" s="2">
        <v>63</v>
      </c>
      <c r="CA306" s="2">
        <v>101</v>
      </c>
      <c r="CB306" s="9" t="str">
        <f>HYPERLINK(".\links\CDD\AGAP004782-PA-CDD.txt","TFCD_C, Tubulin folding cofactor D C terminal")</f>
        <v>TFCD_C, Tubulin folding cofactor D C terminal</v>
      </c>
      <c r="CC306" s="15">
        <v>6.9999999999999996E-47</v>
      </c>
      <c r="CD306" s="2">
        <v>100.5</v>
      </c>
      <c r="CE306" s="2" t="s">
        <v>3340</v>
      </c>
      <c r="CF306" s="2" t="s">
        <v>3341</v>
      </c>
      <c r="CG306" s="9" t="str">
        <f>HYPERLINK(".\links\KOG\AGAP004782-PA-KOG.txt","Beta-tubulin folding cofactor D")</f>
        <v>Beta-tubulin folding cofactor D</v>
      </c>
      <c r="CH306" s="15">
        <v>0</v>
      </c>
      <c r="CI306" s="2">
        <v>103.2</v>
      </c>
      <c r="CJ306" s="2" t="s">
        <v>3342</v>
      </c>
      <c r="CK306" s="2" t="s">
        <v>111</v>
      </c>
      <c r="CL306" s="9" t="str">
        <f>HYPERLINK(".\links\PFAM\AGAP004782-PA-PFAM.txt","TFCD_C, Tubulin folding cofactor D C terminal")</f>
        <v>TFCD_C, Tubulin folding cofactor D C terminal</v>
      </c>
      <c r="CM306" s="15">
        <v>9.9999999999999997E-48</v>
      </c>
      <c r="CN306" s="2">
        <v>100.5</v>
      </c>
      <c r="CO306" s="2" t="s">
        <v>3340</v>
      </c>
      <c r="CP306" s="9" t="str">
        <f>HYPERLINK(".\links\SMART\AGAP004782-PA-SMART.txt","COG6, Conserved oligomeric complex COG6")</f>
        <v>COG6, Conserved oligomeric complex COG6</v>
      </c>
      <c r="CQ306" s="15">
        <v>0.22</v>
      </c>
      <c r="CR306" s="2">
        <v>11</v>
      </c>
      <c r="CS306" s="2" t="s">
        <v>3101</v>
      </c>
      <c r="CT306" s="2" t="s">
        <v>3337</v>
      </c>
      <c r="CU306" s="2" t="s">
        <v>3337</v>
      </c>
      <c r="CV306" s="2" t="s">
        <v>3337</v>
      </c>
      <c r="CW306" s="2" t="str">
        <f>HYPERLINK(".\links\pep\AGAP004782-PA-pep.txt","AGAP004782-PA")</f>
        <v>AGAP004782-PA</v>
      </c>
      <c r="CX306" s="2" t="s">
        <v>95</v>
      </c>
      <c r="CY306" s="2">
        <v>1167</v>
      </c>
      <c r="CZ306" s="2" t="s">
        <v>113</v>
      </c>
      <c r="DA306" s="2" t="s">
        <v>3343</v>
      </c>
      <c r="DB306" s="2">
        <v>0</v>
      </c>
      <c r="DC306" s="2">
        <v>0</v>
      </c>
      <c r="DD306" s="2" t="str">
        <f>HYPERLINK("https://www.kegg.jp/kegg-bin/search_pathway_text?map=aga&amp;keyword=AGAP004782&amp;mode=1&amp;viewImage=true","AGAP004782")</f>
        <v>AGAP004782</v>
      </c>
      <c r="DE306" s="2" t="s">
        <v>3334</v>
      </c>
      <c r="DF306" s="2" t="s">
        <v>3335</v>
      </c>
      <c r="DG306" s="2" t="s">
        <v>94</v>
      </c>
      <c r="DH306" s="2" t="str">
        <f>HYPERLINK("https://vectorbase.org/vectorbase/app/record/gene/AGAP004782","AGAP004782-RA")</f>
        <v>AGAP004782-RA</v>
      </c>
      <c r="DI306" s="2" t="s">
        <v>135</v>
      </c>
      <c r="DJ306" s="2">
        <v>3800</v>
      </c>
      <c r="DK306" s="2" t="str">
        <f>HYPERLINK(".\links\netoglyc\AGAP004782-PA-netoglyc.txt","1")</f>
        <v>1</v>
      </c>
      <c r="DL306" s="2">
        <v>10.9</v>
      </c>
      <c r="DM306" s="2">
        <v>4.4000000000000004</v>
      </c>
      <c r="DN306" s="2">
        <v>3.6</v>
      </c>
      <c r="DO306" s="2" t="s">
        <v>104</v>
      </c>
      <c r="DP306" s="2" t="s">
        <v>102</v>
      </c>
      <c r="DQ306" s="2" t="str">
        <f>HYPERLINK(".\links\Sigp\AGAP004782-PA-SigP.txt","CYT")</f>
        <v>CYT</v>
      </c>
      <c r="DR306" s="2" t="s">
        <v>102</v>
      </c>
      <c r="DS306" s="2">
        <v>132.52500000000001</v>
      </c>
      <c r="DT306" s="2">
        <v>5.73</v>
      </c>
      <c r="DU306" s="2" t="s">
        <v>102</v>
      </c>
      <c r="DV306" s="2" t="s">
        <v>102</v>
      </c>
      <c r="DW306" s="2" t="s">
        <v>3339</v>
      </c>
      <c r="DX306" s="2">
        <v>1167</v>
      </c>
      <c r="DY306" s="12">
        <v>0</v>
      </c>
      <c r="DZ306" s="2" t="s">
        <v>102</v>
      </c>
      <c r="EA306" s="2" t="s">
        <v>102</v>
      </c>
      <c r="EB306" s="2" t="s">
        <v>102</v>
      </c>
      <c r="EC306" s="2" t="str">
        <f>HYPERLINK(".\links\gpi\AGAP004782-PA-gpi.txt","N")</f>
        <v>N</v>
      </c>
      <c r="ED306" s="2">
        <v>0.19</v>
      </c>
      <c r="EF306" s="2">
        <v>26</v>
      </c>
      <c r="EG306" s="2" t="str">
        <f>HYPERLINK(".\links\pep\AGAP004782-PA-sulf.txt","2")</f>
        <v>2</v>
      </c>
      <c r="EH306" s="2" t="s">
        <v>102</v>
      </c>
      <c r="EI306" s="2">
        <v>10.8826049700086</v>
      </c>
      <c r="EJ306" s="2">
        <v>3.5989717223650399</v>
      </c>
      <c r="EK306" s="2">
        <v>4.3701799485861201</v>
      </c>
      <c r="EL306" s="2">
        <v>7.9691516709511596</v>
      </c>
      <c r="EM306" s="2" t="s">
        <v>102</v>
      </c>
      <c r="EN306" s="2">
        <v>4</v>
      </c>
      <c r="EO306" s="2">
        <v>4</v>
      </c>
      <c r="EP306" s="2" t="s">
        <v>102</v>
      </c>
      <c r="EQ306" s="2" t="s">
        <v>102</v>
      </c>
      <c r="ER306" s="2" t="s">
        <v>102</v>
      </c>
      <c r="ES306" s="2" t="s">
        <v>102</v>
      </c>
      <c r="ET306" s="2" t="str">
        <f>HYPERLINK(".\links\REFSEQ-INVERTEBRATE\AGAP004782-PA-REFSEQ-INVERTEBRATE.txt","AGAP004782-PA")</f>
        <v>AGAP004782-PA</v>
      </c>
      <c r="EU306" s="2" t="str">
        <f>HYPERLINK("http://www.ncbi.nlm.nih.gov/sutils/blink.cgi?pid=XP_318031.4","0.0")</f>
        <v>0.0</v>
      </c>
      <c r="EV306" s="2" t="str">
        <f>HYPERLINK("http://www.ncbi.nlm.nih.gov/protein/XP_318031.4","XP_318031.4")</f>
        <v>XP_318031.4</v>
      </c>
      <c r="EW306" s="2">
        <v>100</v>
      </c>
      <c r="EX306" s="2">
        <v>100</v>
      </c>
      <c r="EY306" s="2">
        <v>100</v>
      </c>
      <c r="EZ306" s="2" t="s">
        <v>105</v>
      </c>
    </row>
    <row r="307" spans="1:156" x14ac:dyDescent="0.25">
      <c r="A307" s="2" t="s">
        <v>3344</v>
      </c>
      <c r="B307" s="2">
        <v>0.245421861697426</v>
      </c>
      <c r="C307" s="2">
        <f t="shared" si="4"/>
        <v>1.1854393572512087</v>
      </c>
      <c r="D307" s="2">
        <v>7.9458476028863103</v>
      </c>
      <c r="E307" s="2">
        <v>9.5185714811357105</v>
      </c>
      <c r="F307" s="2">
        <v>2.0340285499292001E-3</v>
      </c>
      <c r="G307" s="2">
        <v>4.3959103858667199E-2</v>
      </c>
      <c r="H307" s="2" t="s">
        <v>3345</v>
      </c>
      <c r="I307" s="2" t="s">
        <v>94</v>
      </c>
      <c r="J307" s="2" t="str">
        <f>HYPERLINK("https://vectorbase.org/vectorbase/app/record/gene/AGAP009980","AGAP009980-RA")</f>
        <v>AGAP009980-RA</v>
      </c>
      <c r="K307" s="2" t="str">
        <f>HYPERLINK(".\links\pep\AGAP009980-PA-pep.txt","AGAP009980-PA")</f>
        <v>AGAP009980-PA</v>
      </c>
      <c r="L307" s="12" t="s">
        <v>95</v>
      </c>
      <c r="M307" s="2">
        <v>868</v>
      </c>
      <c r="N307" s="2">
        <v>0</v>
      </c>
      <c r="O307" s="2">
        <v>2</v>
      </c>
      <c r="P307" s="2" t="s">
        <v>3346</v>
      </c>
      <c r="Q307" s="9" t="s">
        <v>3347</v>
      </c>
      <c r="R307" s="2" t="s">
        <v>420</v>
      </c>
      <c r="S307" s="2" t="str">
        <f>HYPERLINK(".\links\KOG\AGAP009980-PA-KOG.txt","KOG")</f>
        <v>KOG</v>
      </c>
      <c r="T307" s="2">
        <v>0</v>
      </c>
      <c r="U307" s="2">
        <v>38.1</v>
      </c>
      <c r="V307" s="2" t="s">
        <v>3348</v>
      </c>
      <c r="W307" s="10" t="s">
        <v>183</v>
      </c>
      <c r="X307" s="2" t="s">
        <v>420</v>
      </c>
      <c r="Y307" s="2" t="str">
        <f>HYPERLINK(".\links\COG\AGAP009980-PA-COG.txt","COG")</f>
        <v>COG</v>
      </c>
      <c r="Z307" s="15">
        <v>2.9999999999999999E-81</v>
      </c>
      <c r="AA307" s="2">
        <v>65.400000000000006</v>
      </c>
      <c r="AB307" s="13" t="str">
        <f>HYPERLINK(".\links\pep\AGAP009980-PA-sulf.txt","1")</f>
        <v>1</v>
      </c>
      <c r="AC307" s="13" t="str">
        <f>HYPERLINK(".\links\Sigp\AGAP009980-PA-SigP.txt","CYT")</f>
        <v>CYT</v>
      </c>
      <c r="AD307" s="2" t="s">
        <v>102</v>
      </c>
      <c r="AE307" s="2">
        <v>99.168000000000006</v>
      </c>
      <c r="AF307" s="2">
        <v>6.95</v>
      </c>
      <c r="AG307" s="2" t="s">
        <v>102</v>
      </c>
      <c r="AH307" s="2" t="s">
        <v>102</v>
      </c>
      <c r="AI307" s="2" t="s">
        <v>482</v>
      </c>
      <c r="AJ307" s="13">
        <v>0</v>
      </c>
      <c r="AK307" s="2" t="s">
        <v>102</v>
      </c>
      <c r="AL307" s="2" t="s">
        <v>102</v>
      </c>
      <c r="AM307" s="2" t="s">
        <v>102</v>
      </c>
      <c r="AN307" s="13" t="str">
        <f>HYPERLINK(".\links\gpi\AGAP009980-PA-gpi.txt","N")</f>
        <v>N</v>
      </c>
      <c r="AO307" s="14" t="str">
        <f>HYPERLINK(".\links\netoglyc\AGAP009980-PA-netoglyc.txt","0")</f>
        <v>0</v>
      </c>
      <c r="AP307" s="13">
        <v>10.8</v>
      </c>
      <c r="AQ307" s="2">
        <v>5.4</v>
      </c>
      <c r="AR307" s="2">
        <v>3.7</v>
      </c>
      <c r="AS307" s="2" t="s">
        <v>104</v>
      </c>
      <c r="AT307" s="9" t="str">
        <f>HYPERLINK(".\links\NR-LIGHT\AGAP009980-PA-NR-LIGHT.txt","AGAP009980-PA, partial")</f>
        <v>AGAP009980-PA, partial</v>
      </c>
      <c r="AU307" s="2" t="str">
        <f>HYPERLINK("http://www.ncbi.nlm.nih.gov/sutils/blink.cgi?pid=XP_319118.4","0.0")</f>
        <v>0.0</v>
      </c>
      <c r="AV307" s="2" t="str">
        <f>HYPERLINK("http://www.ncbi.nlm.nih.gov/protein/XP_319118.4","XP_319118.4")</f>
        <v>XP_319118.4</v>
      </c>
      <c r="AW307" s="2">
        <v>95</v>
      </c>
      <c r="AX307" s="2">
        <v>95</v>
      </c>
      <c r="AY307" s="2">
        <v>99</v>
      </c>
      <c r="AZ307" s="2" t="s">
        <v>105</v>
      </c>
      <c r="BA307" s="9" t="str">
        <f>HYPERLINK(".\links\REFSEQ-INVERTEBRATE\AGAP009980-PA-REFSEQ-INVERTEBRATE.txt","AGAP009980-PA, partial")</f>
        <v>AGAP009980-PA, partial</v>
      </c>
      <c r="BB307" s="2" t="str">
        <f>HYPERLINK("http://www.ncbi.nlm.nih.gov/sutils/blink.cgi?pid=XP_319118.4","0.0")</f>
        <v>0.0</v>
      </c>
      <c r="BC307" s="2" t="str">
        <f>HYPERLINK("http://www.ncbi.nlm.nih.gov/protein/XP_319118.4","XP_319118.4")</f>
        <v>XP_319118.4</v>
      </c>
      <c r="BD307" s="2">
        <v>95</v>
      </c>
      <c r="BE307" s="2">
        <v>95</v>
      </c>
      <c r="BF307" s="2">
        <v>99</v>
      </c>
      <c r="BG307" s="2" t="s">
        <v>105</v>
      </c>
      <c r="BH307" s="9" t="str">
        <f>HYPERLINK(".\links\REFSEQ-PROTOZOA\AGAP009980-PA-REFSEQ-PROTOZOA.txt","hypothetical protein SARC_05757")</f>
        <v>hypothetical protein SARC_05757</v>
      </c>
      <c r="BI307" s="2" t="str">
        <f>HYPERLINK("http://www.ncbi.nlm.nih.gov/sutils/blink.cgi?pid=XP_014155846.1","1E-132")</f>
        <v>1E-132</v>
      </c>
      <c r="BJ307" s="2" t="str">
        <f>HYPERLINK("http://www.ncbi.nlm.nih.gov/protein/XP_014155846.1","XP_014155846.1")</f>
        <v>XP_014155846.1</v>
      </c>
      <c r="BK307" s="2">
        <v>41</v>
      </c>
      <c r="BL307" s="2">
        <v>62</v>
      </c>
      <c r="BM307" s="2">
        <v>96</v>
      </c>
      <c r="BN307" s="2" t="s">
        <v>393</v>
      </c>
      <c r="BO307" s="9" t="str">
        <f>HYPERLINK(".\links\SWISSP\AGAP009980-PA-SWISSP.txt","SWI/SNF-related matrix-associated actin-dependent regulator of chromatin")</f>
        <v>SWI/SNF-related matrix-associated actin-dependent regulator of chromatin</v>
      </c>
      <c r="BP307" s="2" t="str">
        <f>HYPERLINK("http://www.uniprot.org/uniprot/Q9VL72","0.0")</f>
        <v>0.0</v>
      </c>
      <c r="BQ307" s="2" t="str">
        <f>HYPERLINK("http://www.uniprot.org/uniprot/Q9VL72#expression","Q9VL72")</f>
        <v>Q9VL72</v>
      </c>
      <c r="BR307" s="2">
        <v>50</v>
      </c>
      <c r="BS307" s="2">
        <v>69</v>
      </c>
      <c r="BT307" s="2">
        <v>101</v>
      </c>
      <c r="BU307" s="2" t="s">
        <v>107</v>
      </c>
      <c r="BV307" s="9" t="str">
        <f>HYPERLINK(".\links\FLYBASE\AGAP009980-PA-FLYBASE.txt","FBpp0079496")</f>
        <v>FBpp0079496</v>
      </c>
      <c r="BW307" s="2" t="str">
        <f>HYPERLINK("http://flybase.org/reports/FBgn0032157#alliance_summary_container","0.0")</f>
        <v>0.0</v>
      </c>
      <c r="BX307" s="2">
        <v>844</v>
      </c>
      <c r="BY307" s="2">
        <v>49</v>
      </c>
      <c r="BZ307" s="2">
        <v>68</v>
      </c>
      <c r="CA307" s="2">
        <v>101</v>
      </c>
      <c r="CB307" s="9" t="str">
        <f>HYPERLINK(".\links\CDD\AGAP009980-PA-CDD.txt","PLN03142, Probable chromatin-remodeling complex ATPase chain")</f>
        <v>PLN03142, Probable chromatin-remodeling complex ATPase chain</v>
      </c>
      <c r="CC307" s="15">
        <v>9.9999999999999993E-105</v>
      </c>
      <c r="CD307" s="2">
        <v>68.8</v>
      </c>
      <c r="CE307" s="2" t="s">
        <v>3349</v>
      </c>
      <c r="CF307" s="2" t="s">
        <v>3350</v>
      </c>
      <c r="CG307" s="9" t="str">
        <f>HYPERLINK(".\links\KOG\AGAP009980-PA-KOG.txt","SNF2 family DNA-dependent ATPase")</f>
        <v>SNF2 family DNA-dependent ATPase</v>
      </c>
      <c r="CH307" s="15">
        <v>0</v>
      </c>
      <c r="CI307" s="2">
        <v>88.3</v>
      </c>
      <c r="CJ307" s="2" t="s">
        <v>615</v>
      </c>
      <c r="CK307" s="2" t="s">
        <v>398</v>
      </c>
      <c r="CL307" s="9" t="str">
        <f>HYPERLINK(".\links\PFAM\AGAP009980-PA-PFAM.txt","SNF2_N, SNF2 family N-terminal domain")</f>
        <v>SNF2_N, SNF2 family N-terminal domain</v>
      </c>
      <c r="CM307" s="15">
        <v>9.9999999999999995E-58</v>
      </c>
      <c r="CN307" s="2">
        <v>105.2</v>
      </c>
      <c r="CO307" s="2" t="s">
        <v>3351</v>
      </c>
      <c r="CP307" s="9" t="str">
        <f>HYPERLINK(".\links\SMART\AGAP009980-PA-SMART.txt","DEXDc, DEAD-like helicases superfamily")</f>
        <v>DEXDc, DEAD-like helicases superfamily</v>
      </c>
      <c r="CQ307" s="15">
        <v>2.9999999999999998E-25</v>
      </c>
      <c r="CR307" s="2">
        <v>97</v>
      </c>
      <c r="CS307" s="2" t="s">
        <v>429</v>
      </c>
      <c r="CT307" s="2" t="s">
        <v>3348</v>
      </c>
      <c r="CU307" s="2" t="s">
        <v>3348</v>
      </c>
      <c r="CV307" s="2" t="s">
        <v>3348</v>
      </c>
      <c r="CW307" s="2" t="str">
        <f>HYPERLINK(".\links\pep\AGAP009980-PA-pep.txt","AGAP009980-PA")</f>
        <v>AGAP009980-PA</v>
      </c>
      <c r="CX307" s="2" t="s">
        <v>95</v>
      </c>
      <c r="CY307" s="2">
        <v>868</v>
      </c>
      <c r="CZ307" s="2" t="s">
        <v>113</v>
      </c>
      <c r="DA307" s="2" t="s">
        <v>3352</v>
      </c>
      <c r="DB307" s="2">
        <v>0</v>
      </c>
      <c r="DC307" s="2">
        <v>2</v>
      </c>
      <c r="DD307" s="2" t="str">
        <f>HYPERLINK("https://www.kegg.jp/kegg-bin/search_pathway_text?map=aga&amp;keyword=AGAP009980&amp;mode=1&amp;viewImage=true","AGAP009980")</f>
        <v>AGAP009980</v>
      </c>
      <c r="DE307" s="2" t="s">
        <v>3344</v>
      </c>
      <c r="DF307" s="2" t="s">
        <v>3345</v>
      </c>
      <c r="DG307" s="2" t="s">
        <v>94</v>
      </c>
      <c r="DH307" s="2" t="str">
        <f>HYPERLINK("https://vectorbase.org/vectorbase/app/record/gene/AGAP009980","AGAP009980-RA")</f>
        <v>AGAP009980-RA</v>
      </c>
      <c r="DI307" s="2" t="s">
        <v>90</v>
      </c>
      <c r="DJ307" s="2">
        <v>3408</v>
      </c>
      <c r="DK307" s="2" t="str">
        <f>HYPERLINK(".\links\netoglyc\AGAP009980-PA-netoglyc.txt","0")</f>
        <v>0</v>
      </c>
      <c r="DL307" s="2">
        <v>10.8</v>
      </c>
      <c r="DM307" s="2">
        <v>5.4</v>
      </c>
      <c r="DN307" s="2">
        <v>3.7</v>
      </c>
      <c r="DO307" s="2" t="s">
        <v>104</v>
      </c>
      <c r="DP307" s="2" t="s">
        <v>3353</v>
      </c>
      <c r="DQ307" s="2" t="str">
        <f>HYPERLINK(".\links\Sigp\AGAP009980-PA-SigP.txt","CYT")</f>
        <v>CYT</v>
      </c>
      <c r="DR307" s="2" t="s">
        <v>102</v>
      </c>
      <c r="DS307" s="2">
        <v>99.168000000000006</v>
      </c>
      <c r="DT307" s="2">
        <v>6.95</v>
      </c>
      <c r="DU307" s="2" t="s">
        <v>102</v>
      </c>
      <c r="DV307" s="2" t="s">
        <v>102</v>
      </c>
      <c r="DW307" s="2" t="s">
        <v>482</v>
      </c>
      <c r="DX307" s="2">
        <v>868</v>
      </c>
      <c r="DY307" s="12">
        <v>0</v>
      </c>
      <c r="DZ307" s="2" t="s">
        <v>102</v>
      </c>
      <c r="EA307" s="2" t="s">
        <v>102</v>
      </c>
      <c r="EB307" s="2" t="s">
        <v>102</v>
      </c>
      <c r="EC307" s="2" t="str">
        <f>HYPERLINK(".\links\gpi\AGAP009980-PA-gpi.txt","N")</f>
        <v>N</v>
      </c>
      <c r="ED307" s="2">
        <v>0.26</v>
      </c>
      <c r="EF307" s="2">
        <v>6</v>
      </c>
      <c r="EG307" s="2" t="str">
        <f>HYPERLINK(".\links\pep\AGAP009980-PA-sulf.txt","1")</f>
        <v>1</v>
      </c>
      <c r="EH307" s="2" t="s">
        <v>102</v>
      </c>
      <c r="EI307" s="2">
        <v>10.8294930875576</v>
      </c>
      <c r="EJ307" s="2">
        <v>3.68663594470046</v>
      </c>
      <c r="EK307" s="2">
        <v>5.4147465437787998</v>
      </c>
      <c r="EL307" s="2">
        <v>9.1013824884792598</v>
      </c>
      <c r="EM307" s="2" t="s">
        <v>102</v>
      </c>
      <c r="EN307" s="2">
        <v>2</v>
      </c>
      <c r="EO307" s="2">
        <v>2</v>
      </c>
      <c r="EP307" s="2" t="s">
        <v>102</v>
      </c>
      <c r="EQ307" s="2" t="s">
        <v>102</v>
      </c>
      <c r="ER307" s="2" t="s">
        <v>102</v>
      </c>
      <c r="ES307" s="2" t="s">
        <v>102</v>
      </c>
      <c r="ET307" s="2" t="str">
        <f>HYPERLINK(".\links\REFSEQ-INVERTEBRATE\AGAP009980-PA-REFSEQ-INVERTEBRATE.txt","AGAP009980-PA, partial")</f>
        <v>AGAP009980-PA, partial</v>
      </c>
      <c r="EU307" s="2" t="str">
        <f>HYPERLINK("http://www.ncbi.nlm.nih.gov/sutils/blink.cgi?pid=XP_319118.4","0.0")</f>
        <v>0.0</v>
      </c>
      <c r="EV307" s="2" t="str">
        <f>HYPERLINK("http://www.ncbi.nlm.nih.gov/protein/XP_319118.4","XP_319118.4")</f>
        <v>XP_319118.4</v>
      </c>
      <c r="EW307" s="2">
        <v>95</v>
      </c>
      <c r="EX307" s="2">
        <v>95</v>
      </c>
      <c r="EY307" s="2">
        <v>99</v>
      </c>
      <c r="EZ307" s="2" t="s">
        <v>105</v>
      </c>
    </row>
    <row r="308" spans="1:156" x14ac:dyDescent="0.25">
      <c r="A308" s="2" t="s">
        <v>3354</v>
      </c>
      <c r="B308" s="2">
        <v>0.24419498294441999</v>
      </c>
      <c r="C308" s="2">
        <f t="shared" si="4"/>
        <v>1.1844316792027101</v>
      </c>
      <c r="D308" s="2">
        <v>8.0014989235733793</v>
      </c>
      <c r="E308" s="2">
        <v>9.0905495271029793</v>
      </c>
      <c r="F308" s="2">
        <v>2.5693366066888699E-3</v>
      </c>
      <c r="G308" s="2">
        <v>4.7269525491001697E-2</v>
      </c>
      <c r="H308" s="2" t="s">
        <v>3355</v>
      </c>
      <c r="I308" s="2" t="s">
        <v>94</v>
      </c>
      <c r="J308" s="2" t="str">
        <f>HYPERLINK("https://vectorbase.org/vectorbase/app/record/gene/AGAP010514","AGAP010514-RA")</f>
        <v>AGAP010514-RA</v>
      </c>
      <c r="K308" s="2" t="str">
        <f>HYPERLINK(".\links\pep\AGAP010514-PA-pep.txt","AGAP010514-PA")</f>
        <v>AGAP010514-PA</v>
      </c>
      <c r="L308" s="12" t="s">
        <v>95</v>
      </c>
      <c r="M308" s="2">
        <v>351</v>
      </c>
      <c r="N308" s="2">
        <v>0</v>
      </c>
      <c r="O308" s="2">
        <v>1</v>
      </c>
      <c r="P308" s="2" t="s">
        <v>3356</v>
      </c>
      <c r="Q308" s="9" t="s">
        <v>3357</v>
      </c>
      <c r="R308" s="2" t="s">
        <v>101</v>
      </c>
      <c r="S308" s="2" t="str">
        <f>HYPERLINK(".\links\REFSEQ-INVERTEBRATE\AGAP010514-PA-REFSEQ-INVERTEBRATE.txt","REFSEQ-INVERTEBRATE")</f>
        <v>REFSEQ-INVERTEBRATE</v>
      </c>
      <c r="T308" s="2">
        <v>0</v>
      </c>
      <c r="U308" s="2">
        <v>101.7</v>
      </c>
      <c r="V308" s="2" t="s">
        <v>3358</v>
      </c>
      <c r="W308" s="10" t="s">
        <v>3359</v>
      </c>
      <c r="X308" s="2" t="s">
        <v>101</v>
      </c>
      <c r="Y308" s="2" t="str">
        <f>HYPERLINK(".\links\REFSEQVERTEBRATE95\AGAP010514-PA-REFSEQVERTEBRATE95.txt","REFSEQVERTEBRATE95")</f>
        <v>REFSEQVERTEBRATE95</v>
      </c>
      <c r="Z308" s="2">
        <v>0</v>
      </c>
      <c r="AA308" s="2">
        <v>101.4</v>
      </c>
      <c r="AB308" s="13" t="s">
        <v>102</v>
      </c>
      <c r="AC308" s="13" t="str">
        <f>HYPERLINK(".\links\Sigp\AGAP010514-PA-SigP.txt","CYT")</f>
        <v>CYT</v>
      </c>
      <c r="AD308" s="2" t="s">
        <v>102</v>
      </c>
      <c r="AE308" s="2">
        <v>40.433</v>
      </c>
      <c r="AF308" s="2">
        <v>5.91</v>
      </c>
      <c r="AG308" s="2" t="s">
        <v>102</v>
      </c>
      <c r="AH308" s="2" t="s">
        <v>102</v>
      </c>
      <c r="AI308" s="2" t="s">
        <v>211</v>
      </c>
      <c r="AJ308" s="13">
        <v>0</v>
      </c>
      <c r="AK308" s="2" t="s">
        <v>102</v>
      </c>
      <c r="AL308" s="2" t="s">
        <v>102</v>
      </c>
      <c r="AM308" s="2" t="s">
        <v>102</v>
      </c>
      <c r="AN308" s="13" t="str">
        <f>HYPERLINK(".\links\gpi\AGAP010514-PA-gpi.txt","N")</f>
        <v>N</v>
      </c>
      <c r="AO308" s="14" t="str">
        <f>HYPERLINK(".\links\netoglyc\AGAP010514-PA-netoglyc.txt","0")</f>
        <v>0</v>
      </c>
      <c r="AP308" s="13">
        <v>13.4</v>
      </c>
      <c r="AQ308" s="2">
        <v>6.3</v>
      </c>
      <c r="AR308" s="2">
        <v>2.8</v>
      </c>
      <c r="AS308" s="2" t="s">
        <v>104</v>
      </c>
      <c r="AT308" s="9" t="str">
        <f>HYPERLINK(".\links\NR-LIGHT\AGAP010514-PA-NR-LIGHT.txt","AGAP010514-PA")</f>
        <v>AGAP010514-PA</v>
      </c>
      <c r="AU308" s="2" t="str">
        <f>HYPERLINK("http://www.ncbi.nlm.nih.gov/sutils/blink.cgi?pid=XP_314487.3","0.0")</f>
        <v>0.0</v>
      </c>
      <c r="AV308" s="2" t="str">
        <f>HYPERLINK("http://www.ncbi.nlm.nih.gov/protein/XP_314487.3","XP_314487.3")</f>
        <v>XP_314487.3</v>
      </c>
      <c r="AW308" s="2">
        <v>100</v>
      </c>
      <c r="AX308" s="2">
        <v>100</v>
      </c>
      <c r="AY308" s="2">
        <v>100</v>
      </c>
      <c r="AZ308" s="2" t="s">
        <v>105</v>
      </c>
      <c r="BA308" s="9" t="str">
        <f>HYPERLINK(".\links\REFSEQ-INVERTEBRATE\AGAP010514-PA-REFSEQ-INVERTEBRATE.txt","AGAP010514-PA")</f>
        <v>AGAP010514-PA</v>
      </c>
      <c r="BB308" s="2" t="str">
        <f>HYPERLINK("http://www.ncbi.nlm.nih.gov/sutils/blink.cgi?pid=XP_314487.3","0.0")</f>
        <v>0.0</v>
      </c>
      <c r="BC308" s="2" t="str">
        <f>HYPERLINK("http://www.ncbi.nlm.nih.gov/protein/XP_314487.3","XP_314487.3")</f>
        <v>XP_314487.3</v>
      </c>
      <c r="BD308" s="2">
        <v>100</v>
      </c>
      <c r="BE308" s="2">
        <v>100</v>
      </c>
      <c r="BF308" s="2">
        <v>100</v>
      </c>
      <c r="BG308" s="2" t="s">
        <v>105</v>
      </c>
      <c r="BH308" s="9" t="str">
        <f>HYPERLINK(".\links\REFSEQ-PROTOZOA\AGAP010514-PA-REFSEQ-PROTOZOA.txt","hypothetical protein PTSG_00408")</f>
        <v>hypothetical protein PTSG_00408</v>
      </c>
      <c r="BI308" s="2" t="str">
        <f>HYPERLINK("http://www.ncbi.nlm.nih.gov/sutils/blink.cgi?pid=XP_004998956.1","1E-072")</f>
        <v>1E-072</v>
      </c>
      <c r="BJ308" s="2" t="str">
        <f>HYPERLINK("http://www.ncbi.nlm.nih.gov/protein/XP_004998956.1","XP_004998956.1")</f>
        <v>XP_004998956.1</v>
      </c>
      <c r="BK308" s="2">
        <v>42</v>
      </c>
      <c r="BL308" s="2">
        <v>59</v>
      </c>
      <c r="BM308" s="2">
        <v>104</v>
      </c>
      <c r="BN308" s="2" t="s">
        <v>435</v>
      </c>
      <c r="BO308" s="9" t="str">
        <f>HYPERLINK(".\links\SWISSP\AGAP010514-PA-SWISSP.txt","Activator of 90 kDa heat shock protein ATPase homolog 1")</f>
        <v>Activator of 90 kDa heat shock protein ATPase homolog 1</v>
      </c>
      <c r="BP308" s="2" t="str">
        <f>HYPERLINK("http://www.uniprot.org/uniprot/O95433","1E-078")</f>
        <v>1E-078</v>
      </c>
      <c r="BQ308" s="2" t="str">
        <f>HYPERLINK("http://www.uniprot.org/uniprot/O95433#expression","O95433")</f>
        <v>O95433</v>
      </c>
      <c r="BR308" s="2">
        <v>44</v>
      </c>
      <c r="BS308" s="2">
        <v>58</v>
      </c>
      <c r="BT308" s="2">
        <v>104</v>
      </c>
      <c r="BU308" s="2" t="s">
        <v>127</v>
      </c>
      <c r="BV308" s="9" t="str">
        <f>HYPERLINK(".\links\FLYBASE\AGAP010514-PA-FLYBASE.txt","FBpp0085260")</f>
        <v>FBpp0085260</v>
      </c>
      <c r="BW308" s="2" t="str">
        <f>HYPERLINK("http://flybase.org/reports/FBgn0032961#alliance_summary_container","1E-144")</f>
        <v>1E-144</v>
      </c>
      <c r="BX308" s="2">
        <v>354</v>
      </c>
      <c r="BY308" s="2">
        <v>56</v>
      </c>
      <c r="BZ308" s="2">
        <v>71</v>
      </c>
      <c r="CA308" s="2">
        <v>100</v>
      </c>
      <c r="CB308" s="9" t="str">
        <f>HYPERLINK(".\links\CDD\AGAP010514-PA-CDD.txt","SRPBCC_Aha1, Putative hydrophobic ligand-binding SRPBCC domain of the Hsp90 co-chaperone Aha1 and related proteins")</f>
        <v>SRPBCC_Aha1, Putative hydrophobic ligand-binding SRPBCC domain of the Hsp90 co-chaperone Aha1 and related proteins</v>
      </c>
      <c r="CC308" s="15">
        <v>3E-51</v>
      </c>
      <c r="CD308" s="2">
        <v>100</v>
      </c>
      <c r="CE308" s="2" t="s">
        <v>3360</v>
      </c>
      <c r="CF308" s="2" t="s">
        <v>3361</v>
      </c>
      <c r="CG308" s="9" t="str">
        <f>HYPERLINK(".\links\KOG\AGAP010514-PA-KOG.txt","Uncharacterized conserved protein")</f>
        <v>Uncharacterized conserved protein</v>
      </c>
      <c r="CH308" s="15">
        <v>9.0000000000000002E-69</v>
      </c>
      <c r="CI308" s="2">
        <v>111.3</v>
      </c>
      <c r="CJ308" s="2" t="s">
        <v>3362</v>
      </c>
      <c r="CK308" s="2" t="s">
        <v>284</v>
      </c>
      <c r="CL308" s="9" t="str">
        <f>HYPERLINK(".\links\PFAM\AGAP010514-PA-PFAM.txt","Aha1_N, Activator of Hsp90 ATPase, N-terminal")</f>
        <v>Aha1_N, Activator of Hsp90 ATPase, N-terminal</v>
      </c>
      <c r="CM308" s="15">
        <v>1E-35</v>
      </c>
      <c r="CN308" s="2">
        <v>100</v>
      </c>
      <c r="CO308" s="2" t="s">
        <v>3363</v>
      </c>
      <c r="CP308" s="9" t="str">
        <f>HYPERLINK(".\links\SMART\AGAP010514-PA-SMART.txt","Aha1_N, Activator of Hsp90 ATPase, N-terminal")</f>
        <v>Aha1_N, Activator of Hsp90 ATPase, N-terminal</v>
      </c>
      <c r="CQ308" s="15">
        <v>7.9999999999999994E-34</v>
      </c>
      <c r="CR308" s="2">
        <v>99.3</v>
      </c>
      <c r="CS308" s="2" t="s">
        <v>3364</v>
      </c>
      <c r="CT308" s="2" t="s">
        <v>3358</v>
      </c>
      <c r="CU308" s="2" t="s">
        <v>3358</v>
      </c>
      <c r="CV308" s="2" t="s">
        <v>3358</v>
      </c>
      <c r="CW308" s="2" t="str">
        <f>HYPERLINK(".\links\pep\AGAP010514-PA-pep.txt","AGAP010514-PA")</f>
        <v>AGAP010514-PA</v>
      </c>
      <c r="CX308" s="2" t="s">
        <v>95</v>
      </c>
      <c r="CY308" s="2">
        <v>351</v>
      </c>
      <c r="CZ308" s="2" t="s">
        <v>113</v>
      </c>
      <c r="DA308" s="2" t="s">
        <v>3365</v>
      </c>
      <c r="DB308" s="2">
        <v>0</v>
      </c>
      <c r="DC308" s="2">
        <v>1</v>
      </c>
      <c r="DD308" s="2" t="str">
        <f>HYPERLINK("https://www.kegg.jp/kegg-bin/search_pathway_text?map=aga&amp;keyword=AGAP010514&amp;mode=1&amp;viewImage=true","AGAP010514")</f>
        <v>AGAP010514</v>
      </c>
      <c r="DE308" s="2" t="s">
        <v>3354</v>
      </c>
      <c r="DF308" s="2" t="s">
        <v>3355</v>
      </c>
      <c r="DG308" s="2" t="s">
        <v>94</v>
      </c>
      <c r="DH308" s="2" t="str">
        <f>HYPERLINK("https://vectorbase.org/vectorbase/app/record/gene/AGAP010514","AGAP010514-RA")</f>
        <v>AGAP010514-RA</v>
      </c>
      <c r="DI308" s="2" t="s">
        <v>115</v>
      </c>
      <c r="DJ308" s="2">
        <v>2039</v>
      </c>
      <c r="DK308" s="2" t="str">
        <f>HYPERLINK(".\links\netoglyc\AGAP010514-PA-netoglyc.txt","0")</f>
        <v>0</v>
      </c>
      <c r="DL308" s="2">
        <v>13.4</v>
      </c>
      <c r="DM308" s="2">
        <v>6.3</v>
      </c>
      <c r="DN308" s="2">
        <v>2.8</v>
      </c>
      <c r="DO308" s="2" t="s">
        <v>104</v>
      </c>
      <c r="DP308" s="2" t="s">
        <v>102</v>
      </c>
      <c r="DQ308" s="2" t="str">
        <f>HYPERLINK(".\links\Sigp\AGAP010514-PA-SigP.txt","CYT")</f>
        <v>CYT</v>
      </c>
      <c r="DR308" s="2" t="s">
        <v>102</v>
      </c>
      <c r="DS308" s="2">
        <v>40.433</v>
      </c>
      <c r="DT308" s="2">
        <v>5.91</v>
      </c>
      <c r="DU308" s="2" t="s">
        <v>102</v>
      </c>
      <c r="DV308" s="2" t="s">
        <v>102</v>
      </c>
      <c r="DW308" s="2" t="s">
        <v>211</v>
      </c>
      <c r="DX308" s="2">
        <v>351</v>
      </c>
      <c r="DY308" s="12">
        <v>0</v>
      </c>
      <c r="DZ308" s="2" t="s">
        <v>102</v>
      </c>
      <c r="EA308" s="2" t="s">
        <v>102</v>
      </c>
      <c r="EB308" s="2" t="s">
        <v>102</v>
      </c>
      <c r="EC308" s="2" t="str">
        <f>HYPERLINK(".\links\gpi\AGAP010514-PA-gpi.txt","N")</f>
        <v>N</v>
      </c>
      <c r="ED308" s="2">
        <v>0.33</v>
      </c>
      <c r="EE308" s="2" t="s">
        <v>3366</v>
      </c>
      <c r="EF308" s="2">
        <v>4</v>
      </c>
      <c r="EG308" s="2" t="s">
        <v>102</v>
      </c>
      <c r="EH308" s="2" t="s">
        <v>102</v>
      </c>
      <c r="EI308" s="2">
        <v>13.3903133903134</v>
      </c>
      <c r="EJ308" s="2">
        <v>2.8490028490028498</v>
      </c>
      <c r="EK308" s="2">
        <v>6.2678062678062698</v>
      </c>
      <c r="EL308" s="2">
        <v>9.1168091168091205</v>
      </c>
      <c r="EM308" s="2" t="s">
        <v>102</v>
      </c>
      <c r="EN308" s="2">
        <v>4</v>
      </c>
      <c r="EO308" s="2">
        <v>4</v>
      </c>
      <c r="EP308" s="2" t="s">
        <v>102</v>
      </c>
      <c r="EQ308" s="2" t="s">
        <v>102</v>
      </c>
      <c r="ER308" s="2" t="s">
        <v>102</v>
      </c>
      <c r="ES308" s="2" t="s">
        <v>102</v>
      </c>
      <c r="ET308" s="2" t="str">
        <f>HYPERLINK(".\links\REFSEQ-INVERTEBRATE\AGAP010514-PA-REFSEQ-INVERTEBRATE.txt","AGAP010514-PA")</f>
        <v>AGAP010514-PA</v>
      </c>
      <c r="EU308" s="2" t="str">
        <f>HYPERLINK("http://www.ncbi.nlm.nih.gov/sutils/blink.cgi?pid=XP_314487.3","0.0")</f>
        <v>0.0</v>
      </c>
      <c r="EV308" s="2" t="str">
        <f>HYPERLINK("http://www.ncbi.nlm.nih.gov/protein/XP_314487.3","XP_314487.3")</f>
        <v>XP_314487.3</v>
      </c>
      <c r="EW308" s="2">
        <v>100</v>
      </c>
      <c r="EX308" s="2">
        <v>100</v>
      </c>
      <c r="EY308" s="2">
        <v>100</v>
      </c>
      <c r="EZ308" s="2" t="s">
        <v>105</v>
      </c>
    </row>
    <row r="309" spans="1:156" x14ac:dyDescent="0.25">
      <c r="A309" s="2" t="s">
        <v>3367</v>
      </c>
      <c r="B309" s="2">
        <v>0.24164794555501101</v>
      </c>
      <c r="C309" s="2">
        <f t="shared" si="4"/>
        <v>1.182342443277721</v>
      </c>
      <c r="D309" s="2">
        <v>8.1626665680563697</v>
      </c>
      <c r="E309" s="2">
        <v>10.086396366085101</v>
      </c>
      <c r="F309" s="2">
        <v>1.49367929119489E-3</v>
      </c>
      <c r="G309" s="2">
        <v>3.8036716833916302E-2</v>
      </c>
      <c r="H309" s="2" t="s">
        <v>3368</v>
      </c>
      <c r="I309" s="2" t="s">
        <v>94</v>
      </c>
      <c r="J309" s="2" t="str">
        <f>HYPERLINK("https://vectorbase.org/vectorbase/app/record/gene/AGAP004535","AGAP004535-RA")</f>
        <v>AGAP004535-RA</v>
      </c>
      <c r="K309" s="2" t="str">
        <f>HYPERLINK(".\links\pep\AGAP004535-PA-pep.txt","AGAP004535-PA")</f>
        <v>AGAP004535-PA</v>
      </c>
      <c r="L309" s="12" t="s">
        <v>95</v>
      </c>
      <c r="M309" s="2">
        <v>1089</v>
      </c>
      <c r="N309" s="2">
        <v>0</v>
      </c>
      <c r="O309" s="2">
        <v>4</v>
      </c>
      <c r="P309" s="2" t="s">
        <v>3369</v>
      </c>
      <c r="Q309" s="9" t="s">
        <v>3370</v>
      </c>
      <c r="R309" s="2" t="s">
        <v>717</v>
      </c>
      <c r="S309" s="2" t="str">
        <f>HYPERLINK(".\links\KOG\AGAP004535-PA-KOG.txt","KOG")</f>
        <v>KOG</v>
      </c>
      <c r="T309" s="2">
        <v>0</v>
      </c>
      <c r="U309" s="2">
        <v>100.8</v>
      </c>
      <c r="V309" s="2" t="s">
        <v>3371</v>
      </c>
      <c r="W309" s="10" t="s">
        <v>3372</v>
      </c>
      <c r="X309" s="2" t="s">
        <v>717</v>
      </c>
      <c r="Y309" s="2" t="str">
        <f>HYPERLINK(".\links\KOG\AGAP004535-PA-KOG.txt","KOG")</f>
        <v>KOG</v>
      </c>
      <c r="Z309" s="2">
        <v>0</v>
      </c>
      <c r="AA309" s="2">
        <v>100.8</v>
      </c>
      <c r="AB309" s="13" t="str">
        <f>HYPERLINK(".\links\pep\AGAP004535-PA-sulf.txt","1")</f>
        <v>1</v>
      </c>
      <c r="AC309" s="13" t="str">
        <f>HYPERLINK(".\links\Sigp\AGAP004535-PA-SigP.txt","CYT")</f>
        <v>CYT</v>
      </c>
      <c r="AD309" s="2" t="s">
        <v>102</v>
      </c>
      <c r="AE309" s="2">
        <v>125.188</v>
      </c>
      <c r="AF309" s="2">
        <v>5.79</v>
      </c>
      <c r="AG309" s="2" t="s">
        <v>102</v>
      </c>
      <c r="AH309" s="2" t="s">
        <v>102</v>
      </c>
      <c r="AI309" s="2" t="s">
        <v>2739</v>
      </c>
      <c r="AJ309" s="13">
        <v>0</v>
      </c>
      <c r="AK309" s="2" t="s">
        <v>102</v>
      </c>
      <c r="AL309" s="2" t="s">
        <v>102</v>
      </c>
      <c r="AM309" s="2" t="s">
        <v>102</v>
      </c>
      <c r="AN309" s="13" t="str">
        <f>HYPERLINK(".\links\gpi\AGAP004535-PA-gpi.txt","N")</f>
        <v>N</v>
      </c>
      <c r="AO309" s="14" t="str">
        <f>HYPERLINK(".\links\netoglyc\AGAP004535-PA-netoglyc.txt","0")</f>
        <v>0</v>
      </c>
      <c r="AP309" s="13">
        <v>13.1</v>
      </c>
      <c r="AQ309" s="2">
        <v>2.8</v>
      </c>
      <c r="AR309" s="2">
        <v>3.9</v>
      </c>
      <c r="AS309" s="2" t="s">
        <v>104</v>
      </c>
      <c r="AT309" s="9" t="str">
        <f>HYPERLINK(".\links\NR-LIGHT\AGAP004535-PA-NR-LIGHT.txt","AGAP004535-PA")</f>
        <v>AGAP004535-PA</v>
      </c>
      <c r="AU309" s="2" t="str">
        <f>HYPERLINK("http://www.ncbi.nlm.nih.gov/sutils/blink.cgi?pid=XP_313837.5","0.0")</f>
        <v>0.0</v>
      </c>
      <c r="AV309" s="2" t="str">
        <f>HYPERLINK("http://www.ncbi.nlm.nih.gov/protein/XP_313837.5","XP_313837.5")</f>
        <v>XP_313837.5</v>
      </c>
      <c r="AW309" s="2">
        <v>100</v>
      </c>
      <c r="AX309" s="2">
        <v>100</v>
      </c>
      <c r="AY309" s="2">
        <v>100</v>
      </c>
      <c r="AZ309" s="2" t="s">
        <v>105</v>
      </c>
      <c r="BA309" s="9" t="str">
        <f>HYPERLINK(".\links\REFSEQ-INVERTEBRATE\AGAP004535-PA-REFSEQ-INVERTEBRATE.txt","AGAP004535-PA")</f>
        <v>AGAP004535-PA</v>
      </c>
      <c r="BB309" s="2" t="str">
        <f>HYPERLINK("http://www.ncbi.nlm.nih.gov/sutils/blink.cgi?pid=XP_313837.5","0.0")</f>
        <v>0.0</v>
      </c>
      <c r="BC309" s="2" t="str">
        <f>HYPERLINK("http://www.ncbi.nlm.nih.gov/protein/XP_313837.5","XP_313837.5")</f>
        <v>XP_313837.5</v>
      </c>
      <c r="BD309" s="2">
        <v>100</v>
      </c>
      <c r="BE309" s="2">
        <v>100</v>
      </c>
      <c r="BF309" s="2">
        <v>100</v>
      </c>
      <c r="BG309" s="2" t="s">
        <v>105</v>
      </c>
      <c r="BH309" s="9" t="str">
        <f>HYPERLINK(".\links\REFSEQ-PROTOZOA\AGAP004535-PA-REFSEQ-PROTOZOA.txt","hypothetical protein")</f>
        <v>hypothetical protein</v>
      </c>
      <c r="BI309" s="2" t="str">
        <f>HYPERLINK("http://www.ncbi.nlm.nih.gov/sutils/blink.cgi?pid=XP_001748284.1","0.0")</f>
        <v>0.0</v>
      </c>
      <c r="BJ309" s="2" t="str">
        <f>HYPERLINK("http://www.ncbi.nlm.nih.gov/protein/XP_001748284.1","XP_001748284.1")</f>
        <v>XP_001748284.1</v>
      </c>
      <c r="BK309" s="2">
        <v>36</v>
      </c>
      <c r="BL309" s="2">
        <v>57</v>
      </c>
      <c r="BM309" s="2">
        <v>41</v>
      </c>
      <c r="BN309" s="2" t="s">
        <v>248</v>
      </c>
      <c r="BO309" s="9" t="str">
        <f>HYPERLINK(".\links\SWISSP\AGAP004535-PA-SWISSP.txt","Ran-binding protein 16")</f>
        <v>Ran-binding protein 16</v>
      </c>
      <c r="BP309" s="2" t="str">
        <f>HYPERLINK("http://www.uniprot.org/uniprot/Q9GQN0","0.0")</f>
        <v>0.0</v>
      </c>
      <c r="BQ309" s="2" t="str">
        <f>HYPERLINK("http://www.uniprot.org/uniprot/Q9GQN0#expression","Q9GQN0")</f>
        <v>Q9GQN0</v>
      </c>
      <c r="BR309" s="2">
        <v>60</v>
      </c>
      <c r="BS309" s="2">
        <v>78</v>
      </c>
      <c r="BT309" s="2">
        <v>98</v>
      </c>
      <c r="BU309" s="2" t="s">
        <v>107</v>
      </c>
      <c r="BV309" s="9" t="str">
        <f>HYPERLINK(".\links\FLYBASE\AGAP004535-PA-FLYBASE.txt","FBpp0292664")</f>
        <v>FBpp0292664</v>
      </c>
      <c r="BW309" s="2" t="str">
        <f>HYPERLINK("http://flybase.org/reports/FBgn0053180#alliance_summary_container","0.0")</f>
        <v>0.0</v>
      </c>
      <c r="BX309" s="2">
        <v>1110</v>
      </c>
      <c r="BY309" s="2">
        <v>59</v>
      </c>
      <c r="BZ309" s="2">
        <v>77</v>
      </c>
      <c r="CA309" s="2">
        <v>99</v>
      </c>
      <c r="CB309" s="9" t="str">
        <f>HYPERLINK(".\links\CDD\AGAP004535-PA-CDD.txt","IBN_N, Importin-beta N-terminal domain")</f>
        <v>IBN_N, Importin-beta N-terminal domain</v>
      </c>
      <c r="CC309" s="15">
        <v>7.0000000000000005E-8</v>
      </c>
      <c r="CD309" s="2">
        <v>100</v>
      </c>
      <c r="CE309" s="2" t="s">
        <v>3373</v>
      </c>
      <c r="CF309" s="2" t="s">
        <v>3374</v>
      </c>
      <c r="CG309" s="9" t="str">
        <f>HYPERLINK(".\links\KOG\AGAP004535-PA-KOG.txt","Nuclear transport receptor RanBP16 (importin beta superfamily)")</f>
        <v>Nuclear transport receptor RanBP16 (importin beta superfamily)</v>
      </c>
      <c r="CH309" s="15">
        <v>0</v>
      </c>
      <c r="CI309" s="2">
        <v>100.8</v>
      </c>
      <c r="CJ309" s="2" t="s">
        <v>3375</v>
      </c>
      <c r="CK309" s="2" t="s">
        <v>3376</v>
      </c>
      <c r="CL309" s="9" t="str">
        <f>HYPERLINK(".\links\PFAM\AGAP004535-PA-PFAM.txt","IBN_N, Importin-beta N-terminal domain")</f>
        <v>IBN_N, Importin-beta N-terminal domain</v>
      </c>
      <c r="CM309" s="15">
        <v>9.0000000000000006E-5</v>
      </c>
      <c r="CN309" s="2">
        <v>100</v>
      </c>
      <c r="CO309" s="2" t="s">
        <v>3377</v>
      </c>
      <c r="CP309" s="9" t="str">
        <f>HYPERLINK(".\links\SMART\AGAP004535-PA-SMART.txt","IBN_N, Importin-beta N-terminal domain")</f>
        <v>IBN_N, Importin-beta N-terminal domain</v>
      </c>
      <c r="CQ309" s="15">
        <v>5.0000000000000003E-10</v>
      </c>
      <c r="CR309" s="2">
        <v>100</v>
      </c>
      <c r="CS309" s="2" t="s">
        <v>3373</v>
      </c>
      <c r="CT309" s="2" t="s">
        <v>3371</v>
      </c>
      <c r="CU309" s="2" t="s">
        <v>3371</v>
      </c>
      <c r="CV309" s="2" t="s">
        <v>3371</v>
      </c>
      <c r="CW309" s="2" t="str">
        <f>HYPERLINK(".\links\pep\AGAP004535-PA-pep.txt","AGAP004535-PA")</f>
        <v>AGAP004535-PA</v>
      </c>
      <c r="CX309" s="2" t="s">
        <v>95</v>
      </c>
      <c r="CY309" s="2">
        <v>1089</v>
      </c>
      <c r="CZ309" s="2" t="s">
        <v>113</v>
      </c>
      <c r="DA309" s="2" t="s">
        <v>3378</v>
      </c>
      <c r="DB309" s="2">
        <v>0</v>
      </c>
      <c r="DC309" s="2">
        <v>4</v>
      </c>
      <c r="DD309" s="2" t="str">
        <f>HYPERLINK("https://www.kegg.jp/kegg-bin/search_pathway_text?map=aga&amp;keyword=AGAP004535&amp;mode=1&amp;viewImage=true","AGAP004535")</f>
        <v>AGAP004535</v>
      </c>
      <c r="DE309" s="2" t="s">
        <v>3367</v>
      </c>
      <c r="DF309" s="2" t="s">
        <v>3368</v>
      </c>
      <c r="DG309" s="2" t="s">
        <v>94</v>
      </c>
      <c r="DH309" s="2" t="str">
        <f>HYPERLINK("https://vectorbase.org/vectorbase/app/record/gene/AGAP004535","AGAP004535-RA")</f>
        <v>AGAP004535-RA</v>
      </c>
      <c r="DI309" s="2" t="s">
        <v>115</v>
      </c>
      <c r="DJ309" s="2">
        <v>4769</v>
      </c>
      <c r="DK309" s="2" t="str">
        <f>HYPERLINK(".\links\netoglyc\AGAP004535-PA-netoglyc.txt","0")</f>
        <v>0</v>
      </c>
      <c r="DL309" s="2">
        <v>13.1</v>
      </c>
      <c r="DM309" s="2">
        <v>2.8</v>
      </c>
      <c r="DN309" s="2">
        <v>3.9</v>
      </c>
      <c r="DO309" s="2" t="s">
        <v>104</v>
      </c>
      <c r="DP309" s="2" t="s">
        <v>102</v>
      </c>
      <c r="DQ309" s="2" t="str">
        <f>HYPERLINK(".\links\Sigp\AGAP004535-PA-SigP.txt","CYT")</f>
        <v>CYT</v>
      </c>
      <c r="DR309" s="2" t="s">
        <v>102</v>
      </c>
      <c r="DS309" s="2">
        <v>125.188</v>
      </c>
      <c r="DT309" s="2">
        <v>5.79</v>
      </c>
      <c r="DU309" s="2" t="s">
        <v>102</v>
      </c>
      <c r="DV309" s="2" t="s">
        <v>102</v>
      </c>
      <c r="DW309" s="2" t="s">
        <v>2739</v>
      </c>
      <c r="DX309" s="2">
        <v>1089</v>
      </c>
      <c r="DY309" s="12">
        <v>0</v>
      </c>
      <c r="DZ309" s="2" t="s">
        <v>102</v>
      </c>
      <c r="EA309" s="2" t="s">
        <v>102</v>
      </c>
      <c r="EB309" s="2" t="s">
        <v>102</v>
      </c>
      <c r="EC309" s="2" t="str">
        <f>HYPERLINK(".\links\gpi\AGAP004535-PA-gpi.txt","Y-NoSP")</f>
        <v>Y-NoSP</v>
      </c>
      <c r="ED309" s="2">
        <v>0.26</v>
      </c>
      <c r="EF309" s="2">
        <v>30</v>
      </c>
      <c r="EG309" s="2" t="str">
        <f>HYPERLINK(".\links\pep\AGAP004535-PA-sulf.txt","1")</f>
        <v>1</v>
      </c>
      <c r="EH309" s="2" t="s">
        <v>102</v>
      </c>
      <c r="EI309" s="2">
        <v>13.1313131313131</v>
      </c>
      <c r="EJ309" s="2">
        <v>3.9485766758494001</v>
      </c>
      <c r="EK309" s="2">
        <v>2.8466483011937598</v>
      </c>
      <c r="EL309" s="2">
        <v>6.7952249770431603</v>
      </c>
      <c r="EM309" s="2" t="s">
        <v>102</v>
      </c>
      <c r="EN309" s="2">
        <v>2</v>
      </c>
      <c r="EO309" s="2">
        <v>2</v>
      </c>
      <c r="EP309" s="2" t="s">
        <v>102</v>
      </c>
      <c r="EQ309" s="2" t="s">
        <v>102</v>
      </c>
      <c r="ER309" s="2" t="s">
        <v>102</v>
      </c>
      <c r="ES309" s="2" t="s">
        <v>102</v>
      </c>
      <c r="ET309" s="2" t="str">
        <f>HYPERLINK(".\links\REFSEQ-INVERTEBRATE\AGAP004535-PA-REFSEQ-INVERTEBRATE.txt","AGAP004535-PA")</f>
        <v>AGAP004535-PA</v>
      </c>
      <c r="EU309" s="2" t="str">
        <f>HYPERLINK("http://www.ncbi.nlm.nih.gov/sutils/blink.cgi?pid=XP_313837.5","0.0")</f>
        <v>0.0</v>
      </c>
      <c r="EV309" s="2" t="str">
        <f>HYPERLINK("http://www.ncbi.nlm.nih.gov/protein/XP_313837.5","XP_313837.5")</f>
        <v>XP_313837.5</v>
      </c>
      <c r="EW309" s="2">
        <v>100</v>
      </c>
      <c r="EX309" s="2">
        <v>100</v>
      </c>
      <c r="EY309" s="2">
        <v>100</v>
      </c>
      <c r="EZ309" s="2" t="s">
        <v>105</v>
      </c>
    </row>
    <row r="310" spans="1:156" x14ac:dyDescent="0.25">
      <c r="A310" s="2" t="s">
        <v>3379</v>
      </c>
      <c r="B310" s="2">
        <v>0.240019671210814</v>
      </c>
      <c r="C310" s="2">
        <f t="shared" si="4"/>
        <v>1.1810087644265856</v>
      </c>
      <c r="D310" s="2">
        <v>5.8716522882001598</v>
      </c>
      <c r="E310" s="2">
        <v>9.2732236879776693</v>
      </c>
      <c r="F310" s="2">
        <v>2.3252808347238802E-3</v>
      </c>
      <c r="G310" s="2">
        <v>4.58876742400747E-2</v>
      </c>
      <c r="H310" s="2" t="s">
        <v>3380</v>
      </c>
      <c r="I310" s="2" t="s">
        <v>94</v>
      </c>
      <c r="J310" s="2" t="str">
        <f>HYPERLINK("https://vectorbase.org/vectorbase/app/record/gene/AGAP002533","AGAP002533-RA")</f>
        <v>AGAP002533-RA</v>
      </c>
      <c r="K310" s="2" t="str">
        <f>HYPERLINK(".\links\pep\AGAP002533-PA-pep.txt","AGAP002533-PA")</f>
        <v>AGAP002533-PA</v>
      </c>
      <c r="L310" s="12" t="s">
        <v>95</v>
      </c>
      <c r="M310" s="2">
        <v>222</v>
      </c>
      <c r="N310" s="2">
        <v>0</v>
      </c>
      <c r="O310" s="2">
        <v>1</v>
      </c>
      <c r="P310" s="2" t="s">
        <v>3381</v>
      </c>
      <c r="Q310" s="9" t="s">
        <v>3381</v>
      </c>
      <c r="R310" s="2" t="s">
        <v>822</v>
      </c>
      <c r="S310" s="2" t="str">
        <f>HYPERLINK(".\links\REFSEQ-INVERTEBRATE\AGAP002533-PA-REFSEQ-INVERTEBRATE.txt","REFSEQ-INVERTEBRATE")</f>
        <v>REFSEQ-INVERTEBRATE</v>
      </c>
      <c r="T310" s="2">
        <v>0</v>
      </c>
      <c r="U310" s="2">
        <v>100</v>
      </c>
      <c r="V310" s="2" t="s">
        <v>3382</v>
      </c>
      <c r="W310" s="10" t="s">
        <v>3383</v>
      </c>
      <c r="X310" s="2" t="s">
        <v>822</v>
      </c>
      <c r="Y310" s="2" t="str">
        <f>HYPERLINK(".\links\REFSEQVERTEBRATE95\AGAP002533-PA-REFSEQVERTEBRATE95.txt","REFSEQVERTEBRATE95")</f>
        <v>REFSEQVERTEBRATE95</v>
      </c>
      <c r="Z310" s="2">
        <v>0</v>
      </c>
      <c r="AA310" s="2">
        <v>96</v>
      </c>
      <c r="AB310" s="13" t="str">
        <f>HYPERLINK(".\links\pep\AGAP002533-PA-sulf.txt","1")</f>
        <v>1</v>
      </c>
      <c r="AC310" s="13" t="str">
        <f>HYPERLINK(".\links\Sigp\AGAP002533-PA-SigP.txt","CYT")</f>
        <v>CYT</v>
      </c>
      <c r="AD310" s="2" t="s">
        <v>102</v>
      </c>
      <c r="AE310" s="2">
        <v>26.585999999999999</v>
      </c>
      <c r="AF310" s="2">
        <v>8.2200000000000006</v>
      </c>
      <c r="AG310" s="2" t="s">
        <v>102</v>
      </c>
      <c r="AH310" s="2" t="s">
        <v>102</v>
      </c>
      <c r="AI310" s="2" t="s">
        <v>211</v>
      </c>
      <c r="AJ310" s="13">
        <v>0</v>
      </c>
      <c r="AK310" s="2" t="s">
        <v>102</v>
      </c>
      <c r="AL310" s="2" t="s">
        <v>102</v>
      </c>
      <c r="AM310" s="2" t="s">
        <v>102</v>
      </c>
      <c r="AN310" s="13" t="str">
        <f>HYPERLINK(".\links\gpi\AGAP002533-PA-gpi.txt","N")</f>
        <v>N</v>
      </c>
      <c r="AO310" s="14" t="str">
        <f>HYPERLINK(".\links\netoglyc\AGAP002533-PA-netoglyc.txt","0")</f>
        <v>0</v>
      </c>
      <c r="AP310" s="13">
        <v>9.5</v>
      </c>
      <c r="AQ310" s="2">
        <v>1.4</v>
      </c>
      <c r="AR310" s="2">
        <v>4.0999999999999996</v>
      </c>
      <c r="AS310" s="2" t="s">
        <v>104</v>
      </c>
      <c r="AT310" s="9" t="str">
        <f>HYPERLINK(".\links\NR-LIGHT\AGAP002533-PA-NR-LIGHT.txt","AGAP002533-PA")</f>
        <v>AGAP002533-PA</v>
      </c>
      <c r="AU310" s="2" t="str">
        <f>HYPERLINK("http://www.ncbi.nlm.nih.gov/sutils/blink.cgi?pid=XP_312405.2","1E-131")</f>
        <v>1E-131</v>
      </c>
      <c r="AV310" s="2" t="str">
        <f>HYPERLINK("http://www.ncbi.nlm.nih.gov/protein/XP_312405.2","XP_312405.2")</f>
        <v>XP_312405.2</v>
      </c>
      <c r="AW310" s="2">
        <v>100</v>
      </c>
      <c r="AX310" s="2">
        <v>100</v>
      </c>
      <c r="AY310" s="2">
        <v>100</v>
      </c>
      <c r="AZ310" s="2" t="s">
        <v>105</v>
      </c>
      <c r="BA310" s="9" t="str">
        <f>HYPERLINK(".\links\REFSEQ-INVERTEBRATE\AGAP002533-PA-REFSEQ-INVERTEBRATE.txt","AGAP002533-PA")</f>
        <v>AGAP002533-PA</v>
      </c>
      <c r="BB310" s="2" t="str">
        <f>HYPERLINK("http://www.ncbi.nlm.nih.gov/sutils/blink.cgi?pid=XP_312405.2","1E-131")</f>
        <v>1E-131</v>
      </c>
      <c r="BC310" s="2" t="str">
        <f>HYPERLINK("http://www.ncbi.nlm.nih.gov/protein/XP_312405.2","XP_312405.2")</f>
        <v>XP_312405.2</v>
      </c>
      <c r="BD310" s="2">
        <v>100</v>
      </c>
      <c r="BE310" s="2">
        <v>100</v>
      </c>
      <c r="BF310" s="2">
        <v>100</v>
      </c>
      <c r="BG310" s="2" t="s">
        <v>105</v>
      </c>
      <c r="BH310" s="9" t="str">
        <f>HYPERLINK(".\links\REFSEQ-PROTOZOA\AGAP002533-PA-REFSEQ-PROTOZOA.txt","hypothetical protein")</f>
        <v>hypothetical protein</v>
      </c>
      <c r="BI310" s="2" t="str">
        <f>HYPERLINK("http://www.ncbi.nlm.nih.gov/sutils/blink.cgi?pid=XP_001748213.1","3E-042")</f>
        <v>3E-042</v>
      </c>
      <c r="BJ310" s="2" t="str">
        <f>HYPERLINK("http://www.ncbi.nlm.nih.gov/protein/XP_001748213.1","XP_001748213.1")</f>
        <v>XP_001748213.1</v>
      </c>
      <c r="BK310" s="2">
        <v>39</v>
      </c>
      <c r="BL310" s="2">
        <v>60</v>
      </c>
      <c r="BM310" s="2">
        <v>60</v>
      </c>
      <c r="BN310" s="2" t="s">
        <v>248</v>
      </c>
      <c r="BO310" s="9" t="str">
        <f>HYPERLINK(".\links\SWISSP\AGAP002533-PA-SWISSP.txt","Polycomb group RING finger protein 3")</f>
        <v>Polycomb group RING finger protein 3</v>
      </c>
      <c r="BP310" s="2" t="str">
        <f>HYPERLINK("http://www.uniprot.org/uniprot/Q2KJ29","3E-080")</f>
        <v>3E-080</v>
      </c>
      <c r="BQ310" s="2" t="str">
        <f>HYPERLINK("http://www.uniprot.org/uniprot/Q2KJ29#expression","Q2KJ29")</f>
        <v>Q2KJ29</v>
      </c>
      <c r="BR310" s="2">
        <v>59</v>
      </c>
      <c r="BS310" s="2">
        <v>72</v>
      </c>
      <c r="BT310" s="2">
        <v>100</v>
      </c>
      <c r="BU310" s="2" t="s">
        <v>1284</v>
      </c>
      <c r="BV310" s="9" t="str">
        <f>HYPERLINK(".\links\FLYBASE\AGAP002533-PA-FLYBASE.txt","FBpp0075071")</f>
        <v>FBpp0075071</v>
      </c>
      <c r="BW310" s="2" t="str">
        <f>HYPERLINK("http://flybase.org/reports/FBgn0002283#alliance_summary_container","1E-133")</f>
        <v>1E-133</v>
      </c>
      <c r="BX310" s="2">
        <v>222</v>
      </c>
      <c r="BY310" s="2">
        <v>77</v>
      </c>
      <c r="BZ310" s="2">
        <v>90</v>
      </c>
      <c r="CA310" s="2">
        <v>100</v>
      </c>
      <c r="CB310" s="9" t="str">
        <f>HYPERLINK(".\links\CDD\AGAP002533-PA-CDD.txt","RING-HC_PCGF3, RING finger found in polycomb group RING finger protein 3 (PCGF3) and similar proteins")</f>
        <v>RING-HC_PCGF3, RING finger found in polycomb group RING finger protein 3 (PCGF3) and similar proteins</v>
      </c>
      <c r="CC310" s="15">
        <v>9.9999999999999991E-22</v>
      </c>
      <c r="CD310" s="2">
        <v>100</v>
      </c>
      <c r="CE310" s="2" t="s">
        <v>3384</v>
      </c>
      <c r="CF310" s="2" t="s">
        <v>3385</v>
      </c>
      <c r="CG310" s="9" t="str">
        <f>HYPERLINK(".\links\KOG\AGAP002533-PA-KOG.txt","Locus-specific chromosome binding proteins")</f>
        <v>Locus-specific chromosome binding proteins</v>
      </c>
      <c r="CH310" s="15">
        <v>1.9999999999999999E-76</v>
      </c>
      <c r="CI310" s="2">
        <v>69.8</v>
      </c>
      <c r="CJ310" s="2" t="s">
        <v>3386</v>
      </c>
      <c r="CK310" s="2" t="s">
        <v>284</v>
      </c>
      <c r="CL310" s="9" t="str">
        <f>HYPERLINK(".\links\PFAM\AGAP002533-PA-PFAM.txt","RAWUL, RAWUL domain RING finger- and WD40-associated ubiquitin-like")</f>
        <v>RAWUL, RAWUL domain RING finger- and WD40-associated ubiquitin-like</v>
      </c>
      <c r="CM310" s="15">
        <v>8.9999999999999995E-14</v>
      </c>
      <c r="CN310" s="2">
        <v>103.1</v>
      </c>
      <c r="CO310" s="2" t="s">
        <v>3387</v>
      </c>
      <c r="CP310" s="9" t="str">
        <f>HYPERLINK(".\links\SMART\AGAP002533-PA-SMART.txt","RING, Ring finger")</f>
        <v>RING, Ring finger</v>
      </c>
      <c r="CQ310" s="15">
        <v>4.0000000000000001E-8</v>
      </c>
      <c r="CR310" s="2">
        <v>100</v>
      </c>
      <c r="CS310" s="2" t="s">
        <v>827</v>
      </c>
      <c r="CT310" s="2" t="s">
        <v>3382</v>
      </c>
      <c r="CU310" s="2" t="s">
        <v>3382</v>
      </c>
      <c r="CV310" s="2" t="s">
        <v>3382</v>
      </c>
      <c r="CW310" s="2" t="str">
        <f>HYPERLINK(".\links\pep\AGAP002533-PA-pep.txt","AGAP002533-PA")</f>
        <v>AGAP002533-PA</v>
      </c>
      <c r="CX310" s="2" t="s">
        <v>95</v>
      </c>
      <c r="CY310" s="2">
        <v>222</v>
      </c>
      <c r="CZ310" s="2" t="s">
        <v>113</v>
      </c>
      <c r="DA310" s="2" t="s">
        <v>3388</v>
      </c>
      <c r="DB310" s="2">
        <v>0</v>
      </c>
      <c r="DC310" s="2">
        <v>1</v>
      </c>
      <c r="DD310" s="2" t="str">
        <f>HYPERLINK("https://www.kegg.jp/kegg-bin/search_pathway_text?map=aga&amp;keyword=AGAP002533&amp;mode=1&amp;viewImage=true","AGAP002533")</f>
        <v>AGAP002533</v>
      </c>
      <c r="DE310" s="2" t="s">
        <v>3379</v>
      </c>
      <c r="DF310" s="2" t="s">
        <v>3380</v>
      </c>
      <c r="DG310" s="2" t="s">
        <v>94</v>
      </c>
      <c r="DH310" s="2" t="str">
        <f>HYPERLINK("https://vectorbase.org/vectorbase/app/record/gene/AGAP002533","AGAP002533-RA")</f>
        <v>AGAP002533-RA</v>
      </c>
      <c r="DI310" s="2" t="s">
        <v>135</v>
      </c>
      <c r="DJ310" s="2">
        <v>1301</v>
      </c>
      <c r="DK310" s="2" t="str">
        <f>HYPERLINK(".\links\netoglyc\AGAP002533-PA-netoglyc.txt","0")</f>
        <v>0</v>
      </c>
      <c r="DL310" s="2">
        <v>9.5</v>
      </c>
      <c r="DM310" s="2">
        <v>1.4</v>
      </c>
      <c r="DN310" s="2">
        <v>4.0999999999999996</v>
      </c>
      <c r="DO310" s="2" t="s">
        <v>104</v>
      </c>
      <c r="DP310" s="2" t="s">
        <v>3389</v>
      </c>
      <c r="DQ310" s="2" t="str">
        <f>HYPERLINK(".\links\Sigp\AGAP002533-PA-SigP.txt","CYT")</f>
        <v>CYT</v>
      </c>
      <c r="DR310" s="2" t="s">
        <v>102</v>
      </c>
      <c r="DS310" s="2">
        <v>26.585999999999999</v>
      </c>
      <c r="DT310" s="2">
        <v>8.2200000000000006</v>
      </c>
      <c r="DU310" s="2" t="s">
        <v>102</v>
      </c>
      <c r="DV310" s="2" t="s">
        <v>102</v>
      </c>
      <c r="DW310" s="2" t="s">
        <v>211</v>
      </c>
      <c r="DX310" s="2">
        <v>222</v>
      </c>
      <c r="DY310" s="12">
        <v>0</v>
      </c>
      <c r="DZ310" s="2" t="s">
        <v>102</v>
      </c>
      <c r="EA310" s="2" t="s">
        <v>102</v>
      </c>
      <c r="EB310" s="2" t="s">
        <v>102</v>
      </c>
      <c r="EC310" s="2" t="str">
        <f>HYPERLINK(".\links\gpi\AGAP002533-PA-gpi.txt","N")</f>
        <v>N</v>
      </c>
      <c r="ED310" s="2">
        <v>0.37</v>
      </c>
      <c r="EF310" s="2">
        <v>12</v>
      </c>
      <c r="EG310" s="2" t="str">
        <f>HYPERLINK(".\links\pep\AGAP002533-PA-sulf.txt","1")</f>
        <v>1</v>
      </c>
      <c r="EH310" s="2" t="s">
        <v>102</v>
      </c>
      <c r="EI310" s="2">
        <v>9.4594594594594597</v>
      </c>
      <c r="EJ310" s="2">
        <v>4.0540540540540499</v>
      </c>
      <c r="EK310" s="2">
        <v>1.35135135135135</v>
      </c>
      <c r="EL310" s="2">
        <v>5.4054054054054097</v>
      </c>
      <c r="EM310" s="2" t="s">
        <v>102</v>
      </c>
      <c r="EN310" s="2" t="s">
        <v>102</v>
      </c>
      <c r="EO310" s="2" t="s">
        <v>102</v>
      </c>
      <c r="EP310" s="2" t="s">
        <v>102</v>
      </c>
      <c r="EQ310" s="2" t="s">
        <v>102</v>
      </c>
      <c r="ER310" s="2" t="s">
        <v>102</v>
      </c>
      <c r="ES310" s="2" t="s">
        <v>102</v>
      </c>
      <c r="ET310" s="2" t="str">
        <f>HYPERLINK(".\links\REFSEQ-INVERTEBRATE\AGAP002533-PA-REFSEQ-INVERTEBRATE.txt","AGAP002533-PA")</f>
        <v>AGAP002533-PA</v>
      </c>
      <c r="EU310" s="2" t="str">
        <f>HYPERLINK("http://www.ncbi.nlm.nih.gov/sutils/blink.cgi?pid=XP_312405.2","1E-165")</f>
        <v>1E-165</v>
      </c>
      <c r="EV310" s="2" t="str">
        <f>HYPERLINK("http://www.ncbi.nlm.nih.gov/protein/XP_312405.2","XP_312405.2")</f>
        <v>XP_312405.2</v>
      </c>
      <c r="EW310" s="2">
        <v>100</v>
      </c>
      <c r="EX310" s="2">
        <v>100</v>
      </c>
      <c r="EY310" s="2">
        <v>100</v>
      </c>
      <c r="EZ310" s="2" t="s">
        <v>105</v>
      </c>
    </row>
    <row r="311" spans="1:156" x14ac:dyDescent="0.25">
      <c r="A311" s="2" t="s">
        <v>3390</v>
      </c>
      <c r="B311" s="2">
        <v>0.23881569971880001</v>
      </c>
      <c r="C311" s="2">
        <f t="shared" si="4"/>
        <v>1.1800235889738131</v>
      </c>
      <c r="D311" s="2">
        <v>7.73924692405856</v>
      </c>
      <c r="E311" s="2">
        <v>10.0801969297721</v>
      </c>
      <c r="F311" s="2">
        <v>1.4987131515462799E-3</v>
      </c>
      <c r="G311" s="2">
        <v>3.8066541516723097E-2</v>
      </c>
      <c r="H311" s="2" t="s">
        <v>3391</v>
      </c>
      <c r="I311" s="2" t="s">
        <v>94</v>
      </c>
      <c r="J311" s="2" t="str">
        <f>HYPERLINK("https://vectorbase.org/vectorbase/app/record/gene/AGAP005535","AGAP005535-RA")</f>
        <v>AGAP005535-RA</v>
      </c>
      <c r="K311" s="2" t="str">
        <f>HYPERLINK(".\links\pep\AGAP005535-PA-pep.txt","AGAP005535-PA")</f>
        <v>AGAP005535-PA</v>
      </c>
      <c r="L311" s="12" t="s">
        <v>95</v>
      </c>
      <c r="M311" s="2">
        <v>463</v>
      </c>
      <c r="N311" s="2">
        <v>0</v>
      </c>
      <c r="O311" s="2">
        <v>0</v>
      </c>
      <c r="P311" s="2" t="s">
        <v>3392</v>
      </c>
      <c r="Q311" s="9" t="s">
        <v>3393</v>
      </c>
      <c r="R311" s="2" t="s">
        <v>822</v>
      </c>
      <c r="S311" s="2" t="str">
        <f>HYPERLINK(".\links\KOG\AGAP005535-PA-KOG.txt","KOG")</f>
        <v>KOG</v>
      </c>
      <c r="T311" s="2">
        <v>0</v>
      </c>
      <c r="U311" s="2">
        <v>100.2</v>
      </c>
      <c r="V311" s="2" t="s">
        <v>3394</v>
      </c>
      <c r="W311" s="10" t="s">
        <v>183</v>
      </c>
      <c r="X311" s="2" t="s">
        <v>822</v>
      </c>
      <c r="Y311" s="2" t="str">
        <f>HYPERLINK(".\links\COG\AGAP005535-PA-COG.txt","COG")</f>
        <v>COG</v>
      </c>
      <c r="Z311" s="2">
        <v>0</v>
      </c>
      <c r="AA311" s="2">
        <v>100.4</v>
      </c>
      <c r="AB311" s="13" t="str">
        <f>HYPERLINK(".\links\pep\AGAP005535-PA-sulf.txt","1")</f>
        <v>1</v>
      </c>
      <c r="AC311" s="13" t="str">
        <f>HYPERLINK(".\links\Sigp\AGAP005535-PA-SigP.txt","CYT")</f>
        <v>CYT</v>
      </c>
      <c r="AD311" s="2" t="s">
        <v>102</v>
      </c>
      <c r="AE311" s="2">
        <v>53.548999999999999</v>
      </c>
      <c r="AF311" s="2">
        <v>5.58</v>
      </c>
      <c r="AG311" s="2" t="s">
        <v>102</v>
      </c>
      <c r="AH311" s="2" t="s">
        <v>102</v>
      </c>
      <c r="AI311" s="2" t="s">
        <v>611</v>
      </c>
      <c r="AJ311" s="13">
        <v>0</v>
      </c>
      <c r="AK311" s="2" t="s">
        <v>102</v>
      </c>
      <c r="AL311" s="2" t="s">
        <v>102</v>
      </c>
      <c r="AM311" s="2" t="s">
        <v>102</v>
      </c>
      <c r="AN311" s="13" t="str">
        <f>HYPERLINK(".\links\gpi\AGAP005535-PA-gpi.txt","N")</f>
        <v>N</v>
      </c>
      <c r="AO311" s="14" t="str">
        <f>HYPERLINK(".\links\netoglyc\AGAP005535-PA-netoglyc.txt","2")</f>
        <v>2</v>
      </c>
      <c r="AP311" s="13">
        <v>9.9</v>
      </c>
      <c r="AQ311" s="2">
        <v>2.6</v>
      </c>
      <c r="AR311" s="2">
        <v>1.5</v>
      </c>
      <c r="AS311" s="2" t="s">
        <v>104</v>
      </c>
      <c r="AT311" s="9" t="str">
        <f>HYPERLINK(".\links\NR-LIGHT\AGAP005535-PA-NR-LIGHT.txt","AGAP005535-PA")</f>
        <v>AGAP005535-PA</v>
      </c>
      <c r="AU311" s="2" t="str">
        <f>HYPERLINK("http://www.ncbi.nlm.nih.gov/sutils/blink.cgi?pid=XP_556176.3","0.0")</f>
        <v>0.0</v>
      </c>
      <c r="AV311" s="2" t="str">
        <f>HYPERLINK("http://www.ncbi.nlm.nih.gov/protein/XP_556176.3","XP_556176.3")</f>
        <v>XP_556176.3</v>
      </c>
      <c r="AW311" s="2">
        <v>100</v>
      </c>
      <c r="AX311" s="2">
        <v>100</v>
      </c>
      <c r="AY311" s="2">
        <v>100</v>
      </c>
      <c r="AZ311" s="2" t="s">
        <v>105</v>
      </c>
      <c r="BA311" s="9" t="str">
        <f>HYPERLINK(".\links\REFSEQ-INVERTEBRATE\AGAP005535-PA-REFSEQ-INVERTEBRATE.txt","AGAP005535-PA")</f>
        <v>AGAP005535-PA</v>
      </c>
      <c r="BB311" s="2" t="str">
        <f>HYPERLINK("http://www.ncbi.nlm.nih.gov/sutils/blink.cgi?pid=XP_556176.3","0.0")</f>
        <v>0.0</v>
      </c>
      <c r="BC311" s="2" t="str">
        <f>HYPERLINK("http://www.ncbi.nlm.nih.gov/protein/XP_556176.3","XP_556176.3")</f>
        <v>XP_556176.3</v>
      </c>
      <c r="BD311" s="2">
        <v>100</v>
      </c>
      <c r="BE311" s="2">
        <v>100</v>
      </c>
      <c r="BF311" s="2">
        <v>100</v>
      </c>
      <c r="BG311" s="2" t="s">
        <v>105</v>
      </c>
      <c r="BH311" s="9" t="str">
        <f>HYPERLINK(".\links\REFSEQ-PROTOZOA\AGAP005535-PA-REFSEQ-PROTOZOA.txt","26S proteasome non-ATPase regulatory subunit 12")</f>
        <v>26S proteasome non-ATPase regulatory subunit 12</v>
      </c>
      <c r="BI311" s="2" t="str">
        <f>HYPERLINK("http://www.ncbi.nlm.nih.gov/sutils/blink.cgi?pid=XP_004991059.1","1E-118")</f>
        <v>1E-118</v>
      </c>
      <c r="BJ311" s="2" t="str">
        <f>HYPERLINK("http://www.ncbi.nlm.nih.gov/protein/XP_004991059.1","XP_004991059.1")</f>
        <v>XP_004991059.1</v>
      </c>
      <c r="BK311" s="2">
        <v>48</v>
      </c>
      <c r="BL311" s="2">
        <v>70</v>
      </c>
      <c r="BM311" s="2">
        <v>100</v>
      </c>
      <c r="BN311" s="2" t="s">
        <v>435</v>
      </c>
      <c r="BO311" s="9" t="str">
        <f>HYPERLINK(".\links\SWISSP\AGAP005535-PA-SWISSP.txt","26S proteasome non-ATPase regulatory subunit 12")</f>
        <v>26S proteasome non-ATPase regulatory subunit 12</v>
      </c>
      <c r="BP311" s="2" t="str">
        <f>HYPERLINK("http://www.uniprot.org/uniprot/Q2KJ25","1E-139")</f>
        <v>1E-139</v>
      </c>
      <c r="BQ311" s="2" t="str">
        <f>HYPERLINK("http://www.uniprot.org/uniprot/Q2KJ25#expression","Q2KJ25")</f>
        <v>Q2KJ25</v>
      </c>
      <c r="BR311" s="2">
        <v>56</v>
      </c>
      <c r="BS311" s="2">
        <v>75</v>
      </c>
      <c r="BT311" s="2">
        <v>98</v>
      </c>
      <c r="BU311" s="2" t="s">
        <v>1284</v>
      </c>
      <c r="BV311" s="9" t="str">
        <f>HYPERLINK(".\links\FLYBASE\AGAP005535-PA-FLYBASE.txt","FBpp0078278")</f>
        <v>FBpp0078278</v>
      </c>
      <c r="BW311" s="2" t="str">
        <f>HYPERLINK("http://flybase.org/reports/FBgn0028690#alliance_summary_container","0.0")</f>
        <v>0.0</v>
      </c>
      <c r="BX311" s="2">
        <v>502</v>
      </c>
      <c r="BY311" s="2">
        <v>62</v>
      </c>
      <c r="BZ311" s="2">
        <v>76</v>
      </c>
      <c r="CA311" s="2">
        <v>99</v>
      </c>
      <c r="CB311" s="9" t="str">
        <f>HYPERLINK(".\links\CDD\AGAP005535-PA-CDD.txt","RPN5, 26S proteasome regulatory complex component")</f>
        <v>RPN5, 26S proteasome regulatory complex component</v>
      </c>
      <c r="CC311" s="15">
        <v>4E-90</v>
      </c>
      <c r="CD311" s="2">
        <v>99.5</v>
      </c>
      <c r="CE311" s="2" t="s">
        <v>3395</v>
      </c>
      <c r="CF311" s="2" t="s">
        <v>3396</v>
      </c>
      <c r="CG311" s="9" t="str">
        <f>HYPERLINK(".\links\KOG\AGAP005535-PA-KOG.txt","subunit RPN5/PSMD12")</f>
        <v>subunit RPN5/PSMD12</v>
      </c>
      <c r="CH311" s="15">
        <v>1E-156</v>
      </c>
      <c r="CI311" s="2">
        <v>100.2</v>
      </c>
      <c r="CJ311" s="2" t="s">
        <v>3397</v>
      </c>
      <c r="CK311" s="2" t="s">
        <v>111</v>
      </c>
      <c r="CL311" s="9" t="str">
        <f>HYPERLINK(".\links\PFAM\AGAP005535-PA-PFAM.txt","PCI, PCI domain")</f>
        <v>PCI, PCI domain</v>
      </c>
      <c r="CM311" s="15">
        <v>1E-13</v>
      </c>
      <c r="CN311" s="2">
        <v>106.7</v>
      </c>
      <c r="CO311" s="2" t="s">
        <v>1463</v>
      </c>
      <c r="CP311" s="9" t="str">
        <f>HYPERLINK(".\links\SMART\AGAP005535-PA-SMART.txt","PAM, PCI/PINT associated module")</f>
        <v>PAM, PCI/PINT associated module</v>
      </c>
      <c r="CQ311" s="15">
        <v>4.0000000000000001E-10</v>
      </c>
      <c r="CR311" s="2">
        <v>77.3</v>
      </c>
      <c r="CS311" s="2" t="s">
        <v>1459</v>
      </c>
      <c r="CT311" s="2" t="s">
        <v>3394</v>
      </c>
      <c r="CU311" s="2" t="s">
        <v>3394</v>
      </c>
      <c r="CV311" s="2" t="s">
        <v>3394</v>
      </c>
      <c r="CW311" s="2" t="str">
        <f>HYPERLINK(".\links\pep\AGAP005535-PA-pep.txt","AGAP005535-PA")</f>
        <v>AGAP005535-PA</v>
      </c>
      <c r="CX311" s="2" t="s">
        <v>95</v>
      </c>
      <c r="CY311" s="2">
        <v>463</v>
      </c>
      <c r="CZ311" s="2" t="s">
        <v>113</v>
      </c>
      <c r="DA311" s="2" t="s">
        <v>3398</v>
      </c>
      <c r="DB311" s="2">
        <v>0</v>
      </c>
      <c r="DC311" s="2">
        <v>0</v>
      </c>
      <c r="DD311" s="2" t="str">
        <f>HYPERLINK("https://www.kegg.jp/kegg-bin/search_pathway_text?map=aga&amp;keyword=AGAP005535&amp;mode=1&amp;viewImage=true","AGAP005535")</f>
        <v>AGAP005535</v>
      </c>
      <c r="DE311" s="2" t="s">
        <v>3390</v>
      </c>
      <c r="DF311" s="2" t="s">
        <v>3391</v>
      </c>
      <c r="DG311" s="2" t="s">
        <v>94</v>
      </c>
      <c r="DH311" s="2" t="str">
        <f>HYPERLINK("https://vectorbase.org/vectorbase/app/record/gene/AGAP005535","AGAP005535-RA")</f>
        <v>AGAP005535-RA</v>
      </c>
      <c r="DI311" s="2" t="s">
        <v>115</v>
      </c>
      <c r="DJ311" s="2">
        <v>1846</v>
      </c>
      <c r="DK311" s="2" t="str">
        <f>HYPERLINK(".\links\netoglyc\AGAP005535-PA-netoglyc.txt","2")</f>
        <v>2</v>
      </c>
      <c r="DL311" s="2">
        <v>9.9</v>
      </c>
      <c r="DM311" s="2">
        <v>2.6</v>
      </c>
      <c r="DN311" s="2">
        <v>1.5</v>
      </c>
      <c r="DO311" s="2" t="s">
        <v>104</v>
      </c>
      <c r="DP311" s="2" t="s">
        <v>102</v>
      </c>
      <c r="DQ311" s="2" t="str">
        <f>HYPERLINK(".\links\Sigp\AGAP005535-PA-SigP.txt","CYT")</f>
        <v>CYT</v>
      </c>
      <c r="DR311" s="2" t="s">
        <v>102</v>
      </c>
      <c r="DS311" s="2">
        <v>53.548999999999999</v>
      </c>
      <c r="DT311" s="2">
        <v>5.58</v>
      </c>
      <c r="DU311" s="2" t="s">
        <v>102</v>
      </c>
      <c r="DV311" s="2" t="s">
        <v>102</v>
      </c>
      <c r="DW311" s="2" t="s">
        <v>611</v>
      </c>
      <c r="DX311" s="2">
        <v>463</v>
      </c>
      <c r="DY311" s="12">
        <v>0</v>
      </c>
      <c r="DZ311" s="2" t="s">
        <v>102</v>
      </c>
      <c r="EA311" s="2" t="s">
        <v>102</v>
      </c>
      <c r="EB311" s="2" t="s">
        <v>102</v>
      </c>
      <c r="EC311" s="2" t="str">
        <f>HYPERLINK(".\links\gpi\AGAP005535-PA-gpi.txt","N")</f>
        <v>N</v>
      </c>
      <c r="ED311" s="2">
        <v>0.32</v>
      </c>
      <c r="EF311" s="2">
        <v>13</v>
      </c>
      <c r="EG311" s="2" t="str">
        <f>HYPERLINK(".\links\pep\AGAP005535-PA-sulf.txt","1")</f>
        <v>1</v>
      </c>
      <c r="EH311" s="2" t="s">
        <v>102</v>
      </c>
      <c r="EI311" s="2">
        <v>9.9352051835853104</v>
      </c>
      <c r="EJ311" s="2">
        <v>1.5118790496760299</v>
      </c>
      <c r="EK311" s="2">
        <v>2.59179265658747</v>
      </c>
      <c r="EL311" s="2">
        <v>4.1036717062635004</v>
      </c>
      <c r="EM311" s="2" t="s">
        <v>102</v>
      </c>
      <c r="EN311" s="2" t="s">
        <v>102</v>
      </c>
      <c r="EO311" s="2" t="s">
        <v>102</v>
      </c>
      <c r="EP311" s="2" t="s">
        <v>102</v>
      </c>
      <c r="EQ311" s="2" t="s">
        <v>102</v>
      </c>
      <c r="ER311" s="2" t="s">
        <v>102</v>
      </c>
      <c r="ES311" s="2" t="s">
        <v>102</v>
      </c>
      <c r="ET311" s="2" t="str">
        <f>HYPERLINK(".\links\REFSEQ-INVERTEBRATE\AGAP005535-PA-REFSEQ-INVERTEBRATE.txt","AGAP005535-PA")</f>
        <v>AGAP005535-PA</v>
      </c>
      <c r="EU311" s="2" t="str">
        <f>HYPERLINK("http://www.ncbi.nlm.nih.gov/sutils/blink.cgi?pid=XP_556176.3","0.0")</f>
        <v>0.0</v>
      </c>
      <c r="EV311" s="2" t="str">
        <f>HYPERLINK("http://www.ncbi.nlm.nih.gov/protein/XP_556176.3","XP_556176.3")</f>
        <v>XP_556176.3</v>
      </c>
      <c r="EW311" s="2">
        <v>100</v>
      </c>
      <c r="EX311" s="2">
        <v>100</v>
      </c>
      <c r="EY311" s="2">
        <v>100</v>
      </c>
      <c r="EZ311" s="2" t="s">
        <v>105</v>
      </c>
    </row>
    <row r="312" spans="1:156" x14ac:dyDescent="0.25">
      <c r="A312" s="2" t="s">
        <v>3399</v>
      </c>
      <c r="B312" s="2">
        <v>0.23418819439656699</v>
      </c>
      <c r="C312" s="2">
        <f t="shared" si="4"/>
        <v>1.1762446771854989</v>
      </c>
      <c r="D312" s="2">
        <v>6.7935334465077704</v>
      </c>
      <c r="E312" s="2">
        <v>12.0560212281778</v>
      </c>
      <c r="F312" s="2">
        <v>5.1625359142737598E-4</v>
      </c>
      <c r="G312" s="2">
        <v>2.6253707460125002E-2</v>
      </c>
      <c r="H312" s="2" t="s">
        <v>93</v>
      </c>
      <c r="I312" s="2" t="s">
        <v>94</v>
      </c>
      <c r="J312" s="2" t="str">
        <f>HYPERLINK("https://vectorbase.org/vectorbase/app/record/gene/AGAP007765","AGAP007765-RA")</f>
        <v>AGAP007765-RA</v>
      </c>
      <c r="K312" s="2" t="str">
        <f>HYPERLINK(".\links\pep\AGAP007765-PA-pep.txt","AGAP007765-PA")</f>
        <v>AGAP007765-PA</v>
      </c>
      <c r="L312" s="12" t="s">
        <v>95</v>
      </c>
      <c r="M312" s="2">
        <v>459</v>
      </c>
      <c r="N312" s="2">
        <v>0</v>
      </c>
      <c r="O312" s="2">
        <v>1</v>
      </c>
      <c r="P312" s="2" t="s">
        <v>102</v>
      </c>
      <c r="Q312" s="9" t="s">
        <v>3400</v>
      </c>
      <c r="R312" s="2" t="s">
        <v>196</v>
      </c>
      <c r="S312" s="2" t="str">
        <f>HYPERLINK(".\links\REFSEQ-INVERTEBRATE\AGAP007765-PA-REFSEQ-INVERTEBRATE.txt","REFSEQ-INVERTEBRATE")</f>
        <v>REFSEQ-INVERTEBRATE</v>
      </c>
      <c r="T312" s="2">
        <v>0</v>
      </c>
      <c r="U312" s="2">
        <v>100</v>
      </c>
      <c r="V312" s="2" t="s">
        <v>3400</v>
      </c>
      <c r="W312" s="10" t="s">
        <v>3401</v>
      </c>
      <c r="X312" s="2" t="s">
        <v>771</v>
      </c>
      <c r="Y312" s="2" t="str">
        <f>HYPERLINK(".\links\UNIPROTKB\AGAP007765-PA-UNIPROTKB.txt","UNIPROTKB")</f>
        <v>UNIPROTKB</v>
      </c>
      <c r="Z312" s="15">
        <v>9.9999999999999996E-76</v>
      </c>
      <c r="AA312" s="2">
        <v>86</v>
      </c>
      <c r="AB312" s="13" t="s">
        <v>102</v>
      </c>
      <c r="AC312" s="13" t="str">
        <f>HYPERLINK(".\links\Sigp\AGAP007765-PA-SigP.txt","CYT")</f>
        <v>CYT</v>
      </c>
      <c r="AD312" s="2" t="s">
        <v>102</v>
      </c>
      <c r="AE312" s="2">
        <v>52.116</v>
      </c>
      <c r="AF312" s="2">
        <v>5.76</v>
      </c>
      <c r="AG312" s="2" t="s">
        <v>102</v>
      </c>
      <c r="AH312" s="2" t="s">
        <v>102</v>
      </c>
      <c r="AI312" s="2" t="s">
        <v>650</v>
      </c>
      <c r="AJ312" s="13">
        <v>0</v>
      </c>
      <c r="AK312" s="2" t="s">
        <v>102</v>
      </c>
      <c r="AL312" s="2" t="s">
        <v>102</v>
      </c>
      <c r="AM312" s="2" t="s">
        <v>102</v>
      </c>
      <c r="AN312" s="13" t="str">
        <f>HYPERLINK(".\links\gpi\AGAP007765-PA-gpi.txt","N")</f>
        <v>N</v>
      </c>
      <c r="AO312" s="14" t="str">
        <f>HYPERLINK(".\links\netoglyc\AGAP007765-PA-netoglyc.txt","1")</f>
        <v>1</v>
      </c>
      <c r="AP312" s="13">
        <v>13.3</v>
      </c>
      <c r="AQ312" s="2">
        <v>7.8</v>
      </c>
      <c r="AR312" s="2">
        <v>4.0999999999999996</v>
      </c>
      <c r="AS312" s="2">
        <v>0.7</v>
      </c>
      <c r="AT312" s="9" t="str">
        <f>HYPERLINK(".\links\NR-LIGHT\AGAP007765-PA-NR-LIGHT.txt","AGAP007765-PA")</f>
        <v>AGAP007765-PA</v>
      </c>
      <c r="AU312" s="2" t="str">
        <f>HYPERLINK("http://www.ncbi.nlm.nih.gov/sutils/blink.cgi?pid=XP_317751.3","0.0")</f>
        <v>0.0</v>
      </c>
      <c r="AV312" s="2" t="str">
        <f>HYPERLINK("http://www.ncbi.nlm.nih.gov/protein/XP_317751.3","XP_317751.3")</f>
        <v>XP_317751.3</v>
      </c>
      <c r="AW312" s="2">
        <v>100</v>
      </c>
      <c r="AX312" s="2">
        <v>100</v>
      </c>
      <c r="AY312" s="2">
        <v>100</v>
      </c>
      <c r="AZ312" s="2" t="s">
        <v>105</v>
      </c>
      <c r="BA312" s="9" t="str">
        <f>HYPERLINK(".\links\REFSEQ-INVERTEBRATE\AGAP007765-PA-REFSEQ-INVERTEBRATE.txt","AGAP007765-PA")</f>
        <v>AGAP007765-PA</v>
      </c>
      <c r="BB312" s="2" t="str">
        <f>HYPERLINK("http://www.ncbi.nlm.nih.gov/sutils/blink.cgi?pid=XP_317751.3","0.0")</f>
        <v>0.0</v>
      </c>
      <c r="BC312" s="2" t="str">
        <f>HYPERLINK("http://www.ncbi.nlm.nih.gov/protein/XP_317751.3","XP_317751.3")</f>
        <v>XP_317751.3</v>
      </c>
      <c r="BD312" s="2">
        <v>100</v>
      </c>
      <c r="BE312" s="2">
        <v>100</v>
      </c>
      <c r="BF312" s="2">
        <v>100</v>
      </c>
      <c r="BG312" s="2" t="s">
        <v>105</v>
      </c>
      <c r="BH312" s="9" t="str">
        <f>HYPERLINK(".\links\REFSEQ-PROTOZOA\AGAP007765-PA-REFSEQ-PROTOZOA.txt","hypothetical protein")</f>
        <v>hypothetical protein</v>
      </c>
      <c r="BI312" s="2" t="str">
        <f>HYPERLINK("http://www.ncbi.nlm.nih.gov/sutils/blink.cgi?pid=XP_001749131.1","1E-040")</f>
        <v>1E-040</v>
      </c>
      <c r="BJ312" s="2" t="str">
        <f>HYPERLINK("http://www.ncbi.nlm.nih.gov/protein/XP_001749131.1","XP_001749131.1")</f>
        <v>XP_001749131.1</v>
      </c>
      <c r="BK312" s="2">
        <v>34</v>
      </c>
      <c r="BL312" s="2">
        <v>51</v>
      </c>
      <c r="BM312" s="2">
        <v>104</v>
      </c>
      <c r="BN312" s="2" t="s">
        <v>248</v>
      </c>
      <c r="BO312" s="9" t="str">
        <f>HYPERLINK(".\links\SWISSP\AGAP007765-PA-SWISSP.txt","TLD domain-containing protein 1")</f>
        <v>TLD domain-containing protein 1</v>
      </c>
      <c r="BP312" s="2" t="str">
        <f>HYPERLINK("http://www.uniprot.org/uniprot/Q6DDZ9","2E-062")</f>
        <v>2E-062</v>
      </c>
      <c r="BQ312" s="2" t="str">
        <f>HYPERLINK("http://www.uniprot.org/uniprot/Q6DDZ9#expression","Q6DDZ9")</f>
        <v>Q6DDZ9</v>
      </c>
      <c r="BR312" s="2">
        <v>35</v>
      </c>
      <c r="BS312" s="2">
        <v>55</v>
      </c>
      <c r="BT312" s="2">
        <v>87</v>
      </c>
      <c r="BU312" s="2" t="s">
        <v>625</v>
      </c>
      <c r="BV312" s="9" t="str">
        <f>HYPERLINK(".\links\FLYBASE\AGAP007765-PA-FLYBASE.txt","FBpp0079093")</f>
        <v>FBpp0079093</v>
      </c>
      <c r="BW312" s="2" t="str">
        <f>HYPERLINK("http://flybase.org/reports/FBgn0031904#alliance_summary_container","1E-118")</f>
        <v>1E-118</v>
      </c>
      <c r="BX312" s="2">
        <v>448</v>
      </c>
      <c r="BY312" s="2">
        <v>39</v>
      </c>
      <c r="BZ312" s="2">
        <v>61</v>
      </c>
      <c r="CA312" s="2">
        <v>103</v>
      </c>
      <c r="CB312" s="9" t="str">
        <f>HYPERLINK(".\links\CDD\AGAP007765-PA-CDD.txt","TLDc, domain in TBC and LysM domain containing proteins")</f>
        <v>TLDc, domain in TBC and LysM domain containing proteins</v>
      </c>
      <c r="CC312" s="15">
        <v>1.9999999999999999E-40</v>
      </c>
      <c r="CD312" s="2">
        <v>101.8</v>
      </c>
      <c r="CE312" s="2" t="s">
        <v>2474</v>
      </c>
      <c r="CF312" s="2" t="s">
        <v>3402</v>
      </c>
      <c r="CG312" s="9" t="str">
        <f>HYPERLINK(".\links\KOG\AGAP007765-PA-KOG.txt","contains TLDc domain")</f>
        <v>contains TLDc domain</v>
      </c>
      <c r="CH312" s="15">
        <v>5E-80</v>
      </c>
      <c r="CI312" s="2">
        <v>108.7</v>
      </c>
      <c r="CJ312" s="2" t="s">
        <v>3403</v>
      </c>
      <c r="CK312" s="2" t="s">
        <v>284</v>
      </c>
      <c r="CL312" s="9" t="str">
        <f>HYPERLINK(".\links\PFAM\AGAP007765-PA-PFAM.txt","TLD, TLD")</f>
        <v>TLD, TLD</v>
      </c>
      <c r="CM312" s="15">
        <v>6.9999999999999999E-35</v>
      </c>
      <c r="CN312" s="2">
        <v>105.1</v>
      </c>
      <c r="CO312" s="2" t="s">
        <v>2477</v>
      </c>
      <c r="CP312" s="9" t="str">
        <f>HYPERLINK(".\links\SMART\AGAP007765-PA-SMART.txt","TLDc, domain in TBC and LysM domain containing proteins")</f>
        <v>TLDc, domain in TBC and LysM domain containing proteins</v>
      </c>
      <c r="CQ312" s="15">
        <v>2.0000000000000001E-42</v>
      </c>
      <c r="CR312" s="2">
        <v>101.8</v>
      </c>
      <c r="CS312" s="2" t="s">
        <v>2474</v>
      </c>
      <c r="CT312" s="2" t="s">
        <v>3400</v>
      </c>
      <c r="CU312" s="2" t="s">
        <v>3400</v>
      </c>
      <c r="CV312" s="2" t="s">
        <v>3400</v>
      </c>
      <c r="CW312" s="2" t="str">
        <f>HYPERLINK(".\links\pep\AGAP007765-PA-pep.txt","AGAP007765-PA")</f>
        <v>AGAP007765-PA</v>
      </c>
      <c r="CX312" s="2" t="s">
        <v>95</v>
      </c>
      <c r="CY312" s="2">
        <v>459</v>
      </c>
      <c r="CZ312" s="2" t="s">
        <v>113</v>
      </c>
      <c r="DA312" s="2" t="s">
        <v>3404</v>
      </c>
      <c r="DB312" s="2">
        <v>0</v>
      </c>
      <c r="DC312" s="2">
        <v>1</v>
      </c>
      <c r="DD312" s="2" t="str">
        <f>HYPERLINK("https://www.kegg.jp/kegg-bin/search_pathway_text?map=aga&amp;keyword=AGAP007765&amp;mode=1&amp;viewImage=true","AGAP007765")</f>
        <v>AGAP007765</v>
      </c>
      <c r="DE312" s="2" t="s">
        <v>3399</v>
      </c>
      <c r="DF312" s="2" t="s">
        <v>93</v>
      </c>
      <c r="DG312" s="2" t="s">
        <v>94</v>
      </c>
      <c r="DH312" s="2" t="str">
        <f>HYPERLINK("https://vectorbase.org/vectorbase/app/record/gene/AGAP007765","AGAP007765-RA")</f>
        <v>AGAP007765-RA</v>
      </c>
      <c r="DI312" s="2" t="s">
        <v>90</v>
      </c>
      <c r="DJ312" s="2">
        <v>3335</v>
      </c>
      <c r="DK312" s="2" t="str">
        <f>HYPERLINK(".\links\netoglyc\AGAP007765-PA-netoglyc.txt","1")</f>
        <v>1</v>
      </c>
      <c r="DL312" s="2">
        <v>13.3</v>
      </c>
      <c r="DM312" s="2">
        <v>7.8</v>
      </c>
      <c r="DN312" s="2">
        <v>4.0999999999999996</v>
      </c>
      <c r="DO312" s="2">
        <v>0.7</v>
      </c>
      <c r="DP312" s="2" t="s">
        <v>102</v>
      </c>
      <c r="DQ312" s="2" t="str">
        <f>HYPERLINK(".\links\Sigp\AGAP007765-PA-SigP.txt","CYT")</f>
        <v>CYT</v>
      </c>
      <c r="DR312" s="2" t="s">
        <v>102</v>
      </c>
      <c r="DS312" s="2">
        <v>52.122</v>
      </c>
      <c r="DT312" s="2">
        <v>5.76</v>
      </c>
      <c r="DU312" s="2" t="s">
        <v>102</v>
      </c>
      <c r="DV312" s="2" t="s">
        <v>102</v>
      </c>
      <c r="DW312" s="2" t="s">
        <v>650</v>
      </c>
      <c r="DX312" s="2">
        <v>459</v>
      </c>
      <c r="DY312" s="12">
        <v>0</v>
      </c>
      <c r="DZ312" s="2" t="s">
        <v>102</v>
      </c>
      <c r="EA312" s="2" t="s">
        <v>102</v>
      </c>
      <c r="EB312" s="2" t="s">
        <v>102</v>
      </c>
      <c r="EC312" s="2" t="str">
        <f>HYPERLINK(".\links\gpi\AGAP007765-PA-gpi.txt","Y-NoSP")</f>
        <v>Y-NoSP</v>
      </c>
      <c r="ED312" s="2">
        <v>0.19</v>
      </c>
      <c r="EF312" s="2">
        <v>8</v>
      </c>
      <c r="EG312" s="2" t="s">
        <v>102</v>
      </c>
      <c r="EH312" s="2" t="s">
        <v>102</v>
      </c>
      <c r="EI312" s="2">
        <v>13.289760348583901</v>
      </c>
      <c r="EJ312" s="2">
        <v>4.1394335511982598</v>
      </c>
      <c r="EK312" s="2">
        <v>7.8431372549019596</v>
      </c>
      <c r="EL312" s="2">
        <v>11.982570806100201</v>
      </c>
      <c r="EM312" s="2">
        <v>1</v>
      </c>
      <c r="EN312" s="2">
        <v>1</v>
      </c>
      <c r="EO312" s="2">
        <v>1</v>
      </c>
      <c r="EP312" s="2" t="s">
        <v>102</v>
      </c>
      <c r="EQ312" s="2" t="s">
        <v>102</v>
      </c>
      <c r="ER312" s="2" t="s">
        <v>102</v>
      </c>
      <c r="ES312" s="2" t="s">
        <v>102</v>
      </c>
      <c r="ET312" s="2" t="str">
        <f>HYPERLINK(".\links\REFSEQ-INVERTEBRATE\AGAP007765-PA-REFSEQ-INVERTEBRATE.txt","AGAP007765-PA")</f>
        <v>AGAP007765-PA</v>
      </c>
      <c r="EU312" s="2" t="str">
        <f>HYPERLINK("http://www.ncbi.nlm.nih.gov/sutils/blink.cgi?pid=XP_317751.3","0.0")</f>
        <v>0.0</v>
      </c>
      <c r="EV312" s="2" t="str">
        <f>HYPERLINK("http://www.ncbi.nlm.nih.gov/protein/XP_317751.3","XP_317751.3")</f>
        <v>XP_317751.3</v>
      </c>
      <c r="EW312" s="2">
        <v>100</v>
      </c>
      <c r="EX312" s="2">
        <v>100</v>
      </c>
      <c r="EY312" s="2">
        <v>100</v>
      </c>
      <c r="EZ312" s="2" t="s">
        <v>105</v>
      </c>
    </row>
    <row r="313" spans="1:156" x14ac:dyDescent="0.25">
      <c r="A313" s="2" t="s">
        <v>3405</v>
      </c>
      <c r="B313" s="2">
        <v>0.232746951908225</v>
      </c>
      <c r="C313" s="2">
        <f t="shared" si="4"/>
        <v>1.1750702035331733</v>
      </c>
      <c r="D313" s="2">
        <v>6.6719901194984601</v>
      </c>
      <c r="E313" s="2">
        <v>9.4859314434133299</v>
      </c>
      <c r="F313" s="2">
        <v>2.0705346772853599E-3</v>
      </c>
      <c r="G313" s="2">
        <v>4.42627315502108E-2</v>
      </c>
      <c r="H313" s="2" t="s">
        <v>93</v>
      </c>
      <c r="I313" s="2" t="s">
        <v>94</v>
      </c>
      <c r="J313" s="2" t="str">
        <f>HYPERLINK("https://vectorbase.org/vectorbase/app/record/gene/AGAP005528","AGAP005528-RA")</f>
        <v>AGAP005528-RA</v>
      </c>
      <c r="K313" s="2" t="str">
        <f>HYPERLINK(".\links\pep\AGAP005528-PA-pep.txt","AGAP005528-PA")</f>
        <v>AGAP005528-PA</v>
      </c>
      <c r="L313" s="12" t="s">
        <v>95</v>
      </c>
      <c r="M313" s="2">
        <v>287</v>
      </c>
      <c r="N313" s="2">
        <v>0</v>
      </c>
      <c r="O313" s="2">
        <v>0</v>
      </c>
      <c r="P313" s="2" t="s">
        <v>102</v>
      </c>
      <c r="Q313" s="9" t="s">
        <v>3406</v>
      </c>
      <c r="R313" s="2" t="s">
        <v>164</v>
      </c>
      <c r="S313" s="2" t="str">
        <f>HYPERLINK(".\links\KOG\AGAP005528-PA-KOG.txt","KOG")</f>
        <v>KOG</v>
      </c>
      <c r="T313" s="2">
        <v>2.0000000000000001E-62</v>
      </c>
      <c r="U313" s="2">
        <v>95.7</v>
      </c>
      <c r="V313" s="2" t="s">
        <v>3407</v>
      </c>
      <c r="W313" s="10" t="s">
        <v>3408</v>
      </c>
      <c r="X313" s="2" t="s">
        <v>3409</v>
      </c>
      <c r="Y313" s="2" t="str">
        <f>HYPERLINK(".\links\CDD\AGAP005528-PA-CDD.txt","CDD")</f>
        <v>CDD</v>
      </c>
      <c r="Z313" s="15">
        <v>8.0000000000000003E-84</v>
      </c>
      <c r="AA313" s="2">
        <v>100</v>
      </c>
      <c r="AB313" s="13" t="str">
        <f>HYPERLINK(".\links\pep\AGAP005528-PA-sulf.txt","1")</f>
        <v>1</v>
      </c>
      <c r="AC313" s="13" t="str">
        <f>HYPERLINK(".\links\Sigp\AGAP005528-PA-SigP.txt","CYT")</f>
        <v>CYT</v>
      </c>
      <c r="AD313" s="2" t="s">
        <v>102</v>
      </c>
      <c r="AE313" s="2">
        <v>31.94</v>
      </c>
      <c r="AF313" s="2">
        <v>6.4</v>
      </c>
      <c r="AG313" s="2" t="s">
        <v>102</v>
      </c>
      <c r="AH313" s="2" t="s">
        <v>102</v>
      </c>
      <c r="AI313" s="2" t="s">
        <v>3410</v>
      </c>
      <c r="AJ313" s="13" t="str">
        <f>HYPERLINK(".\links\tmhmm\AGAP005528-PA-tmhmm.txt","7")</f>
        <v>7</v>
      </c>
      <c r="AK313" s="2">
        <v>50.2</v>
      </c>
      <c r="AL313" s="2">
        <v>10.1</v>
      </c>
      <c r="AM313" s="2">
        <v>39.700000000000003</v>
      </c>
      <c r="AN313" s="13" t="str">
        <f>HYPERLINK(".\links\gpi\AGAP005528-PA-gpi.txt","N")</f>
        <v>N</v>
      </c>
      <c r="AO313" s="14" t="str">
        <f>HYPERLINK(".\links\netoglyc\AGAP005528-PA-netoglyc.txt","0")</f>
        <v>0</v>
      </c>
      <c r="AP313" s="13">
        <v>13.6</v>
      </c>
      <c r="AQ313" s="2">
        <v>8.4</v>
      </c>
      <c r="AR313" s="2">
        <v>4.5</v>
      </c>
      <c r="AS313" s="2" t="s">
        <v>104</v>
      </c>
      <c r="AT313" s="9" t="str">
        <f>HYPERLINK(".\links\NR-LIGHT\AGAP005528-PA-NR-LIGHT.txt","AGAP005528-PA")</f>
        <v>AGAP005528-PA</v>
      </c>
      <c r="AU313" s="2" t="str">
        <f>HYPERLINK("http://www.ncbi.nlm.nih.gov/sutils/blink.cgi?pid=XP_001237680.1","1E-163")</f>
        <v>1E-163</v>
      </c>
      <c r="AV313" s="2" t="str">
        <f>HYPERLINK("http://www.ncbi.nlm.nih.gov/protein/XP_001237680.1","XP_001237680.1")</f>
        <v>XP_001237680.1</v>
      </c>
      <c r="AW313" s="2">
        <v>100</v>
      </c>
      <c r="AX313" s="2">
        <v>100</v>
      </c>
      <c r="AY313" s="2">
        <v>100</v>
      </c>
      <c r="AZ313" s="2" t="s">
        <v>105</v>
      </c>
      <c r="BA313" s="9" t="str">
        <f>HYPERLINK(".\links\REFSEQ-INVERTEBRATE\AGAP005528-PA-REFSEQ-INVERTEBRATE.txt","AGAP005528-PA")</f>
        <v>AGAP005528-PA</v>
      </c>
      <c r="BB313" s="2" t="str">
        <f>HYPERLINK("http://www.ncbi.nlm.nih.gov/sutils/blink.cgi?pid=XP_001237680.1","1E-163")</f>
        <v>1E-163</v>
      </c>
      <c r="BC313" s="2" t="str">
        <f>HYPERLINK("http://www.ncbi.nlm.nih.gov/protein/XP_001237680.1","XP_001237680.1")</f>
        <v>XP_001237680.1</v>
      </c>
      <c r="BD313" s="2">
        <v>100</v>
      </c>
      <c r="BE313" s="2">
        <v>100</v>
      </c>
      <c r="BF313" s="2">
        <v>100</v>
      </c>
      <c r="BG313" s="2" t="s">
        <v>105</v>
      </c>
      <c r="BH313" s="9" t="str">
        <f>HYPERLINK(".\links\REFSEQ-PROTOZOA\AGAP005528-PA-REFSEQ-PROTOZOA.txt","glutamate receptor Gr2")</f>
        <v>glutamate receptor Gr2</v>
      </c>
      <c r="BI313" s="2" t="str">
        <f>HYPERLINK("http://www.ncbi.nlm.nih.gov/sutils/blink.cgi?pid=XP_004345566.1","9E-066")</f>
        <v>9E-066</v>
      </c>
      <c r="BJ313" s="2" t="str">
        <f>HYPERLINK("http://www.ncbi.nlm.nih.gov/protein/XP_004345566.1","XP_004345566.1")</f>
        <v>XP_004345566.1</v>
      </c>
      <c r="BK313" s="2">
        <v>46</v>
      </c>
      <c r="BL313" s="2">
        <v>67</v>
      </c>
      <c r="BM313" s="2">
        <v>86</v>
      </c>
      <c r="BN313" s="2" t="s">
        <v>106</v>
      </c>
      <c r="BO313" s="9" t="str">
        <f>HYPERLINK(".\links\SWISSP\AGAP005528-PA-SWISSP.txt","Protein lifeguard 1")</f>
        <v>Protein lifeguard 1</v>
      </c>
      <c r="BP313" s="2" t="str">
        <f>HYPERLINK("http://www.uniprot.org/uniprot/Q9ESF4","2E-053")</f>
        <v>2E-053</v>
      </c>
      <c r="BQ313" s="2" t="str">
        <f>HYPERLINK("http://www.uniprot.org/uniprot/Q9ESF4#expression","Q9ESF4")</f>
        <v>Q9ESF4</v>
      </c>
      <c r="BR313" s="2">
        <v>40</v>
      </c>
      <c r="BS313" s="2">
        <v>61</v>
      </c>
      <c r="BT313" s="2">
        <v>81</v>
      </c>
      <c r="BU313" s="2" t="s">
        <v>662</v>
      </c>
      <c r="BV313" s="9" t="str">
        <f>HYPERLINK(".\links\FLYBASE\AGAP005528-PA-FLYBASE.txt","FBpp0301213")</f>
        <v>FBpp0301213</v>
      </c>
      <c r="BW313" s="2" t="str">
        <f>HYPERLINK("http://flybase.org/reports/FBgn0013305#alliance_summary_container","1E-102")</f>
        <v>1E-102</v>
      </c>
      <c r="BX313" s="2">
        <v>313</v>
      </c>
      <c r="BY313" s="2">
        <v>60</v>
      </c>
      <c r="BZ313" s="2">
        <v>76</v>
      </c>
      <c r="CA313" s="2">
        <v>78</v>
      </c>
      <c r="CB313" s="9" t="str">
        <f>HYPERLINK(".\links\CDD\AGAP005528-PA-CDD.txt","LFG_like, Proteins similar to and including lifeguard (LFG), a putative regulator of apoptosis")</f>
        <v>LFG_like, Proteins similar to and including lifeguard (LFG), a putative regulator of apoptosis</v>
      </c>
      <c r="CC313" s="15">
        <v>2E-78</v>
      </c>
      <c r="CD313" s="2">
        <v>100.5</v>
      </c>
      <c r="CE313" s="2" t="s">
        <v>3411</v>
      </c>
      <c r="CF313" s="2" t="s">
        <v>3412</v>
      </c>
      <c r="CG313" s="9" t="str">
        <f>HYPERLINK(".\links\KOG\AGAP005528-PA-KOG.txt","N-methyl-D-aspartate receptor glutamate-binding subunit")</f>
        <v>N-methyl-D-aspartate receptor glutamate-binding subunit</v>
      </c>
      <c r="CH313" s="15">
        <v>2.0000000000000001E-62</v>
      </c>
      <c r="CI313" s="2">
        <v>95.8</v>
      </c>
      <c r="CJ313" s="2" t="s">
        <v>3413</v>
      </c>
      <c r="CK313" s="2" t="s">
        <v>173</v>
      </c>
      <c r="CL313" s="9" t="str">
        <f>HYPERLINK(".\links\PFAM\AGAP005528-PA-PFAM.txt","Bax1-I, Inhibitor of apoptosis-promoting Bax1")</f>
        <v>Bax1-I, Inhibitor of apoptosis-promoting Bax1</v>
      </c>
      <c r="CM313" s="15">
        <v>4E-35</v>
      </c>
      <c r="CN313" s="2">
        <v>101</v>
      </c>
      <c r="CO313" s="2" t="s">
        <v>3414</v>
      </c>
      <c r="CP313" s="9" t="str">
        <f>HYPERLINK(".\links\SMART\AGAP005528-PA-SMART.txt","VKc, Family of likely enzymes that includes the catalytic subunit of vitamin K epoxide reductase")</f>
        <v>VKc, Family of likely enzymes that includes the catalytic subunit of vitamin K epoxide reductase</v>
      </c>
      <c r="CQ313" s="15">
        <v>5.0000000000000001E-3</v>
      </c>
      <c r="CR313" s="2">
        <v>64.099999999999994</v>
      </c>
      <c r="CS313" s="2" t="s">
        <v>3415</v>
      </c>
      <c r="CT313" s="2" t="s">
        <v>3407</v>
      </c>
      <c r="CU313" s="2" t="s">
        <v>3407</v>
      </c>
      <c r="CV313" s="2" t="s">
        <v>3407</v>
      </c>
      <c r="CW313" s="2" t="str">
        <f>HYPERLINK(".\links\pep\AGAP005528-PA-pep.txt","AGAP005528-PA")</f>
        <v>AGAP005528-PA</v>
      </c>
      <c r="CX313" s="2" t="s">
        <v>95</v>
      </c>
      <c r="CY313" s="2">
        <v>287</v>
      </c>
      <c r="CZ313" s="2" t="s">
        <v>113</v>
      </c>
      <c r="DA313" s="2" t="s">
        <v>3416</v>
      </c>
      <c r="DB313" s="2">
        <v>0</v>
      </c>
      <c r="DC313" s="2">
        <v>0</v>
      </c>
      <c r="DD313" s="2" t="str">
        <f>HYPERLINK("https://www.kegg.jp/kegg-bin/search_pathway_text?map=aga&amp;keyword=AGAP005528&amp;mode=1&amp;viewImage=true","AGAP005528")</f>
        <v>AGAP005528</v>
      </c>
      <c r="DE313" s="2" t="s">
        <v>3405</v>
      </c>
      <c r="DF313" s="2" t="s">
        <v>93</v>
      </c>
      <c r="DG313" s="2" t="s">
        <v>94</v>
      </c>
      <c r="DH313" s="2" t="str">
        <f>HYPERLINK("https://vectorbase.org/vectorbase/app/record/gene/AGAP005528","AGAP005528-RA")</f>
        <v>AGAP005528-RA</v>
      </c>
      <c r="DI313" s="2" t="s">
        <v>118</v>
      </c>
      <c r="DJ313" s="2">
        <v>1519</v>
      </c>
      <c r="DK313" s="2" t="str">
        <f>HYPERLINK(".\links\netoglyc\AGAP005528-PA-netoglyc.txt","0")</f>
        <v>0</v>
      </c>
      <c r="DL313" s="2">
        <v>13.6</v>
      </c>
      <c r="DM313" s="2">
        <v>8.4</v>
      </c>
      <c r="DN313" s="2">
        <v>4.5</v>
      </c>
      <c r="DO313" s="2" t="s">
        <v>104</v>
      </c>
      <c r="DP313" s="2" t="s">
        <v>102</v>
      </c>
      <c r="DQ313" s="2" t="str">
        <f>HYPERLINK(".\links\Sigp\AGAP005528-PA-SigP.txt","CYT")</f>
        <v>CYT</v>
      </c>
      <c r="DR313" s="2" t="s">
        <v>102</v>
      </c>
      <c r="DS313" s="2">
        <v>31.94</v>
      </c>
      <c r="DT313" s="2">
        <v>6.4</v>
      </c>
      <c r="DU313" s="2" t="s">
        <v>102</v>
      </c>
      <c r="DV313" s="2" t="s">
        <v>102</v>
      </c>
      <c r="DW313" s="2" t="s">
        <v>3410</v>
      </c>
      <c r="DX313" s="2">
        <v>287</v>
      </c>
      <c r="DY313" s="12" t="str">
        <f>HYPERLINK(".\links\tmhmm\AGAP005528-PA-tmhmm.txt","7")</f>
        <v>7</v>
      </c>
      <c r="DZ313" s="2">
        <v>50.2</v>
      </c>
      <c r="EA313" s="2">
        <v>10.1</v>
      </c>
      <c r="EB313" s="2">
        <v>39.700000000000003</v>
      </c>
      <c r="EC313" s="2" t="str">
        <f>HYPERLINK(".\links\gpi\AGAP005528-PA-gpi.txt","Y-NoSP")</f>
        <v>Y-NoSP</v>
      </c>
      <c r="ED313" s="2">
        <v>0.35</v>
      </c>
      <c r="EE313" s="2" t="s">
        <v>3417</v>
      </c>
      <c r="EF313" s="2">
        <v>5</v>
      </c>
      <c r="EG313" s="2" t="str">
        <f>HYPERLINK(".\links\pep\AGAP005528-PA-sulf.txt","1")</f>
        <v>1</v>
      </c>
      <c r="EH313" s="2" t="s">
        <v>102</v>
      </c>
      <c r="EI313" s="2">
        <v>13.588850174216001</v>
      </c>
      <c r="EJ313" s="2">
        <v>4.5296167247386796</v>
      </c>
      <c r="EK313" s="2">
        <v>8.3623693379790893</v>
      </c>
      <c r="EL313" s="2">
        <v>12.8919860627178</v>
      </c>
      <c r="EM313" s="2" t="s">
        <v>102</v>
      </c>
      <c r="EN313" s="2">
        <v>1</v>
      </c>
      <c r="EO313" s="2">
        <v>2</v>
      </c>
      <c r="EP313" s="2" t="s">
        <v>102</v>
      </c>
      <c r="EQ313" s="2" t="s">
        <v>102</v>
      </c>
      <c r="ER313" s="2" t="s">
        <v>102</v>
      </c>
      <c r="ES313" s="2" t="s">
        <v>102</v>
      </c>
      <c r="ET313" s="2" t="str">
        <f>HYPERLINK(".\links\REFSEQ-INVERTEBRATE\AGAP005528-PA-REFSEQ-INVERTEBRATE.txt","AGAP005528-PA")</f>
        <v>AGAP005528-PA</v>
      </c>
      <c r="EU313" s="2" t="str">
        <f>HYPERLINK("http://www.ncbi.nlm.nih.gov/sutils/blink.cgi?pid=XP_001237680.1","0.0")</f>
        <v>0.0</v>
      </c>
      <c r="EV313" s="2" t="str">
        <f>HYPERLINK("http://www.ncbi.nlm.nih.gov/protein/XP_001237680.1","XP_001237680.1")</f>
        <v>XP_001237680.1</v>
      </c>
      <c r="EW313" s="2">
        <v>100</v>
      </c>
      <c r="EX313" s="2">
        <v>100</v>
      </c>
      <c r="EY313" s="2">
        <v>100</v>
      </c>
      <c r="EZ313" s="2" t="s">
        <v>105</v>
      </c>
    </row>
    <row r="314" spans="1:156" x14ac:dyDescent="0.25">
      <c r="A314" s="2" t="s">
        <v>3418</v>
      </c>
      <c r="B314" s="2">
        <v>0.23251539258039999</v>
      </c>
      <c r="C314" s="2">
        <f t="shared" si="4"/>
        <v>1.1748816143834266</v>
      </c>
      <c r="D314" s="2">
        <v>7.3431384221451399</v>
      </c>
      <c r="E314" s="2">
        <v>9.8404228579692106</v>
      </c>
      <c r="F314" s="2">
        <v>1.70718248675314E-3</v>
      </c>
      <c r="G314" s="2">
        <v>4.0610247033373299E-2</v>
      </c>
      <c r="H314" s="2" t="s">
        <v>3419</v>
      </c>
      <c r="I314" s="2" t="s">
        <v>94</v>
      </c>
      <c r="J314" s="2" t="str">
        <f>HYPERLINK("https://vectorbase.org/vectorbase/app/record/gene/AGAP004318","AGAP004318-RA")</f>
        <v>AGAP004318-RA</v>
      </c>
      <c r="K314" s="2" t="str">
        <f>HYPERLINK(".\links\pep\AGAP004318-PA-pep.txt","AGAP004318-PA")</f>
        <v>AGAP004318-PA</v>
      </c>
      <c r="L314" s="12" t="s">
        <v>95</v>
      </c>
      <c r="M314" s="2">
        <v>393</v>
      </c>
      <c r="N314" s="2">
        <v>0</v>
      </c>
      <c r="O314" s="2">
        <v>0</v>
      </c>
      <c r="P314" s="2" t="s">
        <v>3420</v>
      </c>
      <c r="Q314" s="9" t="s">
        <v>3421</v>
      </c>
      <c r="R314" s="2" t="s">
        <v>101</v>
      </c>
      <c r="S314" s="2" t="str">
        <f>HYPERLINK(".\links\CDD\AGAP004318-PA-CDD.txt","CDD")</f>
        <v>CDD</v>
      </c>
      <c r="T314" s="2">
        <v>2.0000000000000001E-61</v>
      </c>
      <c r="U314" s="2">
        <v>107.3</v>
      </c>
      <c r="V314" s="2" t="s">
        <v>3422</v>
      </c>
      <c r="W314" s="10" t="s">
        <v>3423</v>
      </c>
      <c r="X314" s="2" t="s">
        <v>3424</v>
      </c>
      <c r="Y314" s="2" t="str">
        <f>HYPERLINK(".\links\MEROPS\AGAP004318-PA-MEROPS.txt","MEROPS")</f>
        <v>MEROPS</v>
      </c>
      <c r="Z314" s="2">
        <v>0</v>
      </c>
      <c r="AA314" s="2">
        <v>100</v>
      </c>
      <c r="AB314" s="13" t="str">
        <f>HYPERLINK(".\links\pep\AGAP004318-PA-sulf.txt","1")</f>
        <v>1</v>
      </c>
      <c r="AC314" s="13" t="str">
        <f>HYPERLINK(".\links\Sigp\AGAP004318-PA-SigP.txt","SIG")</f>
        <v>SIG</v>
      </c>
      <c r="AD314" s="2" t="s">
        <v>3425</v>
      </c>
      <c r="AE314" s="2">
        <v>43.134</v>
      </c>
      <c r="AF314" s="2">
        <v>5.87</v>
      </c>
      <c r="AG314" s="2">
        <v>39.575000000000003</v>
      </c>
      <c r="AH314" s="2">
        <v>5.72</v>
      </c>
      <c r="AI314" s="2" t="s">
        <v>3426</v>
      </c>
      <c r="AJ314" s="13" t="str">
        <f>HYPERLINK(".\links\tmhmm\AGAP004318-PA-tmhmm.txt","1")</f>
        <v>1</v>
      </c>
      <c r="AK314" s="2">
        <v>4.8</v>
      </c>
      <c r="AL314" s="2">
        <v>91.9</v>
      </c>
      <c r="AM314" s="2">
        <v>3.3</v>
      </c>
      <c r="AN314" s="13" t="str">
        <f>HYPERLINK(".\links\gpi\AGAP004318-PA-gpi.txt","N")</f>
        <v>N</v>
      </c>
      <c r="AO314" s="14" t="str">
        <f>HYPERLINK(".\links\netoglyc\AGAP004318-PA-netoglyc.txt","1")</f>
        <v>1</v>
      </c>
      <c r="AP314" s="13">
        <v>14.8</v>
      </c>
      <c r="AQ314" s="2">
        <v>8.9</v>
      </c>
      <c r="AR314" s="2">
        <v>4.8</v>
      </c>
      <c r="AS314" s="2">
        <v>0.8</v>
      </c>
      <c r="AT314" s="9" t="str">
        <f>HYPERLINK(".\links\NR-LIGHT\AGAP004318-PA-NR-LIGHT.txt","AGAP004318-PA")</f>
        <v>AGAP004318-PA</v>
      </c>
      <c r="AU314" s="2" t="str">
        <f>HYPERLINK("http://www.ncbi.nlm.nih.gov/sutils/blink.cgi?pid=XP_313589.2","0.0")</f>
        <v>0.0</v>
      </c>
      <c r="AV314" s="2" t="str">
        <f>HYPERLINK("http://www.ncbi.nlm.nih.gov/protein/XP_313589.2","XP_313589.2")</f>
        <v>XP_313589.2</v>
      </c>
      <c r="AW314" s="2">
        <v>100</v>
      </c>
      <c r="AX314" s="2">
        <v>100</v>
      </c>
      <c r="AY314" s="2">
        <v>100</v>
      </c>
      <c r="AZ314" s="2" t="s">
        <v>105</v>
      </c>
      <c r="BA314" s="9" t="str">
        <f>HYPERLINK(".\links\REFSEQ-INVERTEBRATE\AGAP004318-PA-REFSEQ-INVERTEBRATE.txt","AGAP004318-PA")</f>
        <v>AGAP004318-PA</v>
      </c>
      <c r="BB314" s="2" t="str">
        <f>HYPERLINK("http://www.ncbi.nlm.nih.gov/sutils/blink.cgi?pid=XP_313589.2","0.0")</f>
        <v>0.0</v>
      </c>
      <c r="BC314" s="2" t="str">
        <f>HYPERLINK("http://www.ncbi.nlm.nih.gov/protein/XP_313589.2","XP_313589.2")</f>
        <v>XP_313589.2</v>
      </c>
      <c r="BD314" s="2">
        <v>100</v>
      </c>
      <c r="BE314" s="2">
        <v>100</v>
      </c>
      <c r="BF314" s="2">
        <v>100</v>
      </c>
      <c r="BG314" s="2" t="s">
        <v>105</v>
      </c>
      <c r="BH314" s="9" t="str">
        <f>HYPERLINK(".\links\REFSEQ-PROTOZOA\AGAP004318-PA-REFSEQ-PROTOZOA.txt","hypothetical protein H257_18114")</f>
        <v>hypothetical protein H257_18114</v>
      </c>
      <c r="BI314" s="2" t="str">
        <f>HYPERLINK("http://www.ncbi.nlm.nih.gov/sutils/blink.cgi?pid=XP_009845425.1","1E-020")</f>
        <v>1E-020</v>
      </c>
      <c r="BJ314" s="2" t="str">
        <f>HYPERLINK("http://www.ncbi.nlm.nih.gov/protein/XP_009845425.1","XP_009845425.1")</f>
        <v>XP_009845425.1</v>
      </c>
      <c r="BK314" s="2">
        <v>31</v>
      </c>
      <c r="BL314" s="2">
        <v>50</v>
      </c>
      <c r="BM314" s="2">
        <v>77</v>
      </c>
      <c r="BN314" s="2" t="s">
        <v>362</v>
      </c>
      <c r="BO314" s="9" t="str">
        <f>HYPERLINK(".\links\SWISSP\AGAP004318-PA-SWISSP.txt","Serine protease snake")</f>
        <v>Serine protease snake</v>
      </c>
      <c r="BP314" s="2" t="str">
        <f>HYPERLINK("http://www.uniprot.org/uniprot/P05049","7E-066")</f>
        <v>7E-066</v>
      </c>
      <c r="BQ314" s="2" t="str">
        <f>HYPERLINK("http://www.uniprot.org/uniprot/P05049#expression","P05049")</f>
        <v>P05049</v>
      </c>
      <c r="BR314" s="2">
        <v>38</v>
      </c>
      <c r="BS314" s="2">
        <v>55</v>
      </c>
      <c r="BT314" s="2">
        <v>86</v>
      </c>
      <c r="BU314" s="2" t="s">
        <v>107</v>
      </c>
      <c r="BV314" s="9" t="str">
        <f>HYPERLINK(".\links\FLYBASE\AGAP004318-PA-FLYBASE.txt","FBpp0111746")</f>
        <v>FBpp0111746</v>
      </c>
      <c r="BW314" s="2" t="str">
        <f>HYPERLINK("http://flybase.org/reports/FBgn0003450#alliance_summary_container","2E-79")</f>
        <v>2E-79</v>
      </c>
      <c r="BX314" s="2">
        <v>435</v>
      </c>
      <c r="BY314" s="2">
        <v>38</v>
      </c>
      <c r="BZ314" s="2">
        <v>55</v>
      </c>
      <c r="CA314" s="2">
        <v>86</v>
      </c>
      <c r="CB314" s="9" t="str">
        <f>HYPERLINK(".\links\CDD\AGAP004318-PA-CDD.txt","Tryp_SPc, Trypsin-like serine protease")</f>
        <v>Tryp_SPc, Trypsin-like serine protease</v>
      </c>
      <c r="CC314" s="15">
        <v>2.0000000000000001E-61</v>
      </c>
      <c r="CD314" s="2">
        <v>107.3</v>
      </c>
      <c r="CE314" s="2" t="s">
        <v>3427</v>
      </c>
      <c r="CF314" s="2" t="s">
        <v>3428</v>
      </c>
      <c r="CG314" s="9" t="str">
        <f>HYPERLINK(".\links\KOG\AGAP004318-PA-KOG.txt","Trypsin")</f>
        <v>Trypsin</v>
      </c>
      <c r="CH314" s="15">
        <v>5.0000000000000002E-54</v>
      </c>
      <c r="CI314" s="2">
        <v>99.6</v>
      </c>
      <c r="CJ314" s="2" t="s">
        <v>3429</v>
      </c>
      <c r="CK314" s="2" t="s">
        <v>267</v>
      </c>
      <c r="CL314" s="9" t="str">
        <f>HYPERLINK(".\links\PFAM\AGAP004318-PA-PFAM.txt","Trypsin, Trypsin")</f>
        <v>Trypsin, Trypsin</v>
      </c>
      <c r="CM314" s="15">
        <v>2E-45</v>
      </c>
      <c r="CN314" s="2">
        <v>111.4</v>
      </c>
      <c r="CO314" s="2" t="s">
        <v>3430</v>
      </c>
      <c r="CP314" s="9" t="str">
        <f>HYPERLINK(".\links\SMART\AGAP004318-PA-SMART.txt","Tryp_SPc, Trypsin-like serine protease")</f>
        <v>Tryp_SPc, Trypsin-like serine protease</v>
      </c>
      <c r="CQ314" s="15">
        <v>1E-59</v>
      </c>
      <c r="CR314" s="2">
        <v>107.9</v>
      </c>
      <c r="CS314" s="2" t="s">
        <v>3431</v>
      </c>
      <c r="CT314" s="2" t="s">
        <v>3422</v>
      </c>
      <c r="CU314" s="2" t="s">
        <v>3422</v>
      </c>
      <c r="CV314" s="2" t="s">
        <v>3422</v>
      </c>
      <c r="CW314" s="2" t="str">
        <f>HYPERLINK(".\links\pep\AGAP004318-PA-pep.txt","AGAP004318-PA")</f>
        <v>AGAP004318-PA</v>
      </c>
      <c r="CX314" s="2" t="s">
        <v>95</v>
      </c>
      <c r="CY314" s="2">
        <v>393</v>
      </c>
      <c r="CZ314" s="2" t="s">
        <v>113</v>
      </c>
      <c r="DA314" s="2" t="s">
        <v>3432</v>
      </c>
      <c r="DB314" s="2">
        <v>0</v>
      </c>
      <c r="DC314" s="2">
        <v>0</v>
      </c>
      <c r="DD314" s="2" t="str">
        <f>HYPERLINK("https://www.kegg.jp/kegg-bin/search_pathway_text?map=aga&amp;keyword=AGAP004318&amp;mode=1&amp;viewImage=true","AGAP004318")</f>
        <v>AGAP004318</v>
      </c>
      <c r="DE314" s="2" t="s">
        <v>3418</v>
      </c>
      <c r="DF314" s="2" t="s">
        <v>3419</v>
      </c>
      <c r="DG314" s="2" t="s">
        <v>94</v>
      </c>
      <c r="DH314" s="2" t="str">
        <f>HYPERLINK("https://vectorbase.org/vectorbase/app/record/gene/AGAP004318","AGAP004318-RA")</f>
        <v>AGAP004318-RA</v>
      </c>
      <c r="DI314" s="2" t="s">
        <v>118</v>
      </c>
      <c r="DJ314" s="2">
        <v>1631</v>
      </c>
      <c r="DK314" s="2" t="str">
        <f>HYPERLINK(".\links\netoglyc\AGAP004318-PA-netoglyc.txt","1")</f>
        <v>1</v>
      </c>
      <c r="DL314" s="2">
        <v>14.8</v>
      </c>
      <c r="DM314" s="2">
        <v>8.9</v>
      </c>
      <c r="DN314" s="2">
        <v>4.8</v>
      </c>
      <c r="DO314" s="2">
        <v>0.8</v>
      </c>
      <c r="DP314" s="2" t="s">
        <v>102</v>
      </c>
      <c r="DQ314" s="2" t="str">
        <f>HYPERLINK(".\links\Sigp\AGAP004318-PA-SigP.txt","SIG")</f>
        <v>SIG</v>
      </c>
      <c r="DR314" s="2" t="s">
        <v>3425</v>
      </c>
      <c r="DS314" s="2">
        <v>43.134</v>
      </c>
      <c r="DT314" s="2">
        <v>5.87</v>
      </c>
      <c r="DU314" s="2">
        <v>39.575000000000003</v>
      </c>
      <c r="DV314" s="2">
        <v>5.72</v>
      </c>
      <c r="DW314" s="2" t="s">
        <v>3426</v>
      </c>
      <c r="DX314" s="2">
        <v>393</v>
      </c>
      <c r="DY314" s="12" t="str">
        <f>HYPERLINK(".\links\tmhmm\AGAP004318-PA-tmhmm.txt","1")</f>
        <v>1</v>
      </c>
      <c r="DZ314" s="2">
        <v>4.8</v>
      </c>
      <c r="EA314" s="2">
        <v>91.9</v>
      </c>
      <c r="EB314" s="2">
        <v>3.3</v>
      </c>
      <c r="EC314" s="2" t="str">
        <f>HYPERLINK(".\links\gpi\AGAP004318-PA-gpi.txt","Y-NoSP")</f>
        <v>Y-NoSP</v>
      </c>
      <c r="ED314" s="2">
        <v>0.19</v>
      </c>
      <c r="EF314" s="2">
        <v>17</v>
      </c>
      <c r="EG314" s="2" t="str">
        <f>HYPERLINK(".\links\pep\AGAP004318-PA-sulf.txt","1")</f>
        <v>1</v>
      </c>
      <c r="EH314" s="2" t="s">
        <v>102</v>
      </c>
      <c r="EI314" s="2">
        <v>14.758269720101801</v>
      </c>
      <c r="EJ314" s="2">
        <v>4.8346055979643801</v>
      </c>
      <c r="EK314" s="2">
        <v>8.9058524173027998</v>
      </c>
      <c r="EL314" s="2">
        <v>13.740458015267199</v>
      </c>
      <c r="EM314" s="2" t="s">
        <v>102</v>
      </c>
      <c r="EN314" s="2" t="s">
        <v>102</v>
      </c>
      <c r="EO314" s="2">
        <v>1</v>
      </c>
      <c r="EP314" s="2" t="s">
        <v>102</v>
      </c>
      <c r="EQ314" s="2" t="s">
        <v>102</v>
      </c>
      <c r="ER314" s="2" t="s">
        <v>102</v>
      </c>
      <c r="ES314" s="2" t="s">
        <v>102</v>
      </c>
      <c r="ET314" s="2" t="str">
        <f>HYPERLINK(".\links\REFSEQ-INVERTEBRATE\AGAP004318-PA-REFSEQ-INVERTEBRATE.txt","AGAP004318-PA")</f>
        <v>AGAP004318-PA</v>
      </c>
      <c r="EU314" s="2" t="str">
        <f>HYPERLINK("http://www.ncbi.nlm.nih.gov/sutils/blink.cgi?pid=XP_313589.2","0.0")</f>
        <v>0.0</v>
      </c>
      <c r="EV314" s="2" t="str">
        <f>HYPERLINK("http://www.ncbi.nlm.nih.gov/protein/XP_313589.2","XP_313589.2")</f>
        <v>XP_313589.2</v>
      </c>
      <c r="EW314" s="2">
        <v>100</v>
      </c>
      <c r="EX314" s="2">
        <v>100</v>
      </c>
      <c r="EY314" s="2">
        <v>100</v>
      </c>
      <c r="EZ314" s="2" t="s">
        <v>105</v>
      </c>
    </row>
    <row r="315" spans="1:156" x14ac:dyDescent="0.25">
      <c r="A315" s="2" t="s">
        <v>3433</v>
      </c>
      <c r="B315" s="2">
        <v>0.23160280210551701</v>
      </c>
      <c r="C315" s="2">
        <f t="shared" si="4"/>
        <v>1.1741386668436771</v>
      </c>
      <c r="D315" s="2">
        <v>5.8935988018177898</v>
      </c>
      <c r="E315" s="2">
        <v>9.7156956531205498</v>
      </c>
      <c r="F315" s="2">
        <v>1.8270091075826599E-3</v>
      </c>
      <c r="G315" s="2">
        <v>4.16786452667295E-2</v>
      </c>
      <c r="H315" s="2" t="s">
        <v>3434</v>
      </c>
      <c r="I315" s="2" t="s">
        <v>94</v>
      </c>
      <c r="J315" s="2" t="str">
        <f>HYPERLINK("https://vectorbase.org/vectorbase/app/record/gene/AGAP003602","AGAP003602-RB")</f>
        <v>AGAP003602-RB</v>
      </c>
      <c r="K315" s="2" t="str">
        <f>HYPERLINK(".\links\pep\AGAP003602-PB-pep.txt","AGAP003602-PB")</f>
        <v>AGAP003602-PB</v>
      </c>
      <c r="L315" s="12" t="s">
        <v>95</v>
      </c>
      <c r="M315" s="2">
        <v>304</v>
      </c>
      <c r="N315" s="2">
        <v>0</v>
      </c>
      <c r="O315" s="2">
        <v>1</v>
      </c>
      <c r="P315" s="2" t="s">
        <v>3435</v>
      </c>
      <c r="Q315" s="9" t="s">
        <v>3436</v>
      </c>
      <c r="R315" s="2" t="s">
        <v>196</v>
      </c>
      <c r="S315" s="2" t="str">
        <f>HYPERLINK(".\links\REFSEQ-INVERTEBRATE\AGAP003602-PB-REFSEQ-INVERTEBRATE.txt","REFSEQ-INVERTEBRATE")</f>
        <v>REFSEQ-INVERTEBRATE</v>
      </c>
      <c r="T315" s="2">
        <v>0</v>
      </c>
      <c r="U315" s="2">
        <v>100</v>
      </c>
      <c r="V315" s="2" t="s">
        <v>3436</v>
      </c>
      <c r="W315" s="10" t="s">
        <v>3437</v>
      </c>
      <c r="X315" s="2" t="s">
        <v>781</v>
      </c>
      <c r="Y315" s="2" t="str">
        <f>HYPERLINK(".\links\REFSEQ-INVERTEBRATE\AGAP003602-PB-REFSEQ-INVERTEBRATE.txt","REFSEQ-INVERTEBRATE")</f>
        <v>REFSEQ-INVERTEBRATE</v>
      </c>
      <c r="Z315" s="2">
        <v>0</v>
      </c>
      <c r="AA315" s="2">
        <v>95</v>
      </c>
      <c r="AB315" s="13" t="s">
        <v>102</v>
      </c>
      <c r="AC315" s="13" t="str">
        <f>HYPERLINK(".\links\Sigp\AGAP003602-PB-SigP.txt","CYT")</f>
        <v>CYT</v>
      </c>
      <c r="AD315" s="2" t="s">
        <v>102</v>
      </c>
      <c r="AE315" s="2">
        <v>35.722999999999999</v>
      </c>
      <c r="AF315" s="2">
        <v>6.21</v>
      </c>
      <c r="AG315" s="2" t="s">
        <v>102</v>
      </c>
      <c r="AH315" s="2" t="s">
        <v>102</v>
      </c>
      <c r="AI315" s="2" t="s">
        <v>1262</v>
      </c>
      <c r="AJ315" s="13">
        <v>0</v>
      </c>
      <c r="AK315" s="2" t="s">
        <v>102</v>
      </c>
      <c r="AL315" s="2" t="s">
        <v>102</v>
      </c>
      <c r="AM315" s="2" t="s">
        <v>102</v>
      </c>
      <c r="AN315" s="13" t="str">
        <f>HYPERLINK(".\links\gpi\AGAP003602-PB-gpi.txt","N")</f>
        <v>N</v>
      </c>
      <c r="AO315" s="14" t="str">
        <f>HYPERLINK(".\links\netoglyc\AGAP003602-PB-netoglyc.txt","0")</f>
        <v>0</v>
      </c>
      <c r="AP315" s="13">
        <v>12.2</v>
      </c>
      <c r="AQ315" s="2">
        <v>4.9000000000000004</v>
      </c>
      <c r="AR315" s="2">
        <v>3.3</v>
      </c>
      <c r="AS315" s="2" t="s">
        <v>104</v>
      </c>
      <c r="AT315" s="9" t="str">
        <f>HYPERLINK(".\links\NR-LIGHT\AGAP003602-PB-NR-LIGHT.txt","AGAP003602-PB")</f>
        <v>AGAP003602-PB</v>
      </c>
      <c r="AU315" s="2" t="str">
        <f>HYPERLINK("http://www.ncbi.nlm.nih.gov/sutils/blink.cgi?pid=XP_003436535.1","1E-179")</f>
        <v>1E-179</v>
      </c>
      <c r="AV315" s="2" t="str">
        <f>HYPERLINK("http://www.ncbi.nlm.nih.gov/protein/XP_003436535.1","XP_003436535.1")</f>
        <v>XP_003436535.1</v>
      </c>
      <c r="AW315" s="2">
        <v>100</v>
      </c>
      <c r="AX315" s="2">
        <v>100</v>
      </c>
      <c r="AY315" s="2">
        <v>100</v>
      </c>
      <c r="AZ315" s="2" t="s">
        <v>105</v>
      </c>
      <c r="BA315" s="9" t="str">
        <f>HYPERLINK(".\links\REFSEQ-INVERTEBRATE\AGAP003602-PB-REFSEQ-INVERTEBRATE.txt","AGAP003602-PB")</f>
        <v>AGAP003602-PB</v>
      </c>
      <c r="BB315" s="2" t="str">
        <f>HYPERLINK("http://www.ncbi.nlm.nih.gov/sutils/blink.cgi?pid=XP_003436535.1","1E-179")</f>
        <v>1E-179</v>
      </c>
      <c r="BC315" s="2" t="str">
        <f>HYPERLINK("http://www.ncbi.nlm.nih.gov/protein/XP_003436535.1","XP_003436535.1")</f>
        <v>XP_003436535.1</v>
      </c>
      <c r="BD315" s="2">
        <v>100</v>
      </c>
      <c r="BE315" s="2">
        <v>100</v>
      </c>
      <c r="BF315" s="2">
        <v>100</v>
      </c>
      <c r="BG315" s="2" t="s">
        <v>105</v>
      </c>
      <c r="BH315" s="9" t="str">
        <f>HYPERLINK(".\links\REFSEQ-PROTOZOA\AGAP003602-PB-REFSEQ-PROTOZOA.txt","hypothetical protein SDRG_01207")</f>
        <v>hypothetical protein SDRG_01207</v>
      </c>
      <c r="BI315" s="2" t="str">
        <f>HYPERLINK("http://www.ncbi.nlm.nih.gov/sutils/blink.cgi?pid=XP_008604946.1","2E-024")</f>
        <v>2E-024</v>
      </c>
      <c r="BJ315" s="2" t="str">
        <f>HYPERLINK("http://www.ncbi.nlm.nih.gov/protein/XP_008604946.1","XP_008604946.1")</f>
        <v>XP_008604946.1</v>
      </c>
      <c r="BK315" s="2">
        <v>33</v>
      </c>
      <c r="BL315" s="2">
        <v>46</v>
      </c>
      <c r="BM315" s="2">
        <v>85</v>
      </c>
      <c r="BN315" s="2" t="s">
        <v>1766</v>
      </c>
      <c r="BO315" s="9" t="str">
        <f>HYPERLINK(".\links\SWISSP\AGAP003602-PB-SWISSP.txt","Methyltransferase-like protein 9")</f>
        <v>Methyltransferase-like protein 9</v>
      </c>
      <c r="BP315" s="2" t="str">
        <f>HYPERLINK("http://www.uniprot.org/uniprot/Q9H1A3","5E-029")</f>
        <v>5E-029</v>
      </c>
      <c r="BQ315" s="2" t="str">
        <f>HYPERLINK("http://www.uniprot.org/uniprot/Q9H1A3#expression","Q9H1A3")</f>
        <v>Q9H1A3</v>
      </c>
      <c r="BR315" s="2">
        <v>36</v>
      </c>
      <c r="BS315" s="2">
        <v>51</v>
      </c>
      <c r="BT315" s="2">
        <v>81</v>
      </c>
      <c r="BU315" s="2" t="s">
        <v>127</v>
      </c>
      <c r="BV315" s="9" t="str">
        <f>HYPERLINK(".\links\FLYBASE\AGAP003602-PB-FLYBASE.txt","FBpp0072129")</f>
        <v>FBpp0072129</v>
      </c>
      <c r="BW315" s="2" t="str">
        <f>HYPERLINK("http://flybase.org/reports/FBgn0034925#alliance_summary_container","1E-103")</f>
        <v>1E-103</v>
      </c>
      <c r="BX315" s="2">
        <v>305</v>
      </c>
      <c r="BY315" s="2">
        <v>49</v>
      </c>
      <c r="BZ315" s="2">
        <v>67</v>
      </c>
      <c r="CA315" s="2">
        <v>100</v>
      </c>
      <c r="CB315" s="9" t="str">
        <f>HYPERLINK(".\links\CDD\AGAP003602-PB-CDD.txt","DREV, DREV methyltransferase")</f>
        <v>DREV, DREV methyltransferase</v>
      </c>
      <c r="CC315" s="15">
        <v>2E-66</v>
      </c>
      <c r="CD315" s="2">
        <v>104.9</v>
      </c>
      <c r="CE315" s="2" t="s">
        <v>3438</v>
      </c>
      <c r="CF315" s="2" t="s">
        <v>3439</v>
      </c>
      <c r="CG315" s="9" t="str">
        <f>HYPERLINK(".\links\KOG\AGAP003602-PB-KOG.txt","Uncharacterized conserved protein DREV/CGI-81")</f>
        <v>Uncharacterized conserved protein DREV/CGI-81</v>
      </c>
      <c r="CH315" s="15">
        <v>9E-68</v>
      </c>
      <c r="CI315" s="2">
        <v>108</v>
      </c>
      <c r="CJ315" s="2" t="s">
        <v>3440</v>
      </c>
      <c r="CK315" s="2" t="s">
        <v>284</v>
      </c>
      <c r="CL315" s="9" t="str">
        <f>HYPERLINK(".\links\PFAM\AGAP003602-PB-PFAM.txt","DREV, DREV methyltransferase")</f>
        <v>DREV, DREV methyltransferase</v>
      </c>
      <c r="CM315" s="15">
        <v>4.9999999999999999E-67</v>
      </c>
      <c r="CN315" s="2">
        <v>104.9</v>
      </c>
      <c r="CO315" s="2" t="s">
        <v>3438</v>
      </c>
      <c r="CP315" s="9" t="str">
        <f>HYPERLINK(".\links\SMART\AGAP003602-PB-SMART.txt","MeTrc, Methyltransferase, chemotaxis proteins")</f>
        <v>MeTrc, Methyltransferase, chemotaxis proteins</v>
      </c>
      <c r="CQ315" s="15">
        <v>0.35</v>
      </c>
      <c r="CR315" s="2">
        <v>29.2</v>
      </c>
      <c r="CS315" s="2" t="s">
        <v>3441</v>
      </c>
      <c r="CT315" s="2" t="s">
        <v>3436</v>
      </c>
      <c r="CU315" s="2" t="s">
        <v>3436</v>
      </c>
      <c r="CV315" s="2" t="s">
        <v>3436</v>
      </c>
      <c r="CW315" s="2" t="str">
        <f>HYPERLINK(".\links\pep\AGAP003602-PB-pep.txt","AGAP003602-PB")</f>
        <v>AGAP003602-PB</v>
      </c>
      <c r="CX315" s="2" t="s">
        <v>95</v>
      </c>
      <c r="CY315" s="2">
        <v>304</v>
      </c>
      <c r="CZ315" s="2" t="s">
        <v>113</v>
      </c>
      <c r="DA315" s="2" t="s">
        <v>3442</v>
      </c>
      <c r="DB315" s="2">
        <v>0</v>
      </c>
      <c r="DC315" s="2">
        <v>1</v>
      </c>
      <c r="DD315" s="2" t="str">
        <f>HYPERLINK("https://www.kegg.jp/kegg-bin/search_pathway_text?map=aga&amp;keyword=AGAP003602&amp;mode=1&amp;viewImage=true","AGAP003602")</f>
        <v>AGAP003602</v>
      </c>
      <c r="DE315" s="2" t="s">
        <v>3433</v>
      </c>
      <c r="DF315" s="2" t="s">
        <v>3434</v>
      </c>
      <c r="DG315" s="2" t="s">
        <v>94</v>
      </c>
      <c r="DH315" s="2" t="str">
        <f>HYPERLINK("https://vectorbase.org/vectorbase/app/record/gene/AGAP003602","AGAP003602-RB")</f>
        <v>AGAP003602-RB</v>
      </c>
      <c r="DI315" s="2" t="s">
        <v>118</v>
      </c>
      <c r="DJ315" s="2">
        <v>1508</v>
      </c>
      <c r="DK315" s="2" t="str">
        <f>HYPERLINK(".\links\netoglyc\AGAP003602-PB-netoglyc.txt","0")</f>
        <v>0</v>
      </c>
      <c r="DL315" s="2">
        <v>12.2</v>
      </c>
      <c r="DM315" s="2">
        <v>4.9000000000000004</v>
      </c>
      <c r="DN315" s="2">
        <v>3.3</v>
      </c>
      <c r="DO315" s="2" t="s">
        <v>104</v>
      </c>
      <c r="DP315" s="2" t="s">
        <v>102</v>
      </c>
      <c r="DQ315" s="2" t="str">
        <f>HYPERLINK(".\links\Sigp\AGAP003602-PB-SigP.txt","CYT")</f>
        <v>CYT</v>
      </c>
      <c r="DR315" s="2" t="s">
        <v>102</v>
      </c>
      <c r="DS315" s="2">
        <v>35.722999999999999</v>
      </c>
      <c r="DT315" s="2">
        <v>6.21</v>
      </c>
      <c r="DU315" s="2" t="s">
        <v>102</v>
      </c>
      <c r="DV315" s="2" t="s">
        <v>102</v>
      </c>
      <c r="DW315" s="2" t="s">
        <v>1262</v>
      </c>
      <c r="DX315" s="2">
        <v>304</v>
      </c>
      <c r="DY315" s="12">
        <v>0</v>
      </c>
      <c r="DZ315" s="2" t="s">
        <v>102</v>
      </c>
      <c r="EA315" s="2" t="s">
        <v>102</v>
      </c>
      <c r="EB315" s="2" t="s">
        <v>102</v>
      </c>
      <c r="EC315" s="2" t="str">
        <f>HYPERLINK(".\links\gpi\AGAP003602-PB-gpi.txt","N")</f>
        <v>N</v>
      </c>
      <c r="ED315" s="2">
        <v>0.25</v>
      </c>
      <c r="EF315" s="2">
        <v>6</v>
      </c>
      <c r="EG315" s="2" t="s">
        <v>102</v>
      </c>
      <c r="EH315" s="2" t="s">
        <v>102</v>
      </c>
      <c r="EI315" s="2">
        <v>12.171052631578901</v>
      </c>
      <c r="EJ315" s="2">
        <v>3.2894736842105301</v>
      </c>
      <c r="EK315" s="2">
        <v>4.9342105263157903</v>
      </c>
      <c r="EL315" s="2">
        <v>8.2236842105263204</v>
      </c>
      <c r="EM315" s="2" t="s">
        <v>102</v>
      </c>
      <c r="EN315" s="2" t="s">
        <v>102</v>
      </c>
      <c r="EO315" s="2" t="s">
        <v>102</v>
      </c>
      <c r="EP315" s="2" t="s">
        <v>102</v>
      </c>
      <c r="EQ315" s="2" t="s">
        <v>102</v>
      </c>
      <c r="ER315" s="2" t="s">
        <v>102</v>
      </c>
      <c r="ES315" s="2" t="s">
        <v>102</v>
      </c>
      <c r="ET315" s="2" t="str">
        <f>HYPERLINK(".\links\REFSEQ-INVERTEBRATE\AGAP003602-PB-REFSEQ-INVERTEBRATE.txt","AGAP003602-PA")</f>
        <v>AGAP003602-PA</v>
      </c>
      <c r="EU315" s="2" t="str">
        <f>HYPERLINK("http://www.ncbi.nlm.nih.gov/sutils/blink.cgi?pid=XP_313362.4","0.0")</f>
        <v>0.0</v>
      </c>
      <c r="EV315" s="2" t="str">
        <f>HYPERLINK("http://www.ncbi.nlm.nih.gov/protein/XP_313362.4","XP_313362.4")</f>
        <v>XP_313362.4</v>
      </c>
      <c r="EW315" s="2">
        <v>100</v>
      </c>
      <c r="EX315" s="2">
        <v>100</v>
      </c>
      <c r="EY315" s="2">
        <v>95</v>
      </c>
      <c r="EZ315" s="2" t="s">
        <v>105</v>
      </c>
    </row>
    <row r="316" spans="1:156" x14ac:dyDescent="0.25">
      <c r="A316" s="2" t="s">
        <v>3443</v>
      </c>
      <c r="B316" s="2">
        <v>0.229377390603515</v>
      </c>
      <c r="C316" s="2">
        <f t="shared" si="4"/>
        <v>1.1723289098434728</v>
      </c>
      <c r="D316" s="2">
        <v>7.2429292003204999</v>
      </c>
      <c r="E316" s="2">
        <v>9.7431722617228207</v>
      </c>
      <c r="F316" s="2">
        <v>1.7999000829767499E-3</v>
      </c>
      <c r="G316" s="2">
        <v>4.1602509262145003E-2</v>
      </c>
      <c r="H316" s="2" t="s">
        <v>3444</v>
      </c>
      <c r="I316" s="2" t="s">
        <v>94</v>
      </c>
      <c r="J316" s="2" t="str">
        <f>HYPERLINK("https://vectorbase.org/vectorbase/app/record/gene/AGAP001545","AGAP001545-RA")</f>
        <v>AGAP001545-RA</v>
      </c>
      <c r="K316" s="2" t="str">
        <f>HYPERLINK(".\links\pep\AGAP001545-PA-pep.txt","AGAP001545-PA")</f>
        <v>AGAP001545-PA</v>
      </c>
      <c r="L316" s="12" t="s">
        <v>95</v>
      </c>
      <c r="M316" s="2">
        <v>195</v>
      </c>
      <c r="N316" s="2">
        <v>0</v>
      </c>
      <c r="O316" s="2">
        <v>1</v>
      </c>
      <c r="P316" s="2" t="s">
        <v>3445</v>
      </c>
      <c r="Q316" s="9" t="s">
        <v>3446</v>
      </c>
      <c r="R316" s="2" t="s">
        <v>672</v>
      </c>
      <c r="S316" s="2" t="str">
        <f>HYPERLINK(".\links\KOG\AGAP001545-PA-KOG.txt","KOG")</f>
        <v>KOG</v>
      </c>
      <c r="T316" s="2">
        <v>7.0000000000000004E-46</v>
      </c>
      <c r="U316" s="2">
        <v>93.8</v>
      </c>
      <c r="V316" s="2" t="s">
        <v>3447</v>
      </c>
      <c r="W316" s="10" t="s">
        <v>3448</v>
      </c>
      <c r="X316" s="2" t="s">
        <v>672</v>
      </c>
      <c r="Y316" s="2" t="str">
        <f>HYPERLINK(".\links\REFSEQVERTEBRATE95\AGAP001545-PA-REFSEQVERTEBRATE95.txt","REFSEQVERTEBRATE95")</f>
        <v>REFSEQVERTEBRATE95</v>
      </c>
      <c r="Z316" s="15">
        <v>2.0000000000000001E-68</v>
      </c>
      <c r="AA316" s="2">
        <v>98.7</v>
      </c>
      <c r="AB316" s="13" t="s">
        <v>102</v>
      </c>
      <c r="AC316" s="13" t="str">
        <f>HYPERLINK(".\links\Sigp\AGAP001545-PA-SigP.txt","CYT")</f>
        <v>CYT</v>
      </c>
      <c r="AD316" s="2" t="s">
        <v>102</v>
      </c>
      <c r="AE316" s="2">
        <v>23.463999999999999</v>
      </c>
      <c r="AF316" s="2">
        <v>9.35</v>
      </c>
      <c r="AG316" s="2" t="s">
        <v>102</v>
      </c>
      <c r="AH316" s="2" t="s">
        <v>102</v>
      </c>
      <c r="AI316" s="2" t="s">
        <v>198</v>
      </c>
      <c r="AJ316" s="13">
        <v>0</v>
      </c>
      <c r="AK316" s="2" t="s">
        <v>102</v>
      </c>
      <c r="AL316" s="2" t="s">
        <v>102</v>
      </c>
      <c r="AM316" s="2" t="s">
        <v>102</v>
      </c>
      <c r="AN316" s="13" t="str">
        <f>HYPERLINK(".\links\gpi\AGAP001545-PA-gpi.txt","N")</f>
        <v>N</v>
      </c>
      <c r="AO316" s="14" t="str">
        <f>HYPERLINK(".\links\netoglyc\AGAP001545-PA-netoglyc.txt","0")</f>
        <v>0</v>
      </c>
      <c r="AP316" s="13">
        <v>6.7</v>
      </c>
      <c r="AQ316" s="2">
        <v>2.6</v>
      </c>
      <c r="AR316" s="2">
        <v>2.6</v>
      </c>
      <c r="AS316" s="2" t="s">
        <v>104</v>
      </c>
      <c r="AT316" s="9" t="str">
        <f>HYPERLINK(".\links\NR-LIGHT\AGAP001545-PA-NR-LIGHT.txt","AGAP001545-PA")</f>
        <v>AGAP001545-PA</v>
      </c>
      <c r="AU316" s="2" t="str">
        <f>HYPERLINK("http://www.ncbi.nlm.nih.gov/sutils/blink.cgi?pid=XP_321578.2","1E-110")</f>
        <v>1E-110</v>
      </c>
      <c r="AV316" s="2" t="str">
        <f>HYPERLINK("http://www.ncbi.nlm.nih.gov/protein/XP_321578.2","XP_321578.2")</f>
        <v>XP_321578.2</v>
      </c>
      <c r="AW316" s="2">
        <v>100</v>
      </c>
      <c r="AX316" s="2">
        <v>100</v>
      </c>
      <c r="AY316" s="2">
        <v>100</v>
      </c>
      <c r="AZ316" s="2" t="s">
        <v>105</v>
      </c>
      <c r="BA316" s="9" t="str">
        <f>HYPERLINK(".\links\REFSEQ-INVERTEBRATE\AGAP001545-PA-REFSEQ-INVERTEBRATE.txt","AGAP001545-PA")</f>
        <v>AGAP001545-PA</v>
      </c>
      <c r="BB316" s="2" t="str">
        <f>HYPERLINK("http://www.ncbi.nlm.nih.gov/sutils/blink.cgi?pid=XP_321578.2","1E-110")</f>
        <v>1E-110</v>
      </c>
      <c r="BC316" s="2" t="str">
        <f>HYPERLINK("http://www.ncbi.nlm.nih.gov/protein/XP_321578.2","XP_321578.2")</f>
        <v>XP_321578.2</v>
      </c>
      <c r="BD316" s="2">
        <v>100</v>
      </c>
      <c r="BE316" s="2">
        <v>100</v>
      </c>
      <c r="BF316" s="2">
        <v>100</v>
      </c>
      <c r="BG316" s="2" t="s">
        <v>105</v>
      </c>
      <c r="BH316" s="9" t="str">
        <f>HYPERLINK(".\links\REFSEQ-PROTOZOA\AGAP001545-PA-REFSEQ-PROTOZOA.txt","ribosomal protein L24E")</f>
        <v>ribosomal protein L24E</v>
      </c>
      <c r="BI316" s="2" t="str">
        <f>HYPERLINK("http://www.ncbi.nlm.nih.gov/sutils/blink.cgi?pid=XP_004994744.1","2E-050")</f>
        <v>2E-050</v>
      </c>
      <c r="BJ316" s="2" t="str">
        <f>HYPERLINK("http://www.ncbi.nlm.nih.gov/protein/XP_004994744.1","XP_004994744.1")</f>
        <v>XP_004994744.1</v>
      </c>
      <c r="BK316" s="2">
        <v>58</v>
      </c>
      <c r="BL316" s="2">
        <v>76</v>
      </c>
      <c r="BM316" s="2">
        <v>96</v>
      </c>
      <c r="BN316" s="2" t="s">
        <v>435</v>
      </c>
      <c r="BO316" s="9" t="str">
        <f>HYPERLINK(".\links\SWISSP\AGAP001545-PA-SWISSP.txt","Probable ribosome biogenesis protein RLP24")</f>
        <v>Probable ribosome biogenesis protein RLP24</v>
      </c>
      <c r="BP316" s="2" t="str">
        <f>HYPERLINK("http://www.uniprot.org/uniprot/Q9VGN9","2E-071")</f>
        <v>2E-071</v>
      </c>
      <c r="BQ316" s="2" t="str">
        <f>HYPERLINK("http://www.uniprot.org/uniprot/Q9VGN9#expression","Q9VGN9")</f>
        <v>Q9VGN9</v>
      </c>
      <c r="BR316" s="2">
        <v>65</v>
      </c>
      <c r="BS316" s="2">
        <v>81</v>
      </c>
      <c r="BT316" s="2">
        <v>102</v>
      </c>
      <c r="BU316" s="2" t="s">
        <v>107</v>
      </c>
      <c r="BV316" s="9" t="str">
        <f>HYPERLINK(".\links\FLYBASE\AGAP001545-PA-FLYBASE.txt","FBpp0081879")</f>
        <v>FBpp0081879</v>
      </c>
      <c r="BW316" s="2" t="str">
        <f>HYPERLINK("http://flybase.org/reports/FBgn0037899#alliance_summary_container","2E-85")</f>
        <v>2E-85</v>
      </c>
      <c r="BX316" s="2">
        <v>191</v>
      </c>
      <c r="BY316" s="2">
        <v>62</v>
      </c>
      <c r="BZ316" s="2">
        <v>77</v>
      </c>
      <c r="CA316" s="2">
        <v>103</v>
      </c>
      <c r="CB316" s="9" t="str">
        <f>HYPERLINK(".\links\CDD\AGAP001545-PA-CDD.txt","Ribosomal_L24e, Ribosomal protein L24e")</f>
        <v>Ribosomal_L24e, Ribosomal protein L24e</v>
      </c>
      <c r="CC316" s="15">
        <v>4.0000000000000002E-27</v>
      </c>
      <c r="CD316" s="2">
        <v>100</v>
      </c>
      <c r="CE316" s="2" t="s">
        <v>3449</v>
      </c>
      <c r="CF316" s="2" t="s">
        <v>3450</v>
      </c>
      <c r="CG316" s="9" t="str">
        <f>HYPERLINK(".\links\KOG\AGAP001545-PA-KOG.txt","60s ribosomal protein L30 isolog")</f>
        <v>60s ribosomal protein L30 isolog</v>
      </c>
      <c r="CH316" s="15">
        <v>7.0000000000000004E-46</v>
      </c>
      <c r="CI316" s="2">
        <v>93.8</v>
      </c>
      <c r="CJ316" s="2" t="s">
        <v>3451</v>
      </c>
      <c r="CK316" s="2" t="s">
        <v>678</v>
      </c>
      <c r="CL316" s="9" t="str">
        <f>HYPERLINK(".\links\PFAM\AGAP001545-PA-PFAM.txt","Ribosomal_L24e, Ribosomal protein L24e")</f>
        <v>Ribosomal_L24e, Ribosomal protein L24e</v>
      </c>
      <c r="CM316" s="15">
        <v>7.9999999999999998E-28</v>
      </c>
      <c r="CN316" s="2">
        <v>100</v>
      </c>
      <c r="CO316" s="2" t="s">
        <v>3449</v>
      </c>
      <c r="CP316" s="9" t="str">
        <f>HYPERLINK(".\links\SMART\AGAP001545-PA-SMART.txt","TRASH, metallochaperone-like domain")</f>
        <v>TRASH, metallochaperone-like domain</v>
      </c>
      <c r="CQ316" s="15">
        <v>9.9999999999999995E-8</v>
      </c>
      <c r="CR316" s="2">
        <v>100</v>
      </c>
      <c r="CS316" s="2" t="s">
        <v>3452</v>
      </c>
      <c r="CT316" s="2" t="s">
        <v>3447</v>
      </c>
      <c r="CU316" s="2" t="s">
        <v>3447</v>
      </c>
      <c r="CV316" s="2" t="s">
        <v>3447</v>
      </c>
      <c r="CW316" s="2" t="str">
        <f>HYPERLINK(".\links\pep\AGAP001545-PA-pep.txt","AGAP001545-PA")</f>
        <v>AGAP001545-PA</v>
      </c>
      <c r="CX316" s="2" t="s">
        <v>95</v>
      </c>
      <c r="CY316" s="2">
        <v>195</v>
      </c>
      <c r="CZ316" s="2" t="s">
        <v>113</v>
      </c>
      <c r="DA316" s="2" t="s">
        <v>3453</v>
      </c>
      <c r="DB316" s="2">
        <v>0</v>
      </c>
      <c r="DC316" s="2">
        <v>1</v>
      </c>
      <c r="DD316" s="2" t="str">
        <f>HYPERLINK("https://www.kegg.jp/kegg-bin/search_pathway_text?map=aga&amp;keyword=AGAP001545&amp;mode=1&amp;viewImage=true","AGAP001545")</f>
        <v>AGAP001545</v>
      </c>
      <c r="DE316" s="2" t="s">
        <v>3443</v>
      </c>
      <c r="DF316" s="2" t="s">
        <v>3444</v>
      </c>
      <c r="DG316" s="2" t="s">
        <v>94</v>
      </c>
      <c r="DH316" s="2" t="str">
        <f>HYPERLINK("https://vectorbase.org/vectorbase/app/record/gene/AGAP001545","AGAP001545-RA")</f>
        <v>AGAP001545-RA</v>
      </c>
      <c r="DI316" s="2" t="s">
        <v>135</v>
      </c>
      <c r="DJ316" s="2">
        <v>862</v>
      </c>
      <c r="DK316" s="2" t="str">
        <f>HYPERLINK(".\links\netoglyc\AGAP001545-PA-netoglyc.txt","0")</f>
        <v>0</v>
      </c>
      <c r="DL316" s="2">
        <v>6.7</v>
      </c>
      <c r="DM316" s="2">
        <v>2.6</v>
      </c>
      <c r="DN316" s="2">
        <v>2.6</v>
      </c>
      <c r="DO316" s="2" t="s">
        <v>104</v>
      </c>
      <c r="DP316" s="2" t="s">
        <v>102</v>
      </c>
      <c r="DQ316" s="2" t="str">
        <f>HYPERLINK(".\links\Sigp\AGAP001545-PA-SigP.txt","CYT")</f>
        <v>CYT</v>
      </c>
      <c r="DR316" s="2" t="s">
        <v>102</v>
      </c>
      <c r="DS316" s="2">
        <v>23.463999999999999</v>
      </c>
      <c r="DT316" s="2">
        <v>9.35</v>
      </c>
      <c r="DU316" s="2" t="s">
        <v>102</v>
      </c>
      <c r="DV316" s="2" t="s">
        <v>102</v>
      </c>
      <c r="DW316" s="2" t="s">
        <v>198</v>
      </c>
      <c r="DX316" s="2">
        <v>195</v>
      </c>
      <c r="DY316" s="12">
        <v>0</v>
      </c>
      <c r="DZ316" s="2" t="s">
        <v>102</v>
      </c>
      <c r="EA316" s="2" t="s">
        <v>102</v>
      </c>
      <c r="EB316" s="2" t="s">
        <v>102</v>
      </c>
      <c r="EC316" s="2" t="str">
        <f>HYPERLINK(".\links\gpi\AGAP001545-PA-gpi.txt","N")</f>
        <v>N</v>
      </c>
      <c r="ED316" s="2">
        <v>0.47</v>
      </c>
      <c r="EF316" s="2">
        <v>6</v>
      </c>
      <c r="EG316" s="2" t="s">
        <v>102</v>
      </c>
      <c r="EH316" s="2" t="s">
        <v>102</v>
      </c>
      <c r="EI316" s="2">
        <v>6.6666666666666696</v>
      </c>
      <c r="EJ316" s="2">
        <v>2.5641025641025599</v>
      </c>
      <c r="EK316" s="2">
        <v>2.5641025641025599</v>
      </c>
      <c r="EL316" s="2">
        <v>5.1282051282051304</v>
      </c>
      <c r="EM316" s="2" t="s">
        <v>102</v>
      </c>
      <c r="EN316" s="2" t="s">
        <v>102</v>
      </c>
      <c r="EO316" s="2">
        <v>1</v>
      </c>
      <c r="EP316" s="2" t="s">
        <v>102</v>
      </c>
      <c r="EQ316" s="2" t="s">
        <v>102</v>
      </c>
      <c r="ER316" s="2" t="s">
        <v>102</v>
      </c>
      <c r="ES316" s="2" t="s">
        <v>102</v>
      </c>
      <c r="ET316" s="2" t="str">
        <f>HYPERLINK(".\links\REFSEQ-INVERTEBRATE\AGAP001545-PA-REFSEQ-INVERTEBRATE.txt","AGAP001545-PA")</f>
        <v>AGAP001545-PA</v>
      </c>
      <c r="EU316" s="2" t="str">
        <f>HYPERLINK("http://www.ncbi.nlm.nih.gov/sutils/blink.cgi?pid=XP_321578.2","1E-142")</f>
        <v>1E-142</v>
      </c>
      <c r="EV316" s="2" t="str">
        <f>HYPERLINK("http://www.ncbi.nlm.nih.gov/protein/XP_321578.2","XP_321578.2")</f>
        <v>XP_321578.2</v>
      </c>
      <c r="EW316" s="2">
        <v>100</v>
      </c>
      <c r="EX316" s="2">
        <v>100</v>
      </c>
      <c r="EY316" s="2">
        <v>100</v>
      </c>
      <c r="EZ316" s="2" t="s">
        <v>105</v>
      </c>
    </row>
    <row r="317" spans="1:156" x14ac:dyDescent="0.25">
      <c r="A317" s="2" t="s">
        <v>3454</v>
      </c>
      <c r="B317" s="2">
        <v>0.22789359793549099</v>
      </c>
      <c r="C317" s="2">
        <f t="shared" si="4"/>
        <v>1.1711238049699411</v>
      </c>
      <c r="D317" s="2">
        <v>6.3371242079182304</v>
      </c>
      <c r="E317" s="2">
        <v>9.4519672429800394</v>
      </c>
      <c r="F317" s="2">
        <v>2.10922753757658E-3</v>
      </c>
      <c r="G317" s="2">
        <v>4.4498173263083501E-2</v>
      </c>
      <c r="H317" s="2" t="s">
        <v>3455</v>
      </c>
      <c r="I317" s="2" t="s">
        <v>94</v>
      </c>
      <c r="J317" s="2" t="str">
        <f>HYPERLINK("https://vectorbase.org/vectorbase/app/record/gene/AGAP004715","AGAP004715-RA")</f>
        <v>AGAP004715-RA</v>
      </c>
      <c r="K317" s="2" t="str">
        <f>HYPERLINK(".\links\pep\AGAP004715-PA-pep.txt","AGAP004715-PA")</f>
        <v>AGAP004715-PA</v>
      </c>
      <c r="L317" s="12" t="s">
        <v>95</v>
      </c>
      <c r="M317" s="2">
        <v>925</v>
      </c>
      <c r="N317" s="2">
        <v>0</v>
      </c>
      <c r="O317" s="2">
        <v>1</v>
      </c>
      <c r="P317" s="2" t="s">
        <v>3456</v>
      </c>
      <c r="Q317" s="9" t="s">
        <v>3457</v>
      </c>
      <c r="R317" s="2" t="s">
        <v>1558</v>
      </c>
      <c r="S317" s="2" t="str">
        <f>HYPERLINK(".\links\KOG\AGAP004715-PA-KOG.txt","KOG")</f>
        <v>KOG</v>
      </c>
      <c r="T317" s="2">
        <v>0</v>
      </c>
      <c r="U317" s="2">
        <v>101.6</v>
      </c>
      <c r="V317" s="2" t="s">
        <v>3458</v>
      </c>
      <c r="W317" s="10" t="s">
        <v>183</v>
      </c>
      <c r="X317" s="2" t="s">
        <v>1558</v>
      </c>
      <c r="Y317" s="2" t="str">
        <f>HYPERLINK(".\links\COG\AGAP004715-PA-COG.txt","COG")</f>
        <v>COG</v>
      </c>
      <c r="Z317" s="15">
        <v>9E-61</v>
      </c>
      <c r="AA317" s="2">
        <v>108.1</v>
      </c>
      <c r="AB317" s="13" t="str">
        <f>HYPERLINK(".\links\pep\AGAP004715-PA-sulf.txt","2")</f>
        <v>2</v>
      </c>
      <c r="AC317" s="13" t="str">
        <f>HYPERLINK(".\links\Sigp\AGAP004715-PA-SigP.txt","CYT")</f>
        <v>CYT</v>
      </c>
      <c r="AD317" s="2" t="s">
        <v>102</v>
      </c>
      <c r="AE317" s="2">
        <v>103.904</v>
      </c>
      <c r="AF317" s="2">
        <v>7.03</v>
      </c>
      <c r="AG317" s="2" t="s">
        <v>102</v>
      </c>
      <c r="AH317" s="2" t="s">
        <v>102</v>
      </c>
      <c r="AI317" s="2" t="s">
        <v>3327</v>
      </c>
      <c r="AJ317" s="13">
        <v>0</v>
      </c>
      <c r="AK317" s="2" t="s">
        <v>102</v>
      </c>
      <c r="AL317" s="2" t="s">
        <v>102</v>
      </c>
      <c r="AM317" s="2" t="s">
        <v>102</v>
      </c>
      <c r="AN317" s="13" t="str">
        <f>HYPERLINK(".\links\gpi\AGAP004715-PA-gpi.txt","N")</f>
        <v>N</v>
      </c>
      <c r="AO317" s="14" t="str">
        <f>HYPERLINK(".\links\netoglyc\AGAP004715-PA-netoglyc.txt","0")</f>
        <v>0</v>
      </c>
      <c r="AP317" s="13">
        <v>11.9</v>
      </c>
      <c r="AQ317" s="2">
        <v>8.6</v>
      </c>
      <c r="AR317" s="2">
        <v>5.2</v>
      </c>
      <c r="AS317" s="2">
        <v>0.3</v>
      </c>
      <c r="AT317" s="9" t="str">
        <f>HYPERLINK(".\links\NR-LIGHT\AGAP004715-PA-NR-LIGHT.txt","AGAP004715-PA")</f>
        <v>AGAP004715-PA</v>
      </c>
      <c r="AU317" s="2" t="str">
        <f>HYPERLINK("http://www.ncbi.nlm.nih.gov/sutils/blink.cgi?pid=XP_318114.3","0.0")</f>
        <v>0.0</v>
      </c>
      <c r="AV317" s="2" t="str">
        <f>HYPERLINK("http://www.ncbi.nlm.nih.gov/protein/XP_318114.3","XP_318114.3")</f>
        <v>XP_318114.3</v>
      </c>
      <c r="AW317" s="2">
        <v>100</v>
      </c>
      <c r="AX317" s="2">
        <v>100</v>
      </c>
      <c r="AY317" s="2">
        <v>100</v>
      </c>
      <c r="AZ317" s="2" t="s">
        <v>105</v>
      </c>
      <c r="BA317" s="9" t="str">
        <f>HYPERLINK(".\links\REFSEQ-INVERTEBRATE\AGAP004715-PA-REFSEQ-INVERTEBRATE.txt","AGAP004715-PA")</f>
        <v>AGAP004715-PA</v>
      </c>
      <c r="BB317" s="2" t="str">
        <f>HYPERLINK("http://www.ncbi.nlm.nih.gov/sutils/blink.cgi?pid=XP_318114.3","0.0")</f>
        <v>0.0</v>
      </c>
      <c r="BC317" s="2" t="str">
        <f>HYPERLINK("http://www.ncbi.nlm.nih.gov/protein/XP_318114.3","XP_318114.3")</f>
        <v>XP_318114.3</v>
      </c>
      <c r="BD317" s="2">
        <v>100</v>
      </c>
      <c r="BE317" s="2">
        <v>100</v>
      </c>
      <c r="BF317" s="2">
        <v>100</v>
      </c>
      <c r="BG317" s="2" t="s">
        <v>105</v>
      </c>
      <c r="BH317" s="9" t="str">
        <f>HYPERLINK(".\links\REFSEQ-PROTOZOA\AGAP004715-PA-REFSEQ-PROTOZOA.txt","dimethylglycine dehydrogenase")</f>
        <v>dimethylglycine dehydrogenase</v>
      </c>
      <c r="BI317" s="2" t="str">
        <f>HYPERLINK("http://www.ncbi.nlm.nih.gov/sutils/blink.cgi?pid=XP_004343467.2","1E-166")</f>
        <v>1E-166</v>
      </c>
      <c r="BJ317" s="2" t="str">
        <f>HYPERLINK("http://www.ncbi.nlm.nih.gov/protein/XP_004343467.2","XP_004343467.2")</f>
        <v>XP_004343467.2</v>
      </c>
      <c r="BK317" s="2">
        <v>36</v>
      </c>
      <c r="BL317" s="2">
        <v>56</v>
      </c>
      <c r="BM317" s="2">
        <v>99</v>
      </c>
      <c r="BN317" s="2" t="s">
        <v>106</v>
      </c>
      <c r="BO317" s="9" t="str">
        <f>HYPERLINK(".\links\SWISSP\AGAP004715-PA-SWISSP.txt","Pyruvate dehydrogenase phosphatase regulatory subunit, mitochondrial")</f>
        <v>Pyruvate dehydrogenase phosphatase regulatory subunit, mitochondrial</v>
      </c>
      <c r="BP317" s="2" t="str">
        <f>HYPERLINK("http://www.uniprot.org/uniprot/Q7TSQ8","0.0")</f>
        <v>0.0</v>
      </c>
      <c r="BQ317" s="2" t="str">
        <f>HYPERLINK("http://www.uniprot.org/uniprot/Q7TSQ8#expression","Q7TSQ8")</f>
        <v>Q7TSQ8</v>
      </c>
      <c r="BR317" s="2">
        <v>46</v>
      </c>
      <c r="BS317" s="2">
        <v>65</v>
      </c>
      <c r="BT317" s="2">
        <v>94</v>
      </c>
      <c r="BU317" s="2" t="s">
        <v>662</v>
      </c>
      <c r="BV317" s="9" t="str">
        <f>HYPERLINK(".\links\FLYBASE\AGAP004715-PA-FLYBASE.txt","FBpp0070620")</f>
        <v>FBpp0070620</v>
      </c>
      <c r="BW317" s="2" t="str">
        <f>HYPERLINK("http://flybase.org/reports/FBgn0029706#alliance_summary_container","0.0")</f>
        <v>0.0</v>
      </c>
      <c r="BX317" s="2">
        <v>939</v>
      </c>
      <c r="BY317" s="2">
        <v>66</v>
      </c>
      <c r="BZ317" s="2">
        <v>81</v>
      </c>
      <c r="CA317" s="2">
        <v>91</v>
      </c>
      <c r="CB317" s="9" t="str">
        <f>HYPERLINK(".\links\CDD\AGAP004715-PA-CDD.txt","GcvT, Glycine cleavage system T protein (aminomethyltransferase)")</f>
        <v>GcvT, Glycine cleavage system T protein (aminomethyltransferase)</v>
      </c>
      <c r="CC317" s="15">
        <v>9.9999999999999996E-75</v>
      </c>
      <c r="CD317" s="2">
        <v>108.2</v>
      </c>
      <c r="CE317" s="2" t="s">
        <v>3459</v>
      </c>
      <c r="CF317" s="2" t="s">
        <v>3460</v>
      </c>
      <c r="CG317" s="9" t="str">
        <f>HYPERLINK(".\links\KOG\AGAP004715-PA-KOG.txt","Dimethylglycine dehydrogenase precursor")</f>
        <v>Dimethylglycine dehydrogenase precursor</v>
      </c>
      <c r="CH317" s="15">
        <v>0</v>
      </c>
      <c r="CI317" s="2">
        <v>101.6</v>
      </c>
      <c r="CJ317" s="2" t="s">
        <v>3461</v>
      </c>
      <c r="CK317" s="2" t="s">
        <v>267</v>
      </c>
      <c r="CL317" s="9" t="str">
        <f>HYPERLINK(".\links\PFAM\AGAP004715-PA-PFAM.txt","GCV_T, Aminomethyltransferase folate-binding domain")</f>
        <v>GCV_T, Aminomethyltransferase folate-binding domain</v>
      </c>
      <c r="CM317" s="15">
        <v>1.9999999999999999E-64</v>
      </c>
      <c r="CN317" s="2">
        <v>112.6</v>
      </c>
      <c r="CO317" s="2" t="s">
        <v>3462</v>
      </c>
      <c r="CP317" s="9" t="str">
        <f>HYPERLINK(".\links\SMART\AGAP004715-PA-SMART.txt","CYCc, Adenylyl- / guanylyl cyclase, catalytic domain")</f>
        <v>CYCc, Adenylyl- / guanylyl cyclase, catalytic domain</v>
      </c>
      <c r="CQ317" s="15">
        <v>1.4999999999999999E-2</v>
      </c>
      <c r="CR317" s="2">
        <v>31.4</v>
      </c>
      <c r="CS317" s="2" t="s">
        <v>3463</v>
      </c>
      <c r="CT317" s="2" t="s">
        <v>3458</v>
      </c>
      <c r="CU317" s="2" t="s">
        <v>3458</v>
      </c>
      <c r="CV317" s="2" t="s">
        <v>3458</v>
      </c>
      <c r="CW317" s="2" t="str">
        <f>HYPERLINK(".\links\pep\AGAP004715-PA-pep.txt","AGAP004715-PA")</f>
        <v>AGAP004715-PA</v>
      </c>
      <c r="CX317" s="2" t="s">
        <v>95</v>
      </c>
      <c r="CY317" s="2">
        <v>925</v>
      </c>
      <c r="CZ317" s="2" t="s">
        <v>113</v>
      </c>
      <c r="DA317" s="2" t="s">
        <v>3464</v>
      </c>
      <c r="DB317" s="2">
        <v>0</v>
      </c>
      <c r="DC317" s="2">
        <v>1</v>
      </c>
      <c r="DD317" s="2" t="str">
        <f>HYPERLINK("https://www.kegg.jp/kegg-bin/search_pathway_text?map=aga&amp;keyword=AGAP004715&amp;mode=1&amp;viewImage=true","AGAP004715")</f>
        <v>AGAP004715</v>
      </c>
      <c r="DE317" s="2" t="s">
        <v>3454</v>
      </c>
      <c r="DF317" s="2" t="s">
        <v>3455</v>
      </c>
      <c r="DG317" s="2" t="s">
        <v>94</v>
      </c>
      <c r="DH317" s="2" t="str">
        <f>HYPERLINK("https://vectorbase.org/vectorbase/app/record/gene/AGAP004715","AGAP004715-RA")</f>
        <v>AGAP004715-RA</v>
      </c>
      <c r="DI317" s="2" t="s">
        <v>118</v>
      </c>
      <c r="DJ317" s="2">
        <v>2982</v>
      </c>
      <c r="DK317" s="2" t="str">
        <f>HYPERLINK(".\links\netoglyc\AGAP004715-PA-netoglyc.txt","0")</f>
        <v>0</v>
      </c>
      <c r="DL317" s="2">
        <v>11.9</v>
      </c>
      <c r="DM317" s="2">
        <v>8.6</v>
      </c>
      <c r="DN317" s="2">
        <v>5.2</v>
      </c>
      <c r="DO317" s="2">
        <v>0.3</v>
      </c>
      <c r="DP317" s="2" t="s">
        <v>102</v>
      </c>
      <c r="DQ317" s="2" t="str">
        <f>HYPERLINK(".\links\Sigp\AGAP004715-PA-SigP.txt","CYT")</f>
        <v>CYT</v>
      </c>
      <c r="DR317" s="2" t="s">
        <v>102</v>
      </c>
      <c r="DS317" s="2">
        <v>103.904</v>
      </c>
      <c r="DT317" s="2">
        <v>7.03</v>
      </c>
      <c r="DU317" s="2" t="s">
        <v>102</v>
      </c>
      <c r="DV317" s="2" t="s">
        <v>102</v>
      </c>
      <c r="DW317" s="2" t="s">
        <v>3327</v>
      </c>
      <c r="DX317" s="2">
        <v>925</v>
      </c>
      <c r="DY317" s="12">
        <v>0</v>
      </c>
      <c r="DZ317" s="2" t="s">
        <v>102</v>
      </c>
      <c r="EA317" s="2" t="s">
        <v>102</v>
      </c>
      <c r="EB317" s="2" t="s">
        <v>102</v>
      </c>
      <c r="EC317" s="2" t="str">
        <f>HYPERLINK(".\links\gpi\AGAP004715-PA-gpi.txt","N")</f>
        <v>N</v>
      </c>
      <c r="ED317" s="2">
        <v>0.14000000000000001</v>
      </c>
      <c r="EF317" s="2">
        <v>23</v>
      </c>
      <c r="EG317" s="2" t="str">
        <f>HYPERLINK(".\links\pep\AGAP004715-PA-sulf.txt","2")</f>
        <v>2</v>
      </c>
      <c r="EH317" s="2" t="s">
        <v>102</v>
      </c>
      <c r="EI317" s="2">
        <v>11.8918918918919</v>
      </c>
      <c r="EJ317" s="2">
        <v>5.1891891891891904</v>
      </c>
      <c r="EK317" s="2">
        <v>8.6486486486486491</v>
      </c>
      <c r="EL317" s="2">
        <v>13.8378378378378</v>
      </c>
      <c r="EM317" s="2">
        <v>1</v>
      </c>
      <c r="EN317" s="2">
        <v>7</v>
      </c>
      <c r="EO317" s="2">
        <v>7</v>
      </c>
      <c r="EP317" s="2" t="s">
        <v>102</v>
      </c>
      <c r="EQ317" s="2" t="s">
        <v>102</v>
      </c>
      <c r="ER317" s="2" t="s">
        <v>102</v>
      </c>
      <c r="ES317" s="2" t="s">
        <v>102</v>
      </c>
      <c r="ET317" s="2" t="str">
        <f>HYPERLINK(".\links\REFSEQ-INVERTEBRATE\AGAP004715-PA-REFSEQ-INVERTEBRATE.txt","AGAP004715-PA")</f>
        <v>AGAP004715-PA</v>
      </c>
      <c r="EU317" s="2" t="str">
        <f>HYPERLINK("http://www.ncbi.nlm.nih.gov/sutils/blink.cgi?pid=XP_318114.3","0.0")</f>
        <v>0.0</v>
      </c>
      <c r="EV317" s="2" t="str">
        <f>HYPERLINK("http://www.ncbi.nlm.nih.gov/protein/XP_318114.3","XP_318114.3")</f>
        <v>XP_318114.3</v>
      </c>
      <c r="EW317" s="2">
        <v>100</v>
      </c>
      <c r="EX317" s="2">
        <v>100</v>
      </c>
      <c r="EY317" s="2">
        <v>100</v>
      </c>
      <c r="EZ317" s="2" t="s">
        <v>105</v>
      </c>
    </row>
    <row r="318" spans="1:156" x14ac:dyDescent="0.25">
      <c r="A318" s="2" t="s">
        <v>3465</v>
      </c>
      <c r="B318" s="2">
        <v>0.22776704823902399</v>
      </c>
      <c r="C318" s="2">
        <f t="shared" si="4"/>
        <v>1.1710210813464952</v>
      </c>
      <c r="D318" s="2">
        <v>7.2186313771226702</v>
      </c>
      <c r="E318" s="2">
        <v>9.4111092813203001</v>
      </c>
      <c r="F318" s="2">
        <v>2.1567470956985199E-3</v>
      </c>
      <c r="G318" s="2">
        <v>4.4841229173225597E-2</v>
      </c>
      <c r="H318" s="2" t="s">
        <v>3466</v>
      </c>
      <c r="I318" s="2" t="s">
        <v>94</v>
      </c>
      <c r="J318" s="2" t="str">
        <f>HYPERLINK("https://vectorbase.org/vectorbase/app/record/gene/AGAP007896","AGAP007896-RA")</f>
        <v>AGAP007896-RA</v>
      </c>
      <c r="K318" s="2" t="str">
        <f>HYPERLINK(".\links\pep\AGAP007896-PA-pep.txt","AGAP007896-PA")</f>
        <v>AGAP007896-PA</v>
      </c>
      <c r="L318" s="12" t="s">
        <v>95</v>
      </c>
      <c r="M318" s="2">
        <v>546</v>
      </c>
      <c r="N318" s="2">
        <v>0</v>
      </c>
      <c r="O318" s="2">
        <v>0</v>
      </c>
      <c r="P318" s="2" t="s">
        <v>3467</v>
      </c>
      <c r="Q318" s="9" t="s">
        <v>3468</v>
      </c>
      <c r="R318" s="2" t="s">
        <v>98</v>
      </c>
      <c r="S318" s="2" t="str">
        <f>HYPERLINK(".\links\REFSEQ-INVERTEBRATE\AGAP007896-PA-REFSEQ-INVERTEBRATE.txt","REFSEQ-INVERTEBRATE")</f>
        <v>REFSEQ-INVERTEBRATE</v>
      </c>
      <c r="T318" s="2">
        <v>0</v>
      </c>
      <c r="V318" s="2" t="s">
        <v>3469</v>
      </c>
      <c r="W318" s="10" t="s">
        <v>3470</v>
      </c>
      <c r="X318" s="2" t="s">
        <v>1079</v>
      </c>
      <c r="Y318" s="2" t="str">
        <f>HYPERLINK(".\links\UNIPROTKB\AGAP007896-PA-UNIPROTKB.txt","UNIPROTKB")</f>
        <v>UNIPROTKB</v>
      </c>
      <c r="Z318" s="2">
        <v>0</v>
      </c>
      <c r="AA318" s="2">
        <v>100</v>
      </c>
      <c r="AB318" s="13" t="s">
        <v>102</v>
      </c>
      <c r="AC318" s="13" t="str">
        <f>HYPERLINK(".\links\Sigp\AGAP007896-PA-SigP.txt","BL")</f>
        <v>BL</v>
      </c>
      <c r="AD318" s="2" t="s">
        <v>3471</v>
      </c>
      <c r="AE318" s="2">
        <v>62.616</v>
      </c>
      <c r="AF318" s="2">
        <v>5.74</v>
      </c>
      <c r="AG318" s="2">
        <v>58.792000000000002</v>
      </c>
      <c r="AH318" s="2">
        <v>5.65</v>
      </c>
      <c r="AI318" s="2" t="s">
        <v>3472</v>
      </c>
      <c r="AJ318" s="13" t="str">
        <f>HYPERLINK(".\links\tmhmm\AGAP007896-PA-tmhmm.txt","7")</f>
        <v>7</v>
      </c>
      <c r="AK318" s="2">
        <v>28</v>
      </c>
      <c r="AL318" s="2">
        <v>18.3</v>
      </c>
      <c r="AM318" s="2">
        <v>53.7</v>
      </c>
      <c r="AN318" s="13" t="str">
        <f>HYPERLINK(".\links\gpi\AGAP007896-PA-gpi.txt","N")</f>
        <v>N</v>
      </c>
      <c r="AO318" s="14" t="str">
        <f>HYPERLINK(".\links\netoglyc\AGAP007896-PA-netoglyc.txt","0")</f>
        <v>0</v>
      </c>
      <c r="AP318" s="13">
        <v>12.1</v>
      </c>
      <c r="AQ318" s="2">
        <v>5.3</v>
      </c>
      <c r="AR318" s="2">
        <v>3.3</v>
      </c>
      <c r="AS318" s="2" t="s">
        <v>104</v>
      </c>
      <c r="AT318" s="9" t="str">
        <f>HYPERLINK(".\links\NR-LIGHT\AGAP007896-PA-NR-LIGHT.txt","AGAP007896-PA")</f>
        <v>AGAP007896-PA</v>
      </c>
      <c r="AU318" s="2" t="str">
        <f>HYPERLINK("http://www.ncbi.nlm.nih.gov/sutils/blink.cgi?pid=XP_001237950.2","0.0")</f>
        <v>0.0</v>
      </c>
      <c r="AV318" s="2" t="str">
        <f>HYPERLINK("http://www.ncbi.nlm.nih.gov/protein/XP_001237950.2","XP_001237950.2")</f>
        <v>XP_001237950.2</v>
      </c>
      <c r="AW318" s="2">
        <v>100</v>
      </c>
      <c r="AX318" s="2">
        <v>100</v>
      </c>
      <c r="AY318" s="2">
        <v>100</v>
      </c>
      <c r="AZ318" s="2" t="s">
        <v>105</v>
      </c>
      <c r="BA318" s="9" t="str">
        <f>HYPERLINK(".\links\REFSEQ-INVERTEBRATE\AGAP007896-PA-REFSEQ-INVERTEBRATE.txt","AGAP007896-PA")</f>
        <v>AGAP007896-PA</v>
      </c>
      <c r="BB318" s="2" t="str">
        <f>HYPERLINK("http://www.ncbi.nlm.nih.gov/sutils/blink.cgi?pid=XP_001237950.2","0.0")</f>
        <v>0.0</v>
      </c>
      <c r="BC318" s="2" t="str">
        <f>HYPERLINK("http://www.ncbi.nlm.nih.gov/protein/XP_001237950.2","XP_001237950.2")</f>
        <v>XP_001237950.2</v>
      </c>
      <c r="BD318" s="2">
        <v>100</v>
      </c>
      <c r="BE318" s="2">
        <v>100</v>
      </c>
      <c r="BF318" s="2">
        <v>100</v>
      </c>
      <c r="BG318" s="2" t="s">
        <v>105</v>
      </c>
      <c r="BH318" s="9" t="str">
        <f>HYPERLINK(".\links\REFSEQ-PROTOZOA\AGAP007896-PA-REFSEQ-PROTOZOA.txt","transmembrane protein 181")</f>
        <v>transmembrane protein 181</v>
      </c>
      <c r="BI318" s="2" t="str">
        <f>HYPERLINK("http://www.ncbi.nlm.nih.gov/sutils/blink.cgi?pid=XP_013760557.1","1E-009")</f>
        <v>1E-009</v>
      </c>
      <c r="BJ318" s="2" t="str">
        <f>HYPERLINK("http://www.ncbi.nlm.nih.gov/protein/XP_013760557.1","XP_013760557.1")</f>
        <v>XP_013760557.1</v>
      </c>
      <c r="BK318" s="2">
        <v>22</v>
      </c>
      <c r="BL318" s="2">
        <v>39</v>
      </c>
      <c r="BM318" s="2">
        <v>73</v>
      </c>
      <c r="BN318" s="2" t="s">
        <v>1686</v>
      </c>
      <c r="BO318" s="9" t="str">
        <f>HYPERLINK(".\links\SWISSP\AGAP007896-PA-SWISSP.txt","Protein wntless")</f>
        <v>Protein wntless</v>
      </c>
      <c r="BP318" s="2" t="str">
        <f>HYPERLINK("http://www.uniprot.org/uniprot/B4LC58","0.0")</f>
        <v>0.0</v>
      </c>
      <c r="BQ318" s="2" t="str">
        <f>HYPERLINK("http://www.uniprot.org/uniprot/B4LC58#expression","B4LC58")</f>
        <v>B4LC58</v>
      </c>
      <c r="BR318" s="2">
        <v>67</v>
      </c>
      <c r="BS318" s="2">
        <v>82</v>
      </c>
      <c r="BT318" s="2">
        <v>100</v>
      </c>
      <c r="BU318" s="2" t="s">
        <v>3473</v>
      </c>
      <c r="BV318" s="9" t="str">
        <f>HYPERLINK(".\links\FLYBASE\AGAP007896-PA-FLYBASE.txt","FBpp0075948")</f>
        <v>FBpp0075948</v>
      </c>
      <c r="BW318" s="2" t="str">
        <f>HYPERLINK("http://flybase.org/reports/FBgn0036141#alliance_summary_container","0.0")</f>
        <v>0.0</v>
      </c>
      <c r="BX318" s="2">
        <v>562</v>
      </c>
      <c r="BY318" s="2">
        <v>65</v>
      </c>
      <c r="BZ318" s="2">
        <v>79</v>
      </c>
      <c r="CA318" s="2">
        <v>100</v>
      </c>
      <c r="CB318" s="9" t="str">
        <f>HYPERLINK(".\links\CDD\AGAP007896-PA-CDD.txt","MIG-14_Wnt-bd, Wnt-binding factor required for Wnt secretion")</f>
        <v>MIG-14_Wnt-bd, Wnt-binding factor required for Wnt secretion</v>
      </c>
      <c r="CC318" s="15">
        <v>1.9999999999999999E-88</v>
      </c>
      <c r="CD318" s="2">
        <v>110.2</v>
      </c>
      <c r="CE318" s="2" t="s">
        <v>3474</v>
      </c>
      <c r="CF318" s="2" t="s">
        <v>3475</v>
      </c>
      <c r="CG318" s="9" t="str">
        <f>HYPERLINK(".\links\KOG\AGAP007896-PA-KOG.txt","Uncharacterized conserved protein (tumor-associated antigen HCA127 in humans)")</f>
        <v>Uncharacterized conserved protein (tumor-associated antigen HCA127 in humans)</v>
      </c>
      <c r="CH318" s="15">
        <v>0.26</v>
      </c>
      <c r="CI318" s="2">
        <v>21</v>
      </c>
      <c r="CJ318" s="2" t="s">
        <v>3476</v>
      </c>
      <c r="CK318" s="2" t="s">
        <v>284</v>
      </c>
      <c r="CL318" s="9" t="str">
        <f>HYPERLINK(".\links\PFAM\AGAP007896-PA-PFAM.txt","MIG-14_Wnt-bd, Wnt-binding factor required for Wnt secretion")</f>
        <v>MIG-14_Wnt-bd, Wnt-binding factor required for Wnt secretion</v>
      </c>
      <c r="CM318" s="15">
        <v>2.9999999999999999E-89</v>
      </c>
      <c r="CN318" s="2">
        <v>110.2</v>
      </c>
      <c r="CO318" s="2" t="s">
        <v>3474</v>
      </c>
      <c r="CP318" s="9" t="str">
        <f>HYPERLINK(".\links\SMART\AGAP007896-PA-SMART.txt","XPGN, Xeroderma pigmentosum G N-region")</f>
        <v>XPGN, Xeroderma pigmentosum G N-region</v>
      </c>
      <c r="CQ318" s="15">
        <v>1.5</v>
      </c>
      <c r="CR318" s="2">
        <v>23.2</v>
      </c>
      <c r="CS318" s="2" t="s">
        <v>1184</v>
      </c>
      <c r="CT318" s="2" t="s">
        <v>3469</v>
      </c>
      <c r="CU318" s="2" t="s">
        <v>3469</v>
      </c>
      <c r="CV318" s="2" t="s">
        <v>3469</v>
      </c>
      <c r="CW318" s="2" t="str">
        <f>HYPERLINK(".\links\pep\AGAP007896-PA-pep.txt","AGAP007896-PA")</f>
        <v>AGAP007896-PA</v>
      </c>
      <c r="CX318" s="2" t="s">
        <v>95</v>
      </c>
      <c r="CY318" s="2">
        <v>546</v>
      </c>
      <c r="CZ318" s="2" t="s">
        <v>113</v>
      </c>
      <c r="DA318" s="2" t="s">
        <v>3477</v>
      </c>
      <c r="DB318" s="2">
        <v>0</v>
      </c>
      <c r="DC318" s="2">
        <v>0</v>
      </c>
      <c r="DD318" s="2" t="str">
        <f>HYPERLINK("https://www.kegg.jp/kegg-bin/search_pathway_text?map=aga&amp;keyword=AGAP007896&amp;mode=1&amp;viewImage=true","AGAP007896")</f>
        <v>AGAP007896</v>
      </c>
      <c r="DE318" s="2" t="s">
        <v>3465</v>
      </c>
      <c r="DF318" s="2" t="s">
        <v>3466</v>
      </c>
      <c r="DG318" s="2" t="s">
        <v>94</v>
      </c>
      <c r="DH318" s="2" t="str">
        <f>HYPERLINK("https://vectorbase.org/vectorbase/app/record/gene/AGAP007896","AGAP007896-RA")</f>
        <v>AGAP007896-RA</v>
      </c>
      <c r="DI318" s="2" t="s">
        <v>115</v>
      </c>
      <c r="DJ318" s="2">
        <v>2219</v>
      </c>
      <c r="DK318" s="2" t="str">
        <f>HYPERLINK(".\links\netoglyc\AGAP007896-PA-netoglyc.txt","0")</f>
        <v>0</v>
      </c>
      <c r="DL318" s="2">
        <v>12.1</v>
      </c>
      <c r="DM318" s="2">
        <v>5.3</v>
      </c>
      <c r="DN318" s="2">
        <v>3.3</v>
      </c>
      <c r="DO318" s="2" t="s">
        <v>104</v>
      </c>
      <c r="DP318" s="2" t="s">
        <v>102</v>
      </c>
      <c r="DQ318" s="2" t="str">
        <f>HYPERLINK(".\links\Sigp\AGAP007896-PA-SigP.txt","BL")</f>
        <v>BL</v>
      </c>
      <c r="DR318" s="2" t="s">
        <v>3471</v>
      </c>
      <c r="DS318" s="2">
        <v>62.616</v>
      </c>
      <c r="DT318" s="2">
        <v>5.74</v>
      </c>
      <c r="DU318" s="2">
        <v>58.792000000000002</v>
      </c>
      <c r="DV318" s="2">
        <v>5.65</v>
      </c>
      <c r="DW318" s="2" t="s">
        <v>3472</v>
      </c>
      <c r="DX318" s="2">
        <v>546</v>
      </c>
      <c r="DY318" s="12" t="str">
        <f>HYPERLINK(".\links\tmhmm\AGAP007896-PA-tmhmm.txt","7")</f>
        <v>7</v>
      </c>
      <c r="DZ318" s="2">
        <v>28</v>
      </c>
      <c r="EA318" s="2">
        <v>18.3</v>
      </c>
      <c r="EB318" s="2">
        <v>53.7</v>
      </c>
      <c r="EC318" s="2" t="str">
        <f>HYPERLINK(".\links\gpi\AGAP007896-PA-gpi.txt","Y-NoSP")</f>
        <v>Y-NoSP</v>
      </c>
      <c r="ED318" s="2">
        <v>0.28000000000000003</v>
      </c>
      <c r="EF318" s="2">
        <v>11</v>
      </c>
      <c r="EG318" s="2" t="s">
        <v>102</v>
      </c>
      <c r="EH318" s="2" t="s">
        <v>102</v>
      </c>
      <c r="EI318" s="2">
        <v>12.0879120879121</v>
      </c>
      <c r="EJ318" s="2">
        <v>3.2967032967033001</v>
      </c>
      <c r="EK318" s="2">
        <v>5.3113553113553102</v>
      </c>
      <c r="EL318" s="2">
        <v>8.6080586080586095</v>
      </c>
      <c r="EM318" s="2" t="s">
        <v>102</v>
      </c>
      <c r="EN318" s="2">
        <v>1</v>
      </c>
      <c r="EO318" s="2">
        <v>1</v>
      </c>
      <c r="EP318" s="2" t="s">
        <v>102</v>
      </c>
      <c r="EQ318" s="2" t="s">
        <v>102</v>
      </c>
      <c r="ER318" s="2" t="s">
        <v>102</v>
      </c>
      <c r="ES318" s="2" t="s">
        <v>102</v>
      </c>
      <c r="ET318" s="2" t="str">
        <f>HYPERLINK(".\links\REFSEQ-INVERTEBRATE\AGAP007896-PA-REFSEQ-INVERTEBRATE.txt","AGAP007896-PA")</f>
        <v>AGAP007896-PA</v>
      </c>
      <c r="EU318" s="2" t="str">
        <f>HYPERLINK("http://www.ncbi.nlm.nih.gov/sutils/blink.cgi?pid=XP_001237950.2","0.0")</f>
        <v>0.0</v>
      </c>
      <c r="EV318" s="2" t="str">
        <f>HYPERLINK("http://www.ncbi.nlm.nih.gov/protein/XP_001237950.2","XP_001237950.2")</f>
        <v>XP_001237950.2</v>
      </c>
      <c r="EW318" s="2">
        <v>100</v>
      </c>
      <c r="EX318" s="2">
        <v>100</v>
      </c>
      <c r="EY318" s="2">
        <v>100</v>
      </c>
      <c r="EZ318" s="2" t="s">
        <v>105</v>
      </c>
    </row>
    <row r="319" spans="1:156" x14ac:dyDescent="0.25">
      <c r="A319" s="2" t="s">
        <v>3478</v>
      </c>
      <c r="B319" s="2">
        <v>0.223537781887197</v>
      </c>
      <c r="C319" s="2">
        <f t="shared" si="4"/>
        <v>1.1675932551047605</v>
      </c>
      <c r="D319" s="2">
        <v>5.8787541925289899</v>
      </c>
      <c r="E319" s="2">
        <v>9.2045603245866694</v>
      </c>
      <c r="F319" s="2">
        <v>2.41412971930849E-3</v>
      </c>
      <c r="G319" s="2">
        <v>4.6467281999580397E-2</v>
      </c>
      <c r="H319" s="2" t="s">
        <v>3479</v>
      </c>
      <c r="I319" s="2" t="s">
        <v>94</v>
      </c>
      <c r="J319" s="2" t="str">
        <f>HYPERLINK("https://vectorbase.org/vectorbase/app/record/gene/AGAP009811","AGAP009811-RA")</f>
        <v>AGAP009811-RA</v>
      </c>
      <c r="K319" s="2" t="str">
        <f>HYPERLINK(".\links\pep\AGAP009811-PA-pep.txt","AGAP009811-PA")</f>
        <v>AGAP009811-PA</v>
      </c>
      <c r="L319" s="12" t="s">
        <v>95</v>
      </c>
      <c r="M319" s="2">
        <v>510</v>
      </c>
      <c r="N319" s="2">
        <v>0</v>
      </c>
      <c r="O319" s="2">
        <v>1</v>
      </c>
      <c r="P319" s="2" t="s">
        <v>3480</v>
      </c>
      <c r="Q319" s="9" t="s">
        <v>3481</v>
      </c>
      <c r="R319" s="2" t="s">
        <v>355</v>
      </c>
      <c r="S319" s="2" t="str">
        <f>HYPERLINK(".\links\KOG\AGAP009811-PA-KOG.txt","KOG")</f>
        <v>KOG</v>
      </c>
      <c r="T319" s="2">
        <v>0</v>
      </c>
      <c r="U319" s="2">
        <v>102.1</v>
      </c>
      <c r="V319" s="2" t="s">
        <v>3482</v>
      </c>
      <c r="W319" s="10" t="s">
        <v>3483</v>
      </c>
      <c r="X319" s="2" t="s">
        <v>355</v>
      </c>
      <c r="Y319" s="2" t="str">
        <f>HYPERLINK(".\links\REFSEQVERTEBRATE95\AGAP009811-PA-REFSEQVERTEBRATE95.txt","REFSEQVERTEBRATE95")</f>
        <v>REFSEQVERTEBRATE95</v>
      </c>
      <c r="Z319" s="2">
        <v>0</v>
      </c>
      <c r="AA319" s="2">
        <v>90.8</v>
      </c>
      <c r="AB319" s="13" t="s">
        <v>102</v>
      </c>
      <c r="AC319" s="13" t="str">
        <f>HYPERLINK(".\links\Sigp\AGAP009811-PA-SigP.txt","CYT")</f>
        <v>CYT</v>
      </c>
      <c r="AD319" s="2" t="s">
        <v>102</v>
      </c>
      <c r="AE319" s="2">
        <v>57.19</v>
      </c>
      <c r="AF319" s="2">
        <v>4.83</v>
      </c>
      <c r="AG319" s="2" t="s">
        <v>102</v>
      </c>
      <c r="AH319" s="2" t="s">
        <v>102</v>
      </c>
      <c r="AI319" s="2" t="s">
        <v>211</v>
      </c>
      <c r="AJ319" s="13">
        <v>0</v>
      </c>
      <c r="AK319" s="2" t="s">
        <v>102</v>
      </c>
      <c r="AL319" s="2" t="s">
        <v>102</v>
      </c>
      <c r="AM319" s="2" t="s">
        <v>102</v>
      </c>
      <c r="AN319" s="13" t="str">
        <f>HYPERLINK(".\links\gpi\AGAP009811-PA-gpi.txt","N")</f>
        <v>N</v>
      </c>
      <c r="AO319" s="14" t="str">
        <f>HYPERLINK(".\links\netoglyc\AGAP009811-PA-netoglyc.txt","0")</f>
        <v>0</v>
      </c>
      <c r="AP319" s="13">
        <v>9</v>
      </c>
      <c r="AQ319" s="2">
        <v>6.3</v>
      </c>
      <c r="AR319" s="2">
        <v>2.7</v>
      </c>
      <c r="AS319" s="2" t="s">
        <v>104</v>
      </c>
      <c r="AT319" s="9" t="str">
        <f>HYPERLINK(".\links\NR-LIGHT\AGAP009811-PA-NR-LIGHT.txt","AGAP009811-PA")</f>
        <v>AGAP009811-PA</v>
      </c>
      <c r="AU319" s="2" t="str">
        <f>HYPERLINK("http://www.ncbi.nlm.nih.gov/sutils/blink.cgi?pid=XP_318917.4","0.0")</f>
        <v>0.0</v>
      </c>
      <c r="AV319" s="2" t="str">
        <f>HYPERLINK("http://www.ncbi.nlm.nih.gov/protein/XP_318917.4","XP_318917.4")</f>
        <v>XP_318917.4</v>
      </c>
      <c r="AW319" s="2">
        <v>100</v>
      </c>
      <c r="AX319" s="2">
        <v>100</v>
      </c>
      <c r="AY319" s="2">
        <v>100</v>
      </c>
      <c r="AZ319" s="2" t="s">
        <v>105</v>
      </c>
      <c r="BA319" s="9" t="str">
        <f>HYPERLINK(".\links\REFSEQ-INVERTEBRATE\AGAP009811-PA-REFSEQ-INVERTEBRATE.txt","AGAP009811-PA")</f>
        <v>AGAP009811-PA</v>
      </c>
      <c r="BB319" s="2" t="str">
        <f>HYPERLINK("http://www.ncbi.nlm.nih.gov/sutils/blink.cgi?pid=XP_318917.4","0.0")</f>
        <v>0.0</v>
      </c>
      <c r="BC319" s="2" t="str">
        <f>HYPERLINK("http://www.ncbi.nlm.nih.gov/protein/XP_318917.4","XP_318917.4")</f>
        <v>XP_318917.4</v>
      </c>
      <c r="BD319" s="2">
        <v>100</v>
      </c>
      <c r="BE319" s="2">
        <v>100</v>
      </c>
      <c r="BF319" s="2">
        <v>100</v>
      </c>
      <c r="BG319" s="2" t="s">
        <v>105</v>
      </c>
      <c r="BH319" s="9" t="str">
        <f>HYPERLINK(".\links\REFSEQ-PROTOZOA\AGAP009811-PA-REFSEQ-PROTOZOA.txt","hypothetical protein CAOG_06886")</f>
        <v>hypothetical protein CAOG_06886</v>
      </c>
      <c r="BI319" s="2" t="str">
        <f>HYPERLINK("http://www.ncbi.nlm.nih.gov/sutils/blink.cgi?pid=XP_004344507.1","5E-067")</f>
        <v>5E-067</v>
      </c>
      <c r="BJ319" s="2" t="str">
        <f>HYPERLINK("http://www.ncbi.nlm.nih.gov/protein/XP_004344507.1","XP_004344507.1")</f>
        <v>XP_004344507.1</v>
      </c>
      <c r="BK319" s="2">
        <v>33</v>
      </c>
      <c r="BL319" s="2">
        <v>51</v>
      </c>
      <c r="BM319" s="2">
        <v>100</v>
      </c>
      <c r="BN319" s="2" t="s">
        <v>106</v>
      </c>
      <c r="BO319" s="9" t="str">
        <f>HYPERLINK(".\links\SWISSP\AGAP009811-PA-SWISSP.txt","CDK5RAP3-like protein")</f>
        <v>CDK5RAP3-like protein</v>
      </c>
      <c r="BP319" s="2" t="str">
        <f>HYPERLINK("http://www.uniprot.org/uniprot/Q95SK3","1E-125")</f>
        <v>1E-125</v>
      </c>
      <c r="BQ319" s="2" t="str">
        <f>HYPERLINK("http://www.uniprot.org/uniprot/Q95SK3#expression","Q95SK3")</f>
        <v>Q95SK3</v>
      </c>
      <c r="BR319" s="2">
        <v>44</v>
      </c>
      <c r="BS319" s="2">
        <v>65</v>
      </c>
      <c r="BT319" s="2">
        <v>102</v>
      </c>
      <c r="BU319" s="2" t="s">
        <v>107</v>
      </c>
      <c r="BV319" s="9" t="str">
        <f>HYPERLINK(".\links\FLYBASE\AGAP009811-PA-FLYBASE.txt","FBpp0071478")</f>
        <v>FBpp0071478</v>
      </c>
      <c r="BW319" s="2" t="str">
        <f>HYPERLINK("http://flybase.org/reports/FBgn0050291#alliance_summary_container","1E-158")</f>
        <v>1E-158</v>
      </c>
      <c r="BX319" s="2">
        <v>509</v>
      </c>
      <c r="BY319" s="2">
        <v>44</v>
      </c>
      <c r="BZ319" s="2">
        <v>65</v>
      </c>
      <c r="CA319" s="2">
        <v>102</v>
      </c>
      <c r="CB319" s="9" t="str">
        <f>HYPERLINK(".\links\CDD\AGAP009811-PA-CDD.txt","DUF773, Protein of unknown function (DUF773)")</f>
        <v>DUF773, Protein of unknown function (DUF773)</v>
      </c>
      <c r="CC319" s="15">
        <v>0</v>
      </c>
      <c r="CD319" s="2">
        <v>103.8</v>
      </c>
      <c r="CE319" s="2" t="s">
        <v>3484</v>
      </c>
      <c r="CF319" s="2" t="s">
        <v>3485</v>
      </c>
      <c r="CG319" s="9" t="str">
        <f>HYPERLINK(".\links\KOG\AGAP009811-PA-KOG.txt","CDK5 activator-binding protein")</f>
        <v>CDK5 activator-binding protein</v>
      </c>
      <c r="CH319" s="15">
        <v>1.0000000000000001E-111</v>
      </c>
      <c r="CI319" s="2">
        <v>102.2</v>
      </c>
      <c r="CJ319" s="2" t="s">
        <v>3486</v>
      </c>
      <c r="CK319" s="2" t="s">
        <v>173</v>
      </c>
      <c r="CL319" s="9" t="str">
        <f>HYPERLINK(".\links\PFAM\AGAP009811-PA-PFAM.txt","DUF773, Protein of unknown function (DUF773)")</f>
        <v>DUF773, Protein of unknown function (DUF773)</v>
      </c>
      <c r="CM319" s="15">
        <v>0</v>
      </c>
      <c r="CN319" s="2">
        <v>103.8</v>
      </c>
      <c r="CO319" s="2" t="s">
        <v>3484</v>
      </c>
      <c r="CP319" s="9" t="str">
        <f>HYPERLINK(".\links\SMART\AGAP009811-PA-SMART.txt","G_alpha, G protein alpha subunit")</f>
        <v>G_alpha, G protein alpha subunit</v>
      </c>
      <c r="CQ319" s="15">
        <v>3.2</v>
      </c>
      <c r="CR319" s="2">
        <v>10.8</v>
      </c>
      <c r="CS319" s="2" t="s">
        <v>3487</v>
      </c>
      <c r="CT319" s="2" t="s">
        <v>3482</v>
      </c>
      <c r="CU319" s="2" t="s">
        <v>3482</v>
      </c>
      <c r="CV319" s="2" t="s">
        <v>3482</v>
      </c>
      <c r="CW319" s="2" t="str">
        <f>HYPERLINK(".\links\pep\AGAP009811-PA-pep.txt","AGAP009811-PA")</f>
        <v>AGAP009811-PA</v>
      </c>
      <c r="CX319" s="2" t="s">
        <v>95</v>
      </c>
      <c r="CY319" s="2">
        <v>510</v>
      </c>
      <c r="CZ319" s="2" t="s">
        <v>113</v>
      </c>
      <c r="DA319" s="2" t="s">
        <v>3488</v>
      </c>
      <c r="DB319" s="2">
        <v>0</v>
      </c>
      <c r="DC319" s="2">
        <v>1</v>
      </c>
      <c r="DD319" s="2" t="str">
        <f>HYPERLINK("https://www.kegg.jp/kegg-bin/search_pathway_text?map=aga&amp;keyword=AGAP009811&amp;mode=1&amp;viewImage=true","AGAP009811")</f>
        <v>AGAP009811</v>
      </c>
      <c r="DE319" s="2" t="s">
        <v>3478</v>
      </c>
      <c r="DF319" s="2" t="s">
        <v>3479</v>
      </c>
      <c r="DG319" s="2" t="s">
        <v>94</v>
      </c>
      <c r="DH319" s="2" t="str">
        <f>HYPERLINK("https://vectorbase.org/vectorbase/app/record/gene/AGAP009811","AGAP009811-RA")</f>
        <v>AGAP009811-RA</v>
      </c>
      <c r="DI319" s="2" t="s">
        <v>115</v>
      </c>
      <c r="DJ319" s="2">
        <v>1759</v>
      </c>
      <c r="DK319" s="2" t="str">
        <f>HYPERLINK(".\links\netoglyc\AGAP009811-PA-netoglyc.txt","0")</f>
        <v>0</v>
      </c>
      <c r="DL319" s="2">
        <v>9</v>
      </c>
      <c r="DM319" s="2">
        <v>6.3</v>
      </c>
      <c r="DN319" s="2">
        <v>2.7</v>
      </c>
      <c r="DO319" s="2" t="s">
        <v>104</v>
      </c>
      <c r="DP319" s="2" t="s">
        <v>102</v>
      </c>
      <c r="DQ319" s="2" t="str">
        <f>HYPERLINK(".\links\Sigp\AGAP009811-PA-SigP.txt","CYT")</f>
        <v>CYT</v>
      </c>
      <c r="DR319" s="2" t="s">
        <v>102</v>
      </c>
      <c r="DS319" s="2">
        <v>57.19</v>
      </c>
      <c r="DT319" s="2">
        <v>4.83</v>
      </c>
      <c r="DU319" s="2" t="s">
        <v>102</v>
      </c>
      <c r="DV319" s="2" t="s">
        <v>102</v>
      </c>
      <c r="DW319" s="2" t="s">
        <v>211</v>
      </c>
      <c r="DX319" s="2">
        <v>510</v>
      </c>
      <c r="DY319" s="12">
        <v>0</v>
      </c>
      <c r="DZ319" s="2" t="s">
        <v>102</v>
      </c>
      <c r="EA319" s="2" t="s">
        <v>102</v>
      </c>
      <c r="EB319" s="2" t="s">
        <v>102</v>
      </c>
      <c r="EC319" s="2" t="str">
        <f>HYPERLINK(".\links\gpi\AGAP009811-PA-gpi.txt","N")</f>
        <v>N</v>
      </c>
      <c r="ED319" s="2">
        <v>0.27</v>
      </c>
      <c r="EF319" s="2">
        <v>3</v>
      </c>
      <c r="EG319" s="2" t="s">
        <v>102</v>
      </c>
      <c r="EH319" s="2" t="s">
        <v>102</v>
      </c>
      <c r="EI319" s="2">
        <v>9.0196078431372495</v>
      </c>
      <c r="EJ319" s="2">
        <v>2.7450980392156898</v>
      </c>
      <c r="EK319" s="2">
        <v>6.2745098039215703</v>
      </c>
      <c r="EL319" s="2">
        <v>9.0196078431372495</v>
      </c>
      <c r="EM319" s="2">
        <v>1</v>
      </c>
      <c r="EN319" s="2">
        <v>2</v>
      </c>
      <c r="EO319" s="2">
        <v>2</v>
      </c>
      <c r="EP319" s="2" t="s">
        <v>102</v>
      </c>
      <c r="EQ319" s="2" t="s">
        <v>102</v>
      </c>
      <c r="ER319" s="2" t="s">
        <v>102</v>
      </c>
      <c r="ES319" s="2" t="s">
        <v>102</v>
      </c>
      <c r="ET319" s="2" t="str">
        <f>HYPERLINK(".\links\REFSEQ-INVERTEBRATE\AGAP009811-PA-REFSEQ-INVERTEBRATE.txt","AGAP009811-PA")</f>
        <v>AGAP009811-PA</v>
      </c>
      <c r="EU319" s="2" t="str">
        <f>HYPERLINK("http://www.ncbi.nlm.nih.gov/sutils/blink.cgi?pid=XP_318917.4","0.0")</f>
        <v>0.0</v>
      </c>
      <c r="EV319" s="2" t="str">
        <f>HYPERLINK("http://www.ncbi.nlm.nih.gov/protein/XP_318917.4","XP_318917.4")</f>
        <v>XP_318917.4</v>
      </c>
      <c r="EW319" s="2">
        <v>100</v>
      </c>
      <c r="EX319" s="2">
        <v>100</v>
      </c>
      <c r="EY319" s="2">
        <v>100</v>
      </c>
      <c r="EZ319" s="2" t="s">
        <v>105</v>
      </c>
    </row>
    <row r="320" spans="1:156" x14ac:dyDescent="0.25">
      <c r="A320" s="2" t="s">
        <v>3489</v>
      </c>
      <c r="B320" s="2">
        <v>0.22143982121969499</v>
      </c>
      <c r="C320" s="2">
        <f t="shared" si="4"/>
        <v>1.1658965801696719</v>
      </c>
      <c r="D320" s="2">
        <v>7.8266330969589104</v>
      </c>
      <c r="E320" s="2">
        <v>9.0583053198421606</v>
      </c>
      <c r="F320" s="2">
        <v>2.6150423932618399E-3</v>
      </c>
      <c r="G320" s="2">
        <v>4.7269525491001697E-2</v>
      </c>
      <c r="H320" s="2" t="s">
        <v>3490</v>
      </c>
      <c r="I320" s="2" t="s">
        <v>102</v>
      </c>
      <c r="J320" s="2" t="str">
        <f>HYPERLINK("https://vectorbase.org/vectorbase/app/record/gene/AGAP007775","AGAP007775-RA")</f>
        <v>AGAP007775-RA</v>
      </c>
      <c r="K320" s="2" t="str">
        <f>HYPERLINK(".\links\pep\AGAP007775-PA-pep.txt","AGAP007775-PA")</f>
        <v>AGAP007775-PA</v>
      </c>
      <c r="L320" s="12" t="s">
        <v>95</v>
      </c>
      <c r="M320" s="2">
        <v>668</v>
      </c>
      <c r="N320" s="2">
        <v>0</v>
      </c>
      <c r="O320" s="2">
        <v>2</v>
      </c>
      <c r="P320" s="2" t="s">
        <v>3491</v>
      </c>
      <c r="Q320" s="9" t="s">
        <v>3492</v>
      </c>
      <c r="R320" s="2" t="s">
        <v>388</v>
      </c>
      <c r="S320" s="2" t="str">
        <f>HYPERLINK(".\links\KOG\AGAP007775-PA-KOG.txt","KOG")</f>
        <v>KOG</v>
      </c>
      <c r="T320" s="2">
        <v>2E-55</v>
      </c>
      <c r="U320" s="2">
        <v>81.099999999999994</v>
      </c>
      <c r="V320" s="2" t="s">
        <v>3493</v>
      </c>
      <c r="W320" s="10" t="s">
        <v>3494</v>
      </c>
      <c r="X320" s="2" t="s">
        <v>447</v>
      </c>
      <c r="Y320" s="2" t="str">
        <f>HYPERLINK(".\links\UNIPROTKB\AGAP007775-PA-UNIPROTKB.txt","UNIPROTKB")</f>
        <v>UNIPROTKB</v>
      </c>
      <c r="Z320" s="2">
        <v>0</v>
      </c>
      <c r="AA320" s="2">
        <v>98.6</v>
      </c>
      <c r="AB320" s="13" t="s">
        <v>102</v>
      </c>
      <c r="AC320" s="13" t="str">
        <f>HYPERLINK(".\links\Sigp\AGAP007775-PA-SigP.txt","CYT")</f>
        <v>CYT</v>
      </c>
      <c r="AD320" s="2" t="s">
        <v>102</v>
      </c>
      <c r="AE320" s="2">
        <v>74.099999999999994</v>
      </c>
      <c r="AF320" s="2">
        <v>9.64</v>
      </c>
      <c r="AG320" s="2" t="s">
        <v>102</v>
      </c>
      <c r="AH320" s="2" t="s">
        <v>102</v>
      </c>
      <c r="AI320" s="2" t="s">
        <v>1262</v>
      </c>
      <c r="AJ320" s="13">
        <v>0</v>
      </c>
      <c r="AK320" s="2" t="s">
        <v>102</v>
      </c>
      <c r="AL320" s="2" t="s">
        <v>102</v>
      </c>
      <c r="AM320" s="2" t="s">
        <v>102</v>
      </c>
      <c r="AN320" s="13" t="str">
        <f>HYPERLINK(".\links\gpi\AGAP007775-PA-gpi.txt","N")</f>
        <v>N</v>
      </c>
      <c r="AO320" s="14" t="str">
        <f>HYPERLINK(".\links\netoglyc\AGAP007775-PA-netoglyc.txt","1")</f>
        <v>1</v>
      </c>
      <c r="AP320" s="13">
        <v>13.9</v>
      </c>
      <c r="AQ320" s="2">
        <v>6.9</v>
      </c>
      <c r="AR320" s="2">
        <v>3.6</v>
      </c>
      <c r="AS320" s="2" t="s">
        <v>104</v>
      </c>
      <c r="AT320" s="9" t="str">
        <f>HYPERLINK(".\links\NR-LIGHT\AGAP007775-PA-NR-LIGHT.txt","AGAP007775-PA")</f>
        <v>AGAP007775-PA</v>
      </c>
      <c r="AU320" s="2" t="str">
        <f>HYPERLINK("http://www.ncbi.nlm.nih.gov/sutils/blink.cgi?pid=XP_317740.4","0.0")</f>
        <v>0.0</v>
      </c>
      <c r="AV320" s="2" t="str">
        <f>HYPERLINK("http://www.ncbi.nlm.nih.gov/protein/XP_317740.4","XP_317740.4")</f>
        <v>XP_317740.4</v>
      </c>
      <c r="AW320" s="2">
        <v>100</v>
      </c>
      <c r="AX320" s="2">
        <v>100</v>
      </c>
      <c r="AY320" s="2">
        <v>100</v>
      </c>
      <c r="AZ320" s="2" t="s">
        <v>105</v>
      </c>
      <c r="BA320" s="9" t="str">
        <f>HYPERLINK(".\links\REFSEQ-INVERTEBRATE\AGAP007775-PA-REFSEQ-INVERTEBRATE.txt","AGAP007775-PA")</f>
        <v>AGAP007775-PA</v>
      </c>
      <c r="BB320" s="2" t="str">
        <f>HYPERLINK("http://www.ncbi.nlm.nih.gov/sutils/blink.cgi?pid=XP_317740.4","0.0")</f>
        <v>0.0</v>
      </c>
      <c r="BC320" s="2" t="str">
        <f>HYPERLINK("http://www.ncbi.nlm.nih.gov/protein/XP_317740.4","XP_317740.4")</f>
        <v>XP_317740.4</v>
      </c>
      <c r="BD320" s="2">
        <v>100</v>
      </c>
      <c r="BE320" s="2">
        <v>100</v>
      </c>
      <c r="BF320" s="2">
        <v>100</v>
      </c>
      <c r="BG320" s="2" t="s">
        <v>105</v>
      </c>
      <c r="BH320" s="9" t="str">
        <f>HYPERLINK(".\links\REFSEQ-PROTOZOA\AGAP007775-PA-REFSEQ-PROTOZOA.txt","hypothetical protein PTSG_07735")</f>
        <v>hypothetical protein PTSG_07735</v>
      </c>
      <c r="BI320" s="2" t="str">
        <f>HYPERLINK("http://www.ncbi.nlm.nih.gov/sutils/blink.cgi?pid=XP_004991536.1","1E-099")</f>
        <v>1E-099</v>
      </c>
      <c r="BJ320" s="2" t="str">
        <f>HYPERLINK("http://www.ncbi.nlm.nih.gov/protein/XP_004991536.1","XP_004991536.1")</f>
        <v>XP_004991536.1</v>
      </c>
      <c r="BK320" s="2">
        <v>41</v>
      </c>
      <c r="BL320" s="2">
        <v>60</v>
      </c>
      <c r="BM320" s="2">
        <v>88</v>
      </c>
      <c r="BN320" s="2" t="s">
        <v>435</v>
      </c>
      <c r="BO320" s="9" t="str">
        <f>HYPERLINK(".\links\SWISSP\AGAP007775-PA-SWISSP.txt","ATP-dependent DNA helicase PIF1")</f>
        <v>ATP-dependent DNA helicase PIF1</v>
      </c>
      <c r="BP320" s="2" t="str">
        <f>HYPERLINK("http://www.uniprot.org/uniprot/Q7ZV90","1E-140")</f>
        <v>1E-140</v>
      </c>
      <c r="BQ320" s="2" t="str">
        <f>HYPERLINK("http://www.uniprot.org/uniprot/Q7ZV90#expression","Q7ZV90")</f>
        <v>Q7ZV90</v>
      </c>
      <c r="BR320" s="2">
        <v>44</v>
      </c>
      <c r="BS320" s="2">
        <v>62</v>
      </c>
      <c r="BT320" s="2">
        <v>101</v>
      </c>
      <c r="BU320" s="2" t="s">
        <v>213</v>
      </c>
      <c r="BV320" s="9" t="str">
        <f>HYPERLINK(".\links\FLYBASE\AGAP007775-PA-FLYBASE.txt","FBpp0309921")</f>
        <v>FBpp0309921</v>
      </c>
      <c r="BW320" s="2" t="str">
        <f>HYPERLINK("http://flybase.org/reports/FBgn0031540#alliance_summary_container","0.0")</f>
        <v>0.0</v>
      </c>
      <c r="BX320" s="2">
        <v>663</v>
      </c>
      <c r="BY320" s="2">
        <v>57</v>
      </c>
      <c r="BZ320" s="2">
        <v>72</v>
      </c>
      <c r="CA320" s="2">
        <v>103</v>
      </c>
      <c r="CB320" s="9" t="str">
        <f>HYPERLINK(".\links\CDD\AGAP007775-PA-CDD.txt","PIF1, PIF1-like helicase")</f>
        <v>PIF1, PIF1-like helicase</v>
      </c>
      <c r="CC320" s="15">
        <v>1.0000000000000001E-63</v>
      </c>
      <c r="CD320" s="2">
        <v>105</v>
      </c>
      <c r="CE320" s="2" t="s">
        <v>3495</v>
      </c>
      <c r="CF320" s="2" t="s">
        <v>3496</v>
      </c>
      <c r="CG320" s="9" t="str">
        <f>HYPERLINK(".\links\KOG\AGAP007775-PA-KOG.txt","DNA helicase PIF1/RRM3")</f>
        <v>DNA helicase PIF1/RRM3</v>
      </c>
      <c r="CH320" s="15">
        <v>2E-55</v>
      </c>
      <c r="CI320" s="2">
        <v>81.099999999999994</v>
      </c>
      <c r="CJ320" s="2" t="s">
        <v>3497</v>
      </c>
      <c r="CK320" s="2" t="s">
        <v>700</v>
      </c>
      <c r="CL320" s="9" t="str">
        <f>HYPERLINK(".\links\PFAM\AGAP007775-PA-PFAM.txt","PIF1, PIF1-like helicase")</f>
        <v>PIF1, PIF1-like helicase</v>
      </c>
      <c r="CM320" s="15">
        <v>1.9999999999999999E-64</v>
      </c>
      <c r="CN320" s="2">
        <v>105</v>
      </c>
      <c r="CO320" s="2" t="s">
        <v>3495</v>
      </c>
      <c r="CP320" s="9" t="str">
        <f>HYPERLINK(".\links\SMART\AGAP007775-PA-SMART.txt","AAA, ATPases associated with a variety of cellular activities")</f>
        <v>AAA, ATPases associated with a variety of cellular activities</v>
      </c>
      <c r="CQ320" s="15">
        <v>3.0000000000000001E-5</v>
      </c>
      <c r="CR320" s="2">
        <v>85.1</v>
      </c>
      <c r="CS320" s="2" t="s">
        <v>772</v>
      </c>
      <c r="CT320" s="2" t="s">
        <v>3493</v>
      </c>
      <c r="CU320" s="2" t="s">
        <v>3493</v>
      </c>
      <c r="CV320" s="2" t="s">
        <v>3493</v>
      </c>
      <c r="CW320" s="2" t="str">
        <f>HYPERLINK(".\links\pep\AGAP007775-PA-pep.txt","AGAP007775-PA")</f>
        <v>AGAP007775-PA</v>
      </c>
      <c r="CX320" s="2" t="s">
        <v>95</v>
      </c>
      <c r="CY320" s="2">
        <v>668</v>
      </c>
      <c r="CZ320" s="2" t="s">
        <v>113</v>
      </c>
      <c r="DA320" s="2">
        <v>0</v>
      </c>
      <c r="DB320" s="2">
        <v>2</v>
      </c>
      <c r="DD320" s="2" t="str">
        <f>HYPERLINK("https://www.kegg.jp/kegg-bin/search_pathway_text?map=aga&amp;keyword=AGAP007775&amp;mode=1&amp;viewImage=true","AGAP007775")</f>
        <v>AGAP007775</v>
      </c>
      <c r="DE320" s="2" t="s">
        <v>3489</v>
      </c>
      <c r="DF320" s="2" t="s">
        <v>3490</v>
      </c>
      <c r="DG320" s="2" t="s">
        <v>102</v>
      </c>
      <c r="DH320" s="2" t="str">
        <f>HYPERLINK("https://vectorbase.org/vectorbase/app/record/gene/AGAP007775","AGAP007775-RA")</f>
        <v>AGAP007775-RA</v>
      </c>
      <c r="DI320" s="2" t="s">
        <v>90</v>
      </c>
      <c r="DJ320" s="2">
        <v>2134</v>
      </c>
      <c r="DK320" s="2" t="str">
        <f>HYPERLINK(".\links\netoglyc\AGAP007775-PA-netoglyc.txt","1")</f>
        <v>1</v>
      </c>
      <c r="DL320" s="2">
        <v>13.9</v>
      </c>
      <c r="DM320" s="2">
        <v>6.9</v>
      </c>
      <c r="DN320" s="2">
        <v>3.6</v>
      </c>
      <c r="DO320" s="2" t="s">
        <v>104</v>
      </c>
      <c r="DP320" s="2" t="s">
        <v>102</v>
      </c>
      <c r="DQ320" s="2" t="str">
        <f>HYPERLINK(".\links\Sigp\AGAP007775-PA-SigP.txt","CYT")</f>
        <v>CYT</v>
      </c>
      <c r="DR320" s="2" t="s">
        <v>102</v>
      </c>
      <c r="DS320" s="2">
        <v>74.099999999999994</v>
      </c>
      <c r="DT320" s="2">
        <v>9.64</v>
      </c>
      <c r="DU320" s="2" t="s">
        <v>102</v>
      </c>
      <c r="DV320" s="2" t="s">
        <v>102</v>
      </c>
      <c r="DW320" s="2" t="s">
        <v>1262</v>
      </c>
      <c r="DX320" s="2">
        <v>668</v>
      </c>
      <c r="DY320" s="12">
        <v>0</v>
      </c>
      <c r="DZ320" s="2" t="s">
        <v>102</v>
      </c>
      <c r="EA320" s="2" t="s">
        <v>102</v>
      </c>
      <c r="EB320" s="2" t="s">
        <v>102</v>
      </c>
      <c r="EC320" s="2" t="str">
        <f>HYPERLINK(".\links\gpi\AGAP007775-PA-gpi.txt","Y-NoSP")</f>
        <v>Y-NoSP</v>
      </c>
      <c r="ED320" s="2">
        <v>0.17</v>
      </c>
      <c r="EF320" s="2">
        <v>9</v>
      </c>
      <c r="EG320" s="2" t="s">
        <v>102</v>
      </c>
      <c r="EH320" s="2" t="s">
        <v>102</v>
      </c>
      <c r="EI320" s="2">
        <v>13.9221556886228</v>
      </c>
      <c r="EJ320" s="2">
        <v>3.59281437125748</v>
      </c>
      <c r="EK320" s="2">
        <v>6.88622754491018</v>
      </c>
      <c r="EL320" s="2">
        <v>10.4790419161677</v>
      </c>
      <c r="EM320" s="2">
        <v>1</v>
      </c>
      <c r="EN320" s="2">
        <v>1</v>
      </c>
      <c r="EO320" s="2">
        <v>2</v>
      </c>
      <c r="EP320" s="2" t="s">
        <v>102</v>
      </c>
      <c r="EQ320" s="2" t="s">
        <v>102</v>
      </c>
      <c r="ER320" s="2" t="s">
        <v>102</v>
      </c>
      <c r="ES320" s="2" t="s">
        <v>102</v>
      </c>
      <c r="ET320" s="2" t="str">
        <f>HYPERLINK(".\links\REFSEQ-INVERTEBRATE\AGAP007775-PA-REFSEQ-INVERTEBRATE.txt","AGAP007775-PA")</f>
        <v>AGAP007775-PA</v>
      </c>
      <c r="EU320" s="2" t="str">
        <f>HYPERLINK("http://www.ncbi.nlm.nih.gov/sutils/blink.cgi?pid=XP_317740.4","0.0")</f>
        <v>0.0</v>
      </c>
      <c r="EV320" s="2" t="str">
        <f>HYPERLINK("http://www.ncbi.nlm.nih.gov/protein/XP_317740.4","XP_317740.4")</f>
        <v>XP_317740.4</v>
      </c>
      <c r="EW320" s="2">
        <v>100</v>
      </c>
      <c r="EX320" s="2">
        <v>100</v>
      </c>
      <c r="EY320" s="2">
        <v>100</v>
      </c>
      <c r="EZ320" s="2" t="s">
        <v>105</v>
      </c>
    </row>
    <row r="321" spans="1:156" x14ac:dyDescent="0.25">
      <c r="A321" s="2" t="s">
        <v>3498</v>
      </c>
      <c r="B321" s="2">
        <v>0.220725666300993</v>
      </c>
      <c r="C321" s="2">
        <f t="shared" si="4"/>
        <v>1.1653195873155393</v>
      </c>
      <c r="D321" s="2">
        <v>6.9838202452327103</v>
      </c>
      <c r="E321" s="2">
        <v>8.8520551768247699</v>
      </c>
      <c r="F321" s="2">
        <v>2.92759064474803E-3</v>
      </c>
      <c r="G321" s="2">
        <v>4.9803632520221103E-2</v>
      </c>
      <c r="H321" s="2" t="s">
        <v>3499</v>
      </c>
      <c r="I321" s="2" t="s">
        <v>94</v>
      </c>
      <c r="J321" s="2" t="str">
        <f>HYPERLINK("https://vectorbase.org/vectorbase/app/record/gene/AGAP004522","AGAP004522-RA")</f>
        <v>AGAP004522-RA</v>
      </c>
      <c r="K321" s="2" t="str">
        <f>HYPERLINK(".\links\pep\AGAP004522-PA-pep.txt","AGAP004522-PA")</f>
        <v>AGAP004522-PA</v>
      </c>
      <c r="L321" s="12" t="s">
        <v>95</v>
      </c>
      <c r="M321" s="2">
        <v>551</v>
      </c>
      <c r="N321" s="2">
        <v>0</v>
      </c>
      <c r="O321" s="2">
        <v>0</v>
      </c>
      <c r="P321" s="2" t="s">
        <v>3500</v>
      </c>
      <c r="Q321" s="9" t="s">
        <v>3501</v>
      </c>
      <c r="R321" s="2" t="s">
        <v>771</v>
      </c>
      <c r="S321" s="2" t="str">
        <f>HYPERLINK(".\links\KOG\AGAP004522-PA-KOG.txt","KOG")</f>
        <v>KOG</v>
      </c>
      <c r="T321" s="2">
        <v>0</v>
      </c>
      <c r="U321" s="2">
        <v>110.7</v>
      </c>
      <c r="V321" s="2" t="s">
        <v>3502</v>
      </c>
      <c r="W321" s="10" t="s">
        <v>3503</v>
      </c>
      <c r="X321" s="2" t="s">
        <v>771</v>
      </c>
      <c r="Y321" s="2" t="str">
        <f>HYPERLINK(".\links\KOG\AGAP004522-PA-KOG.txt","KOG")</f>
        <v>KOG</v>
      </c>
      <c r="Z321" s="15">
        <v>0</v>
      </c>
      <c r="AA321" s="2">
        <v>112.1</v>
      </c>
      <c r="AB321" s="13" t="str">
        <f>HYPERLINK(".\links\pep\AGAP004522-PA-sulf.txt","1")</f>
        <v>1</v>
      </c>
      <c r="AC321" s="13" t="str">
        <f>HYPERLINK(".\links\Sigp\AGAP004522-PA-SigP.txt","CYT")</f>
        <v>CYT</v>
      </c>
      <c r="AD321" s="2" t="s">
        <v>102</v>
      </c>
      <c r="AE321" s="2">
        <v>62.454000000000001</v>
      </c>
      <c r="AF321" s="2">
        <v>6.11</v>
      </c>
      <c r="AG321" s="2" t="s">
        <v>102</v>
      </c>
      <c r="AH321" s="2" t="s">
        <v>102</v>
      </c>
      <c r="AI321" s="2" t="s">
        <v>1942</v>
      </c>
      <c r="AJ321" s="13">
        <v>0</v>
      </c>
      <c r="AK321" s="2" t="s">
        <v>102</v>
      </c>
      <c r="AL321" s="2" t="s">
        <v>102</v>
      </c>
      <c r="AM321" s="2" t="s">
        <v>102</v>
      </c>
      <c r="AN321" s="13" t="str">
        <f>HYPERLINK(".\links\gpi\AGAP004522-PA-gpi.txt","N")</f>
        <v>N</v>
      </c>
      <c r="AO321" s="14" t="str">
        <f>HYPERLINK(".\links\netoglyc\AGAP004522-PA-netoglyc.txt","11")</f>
        <v>11</v>
      </c>
      <c r="AP321" s="13">
        <v>14.7</v>
      </c>
      <c r="AQ321" s="2">
        <v>6.2</v>
      </c>
      <c r="AR321" s="2">
        <v>3.3</v>
      </c>
      <c r="AS321" s="2" t="s">
        <v>104</v>
      </c>
      <c r="AT321" s="9" t="str">
        <f>HYPERLINK(".\links\NR-LIGHT\AGAP004522-PA-NR-LIGHT.txt","AGAP004522-PA")</f>
        <v>AGAP004522-PA</v>
      </c>
      <c r="AU321" s="2" t="str">
        <f>HYPERLINK("http://www.ncbi.nlm.nih.gov/sutils/blink.cgi?pid=XP_313822.4","0.0")</f>
        <v>0.0</v>
      </c>
      <c r="AV321" s="2" t="str">
        <f>HYPERLINK("http://www.ncbi.nlm.nih.gov/protein/XP_313822.4","XP_313822.4")</f>
        <v>XP_313822.4</v>
      </c>
      <c r="AW321" s="2">
        <v>91</v>
      </c>
      <c r="AX321" s="2">
        <v>92</v>
      </c>
      <c r="AY321" s="2">
        <v>108</v>
      </c>
      <c r="AZ321" s="2" t="s">
        <v>105</v>
      </c>
      <c r="BA321" s="9" t="str">
        <f>HYPERLINK(".\links\REFSEQ-INVERTEBRATE\AGAP004522-PA-REFSEQ-INVERTEBRATE.txt","AGAP004522-PA")</f>
        <v>AGAP004522-PA</v>
      </c>
      <c r="BB321" s="2" t="str">
        <f>HYPERLINK("http://www.ncbi.nlm.nih.gov/sutils/blink.cgi?pid=XP_313822.4","0.0")</f>
        <v>0.0</v>
      </c>
      <c r="BC321" s="2" t="str">
        <f>HYPERLINK("http://www.ncbi.nlm.nih.gov/protein/XP_313822.4","XP_313822.4")</f>
        <v>XP_313822.4</v>
      </c>
      <c r="BD321" s="2">
        <v>91</v>
      </c>
      <c r="BE321" s="2">
        <v>92</v>
      </c>
      <c r="BF321" s="2">
        <v>108</v>
      </c>
      <c r="BG321" s="2" t="s">
        <v>105</v>
      </c>
      <c r="BH321" s="9" t="str">
        <f>HYPERLINK(".\links\REFSEQ-PROTOZOA\AGAP004522-PA-REFSEQ-PROTOZOA.txt","TBC1 domain family protein")</f>
        <v>TBC1 domain family protein</v>
      </c>
      <c r="BI321" s="2" t="str">
        <f>HYPERLINK("http://www.ncbi.nlm.nih.gov/sutils/blink.cgi?pid=XP_004364947.1","1E-101")</f>
        <v>1E-101</v>
      </c>
      <c r="BJ321" s="2" t="str">
        <f>HYPERLINK("http://www.ncbi.nlm.nih.gov/protein/XP_004364947.1","XP_004364947.1")</f>
        <v>XP_004364947.1</v>
      </c>
      <c r="BK321" s="2">
        <v>51</v>
      </c>
      <c r="BL321" s="2">
        <v>66</v>
      </c>
      <c r="BM321" s="2">
        <v>63</v>
      </c>
      <c r="BN321" s="2" t="s">
        <v>106</v>
      </c>
      <c r="BO321" s="9" t="str">
        <f>HYPERLINK(".\links\SWISSP\AGAP004522-PA-SWISSP.txt","TBC1 domain family member 22B")</f>
        <v>TBC1 domain family member 22B</v>
      </c>
      <c r="BP321" s="2" t="str">
        <f>HYPERLINK("http://www.uniprot.org/uniprot/Q95LL3","1E-118")</f>
        <v>1E-118</v>
      </c>
      <c r="BQ321" s="2" t="str">
        <f>HYPERLINK("http://www.uniprot.org/uniprot/Q95LL3#expression","Q95LL3")</f>
        <v>Q95LL3</v>
      </c>
      <c r="BR321" s="2">
        <v>47</v>
      </c>
      <c r="BS321" s="2">
        <v>62</v>
      </c>
      <c r="BT321" s="2">
        <v>97</v>
      </c>
      <c r="BU321" s="2" t="s">
        <v>683</v>
      </c>
      <c r="BV321" s="9" t="str">
        <f>HYPERLINK(".\links\FLYBASE\AGAP004522-PA-FLYBASE.txt","FBpp0083411")</f>
        <v>FBpp0083411</v>
      </c>
      <c r="BW321" s="2" t="str">
        <f>HYPERLINK("http://flybase.org/reports/FBgn0038855#alliance_summary_container","0.0")</f>
        <v>0.0</v>
      </c>
      <c r="BX321" s="2">
        <v>546</v>
      </c>
      <c r="BY321" s="2">
        <v>77</v>
      </c>
      <c r="BZ321" s="2">
        <v>85</v>
      </c>
      <c r="CA321" s="2">
        <v>65</v>
      </c>
      <c r="CB321" s="9" t="str">
        <f>HYPERLINK(".\links\CDD\AGAP004522-PA-CDD.txt","TBC, Domain in Tre-2, BUB2p, and Cdc16p")</f>
        <v>TBC, Domain in Tre-2, BUB2p, and Cdc16p</v>
      </c>
      <c r="CC321" s="15">
        <v>8E-41</v>
      </c>
      <c r="CD321" s="2">
        <v>119</v>
      </c>
      <c r="CE321" s="2" t="s">
        <v>3504</v>
      </c>
      <c r="CF321" s="2" t="s">
        <v>3505</v>
      </c>
      <c r="CG321" s="9" t="str">
        <f>HYPERLINK(".\links\KOG\AGAP004522-PA-KOG.txt","Ypt/Rab-specific GTPase-activating protein GYP1")</f>
        <v>Ypt/Rab-specific GTPase-activating protein GYP1</v>
      </c>
      <c r="CH321" s="15">
        <v>9.9999999999999999E-160</v>
      </c>
      <c r="CI321" s="2">
        <v>110.7</v>
      </c>
      <c r="CJ321" s="2" t="s">
        <v>3506</v>
      </c>
      <c r="CK321" s="2" t="s">
        <v>154</v>
      </c>
      <c r="CL321" s="9" t="str">
        <f>HYPERLINK(".\links\PFAM\AGAP004522-PA-PFAM.txt","RabGAP-TBC, Rab-GTPase-TBC domain")</f>
        <v>RabGAP-TBC, Rab-GTPase-TBC domain</v>
      </c>
      <c r="CM321" s="15">
        <v>9.9999999999999993E-40</v>
      </c>
      <c r="CN321" s="2">
        <v>107.7</v>
      </c>
      <c r="CO321" s="2" t="s">
        <v>3507</v>
      </c>
      <c r="CP321" s="9" t="str">
        <f>HYPERLINK(".\links\SMART\AGAP004522-PA-SMART.txt","TBC, Domain in Tre-2, BUB2p, and Cdc16p")</f>
        <v>TBC, Domain in Tre-2, BUB2p, and Cdc16p</v>
      </c>
      <c r="CQ321" s="15">
        <v>6.9999999999999999E-43</v>
      </c>
      <c r="CR321" s="2">
        <v>119</v>
      </c>
      <c r="CS321" s="2" t="s">
        <v>3504</v>
      </c>
      <c r="CT321" s="2" t="s">
        <v>3502</v>
      </c>
      <c r="CU321" s="2" t="s">
        <v>3502</v>
      </c>
      <c r="CV321" s="2" t="s">
        <v>3502</v>
      </c>
      <c r="CW321" s="2" t="str">
        <f>HYPERLINK(".\links\pep\AGAP004522-PA-pep.txt","AGAP004522-PA")</f>
        <v>AGAP004522-PA</v>
      </c>
      <c r="CX321" s="2" t="s">
        <v>95</v>
      </c>
      <c r="CY321" s="2">
        <v>551</v>
      </c>
      <c r="CZ321" s="2" t="s">
        <v>113</v>
      </c>
      <c r="DA321" s="2" t="s">
        <v>3508</v>
      </c>
      <c r="DB321" s="2">
        <v>0</v>
      </c>
      <c r="DC321" s="2">
        <v>0</v>
      </c>
      <c r="DD321" s="2" t="str">
        <f>HYPERLINK("https://www.kegg.jp/kegg-bin/search_pathway_text?map=aga&amp;keyword=AGAP004522&amp;mode=1&amp;viewImage=true","AGAP004522")</f>
        <v>AGAP004522</v>
      </c>
      <c r="DE321" s="2" t="s">
        <v>3498</v>
      </c>
      <c r="DF321" s="2" t="s">
        <v>3499</v>
      </c>
      <c r="DG321" s="2" t="s">
        <v>94</v>
      </c>
      <c r="DH321" s="2" t="str">
        <f>HYPERLINK("https://vectorbase.org/vectorbase/app/record/gene/AGAP004522","AGAP004522-RA")</f>
        <v>AGAP004522-RA</v>
      </c>
      <c r="DI321" s="2" t="s">
        <v>115</v>
      </c>
      <c r="DJ321" s="2">
        <v>2925</v>
      </c>
      <c r="DK321" s="2" t="str">
        <f>HYPERLINK(".\links\netoglyc\AGAP004522-PA-netoglyc.txt","11")</f>
        <v>11</v>
      </c>
      <c r="DL321" s="2">
        <v>14.7</v>
      </c>
      <c r="DM321" s="2">
        <v>6.2</v>
      </c>
      <c r="DN321" s="2">
        <v>3.3</v>
      </c>
      <c r="DO321" s="2" t="s">
        <v>104</v>
      </c>
      <c r="DP321" s="2" t="s">
        <v>102</v>
      </c>
      <c r="DQ321" s="2" t="str">
        <f>HYPERLINK(".\links\Sigp\AGAP004522-PA-SigP.txt","CYT")</f>
        <v>CYT</v>
      </c>
      <c r="DR321" s="2" t="s">
        <v>102</v>
      </c>
      <c r="DS321" s="2">
        <v>62.454000000000001</v>
      </c>
      <c r="DT321" s="2">
        <v>6.11</v>
      </c>
      <c r="DU321" s="2" t="s">
        <v>102</v>
      </c>
      <c r="DV321" s="2" t="s">
        <v>102</v>
      </c>
      <c r="DW321" s="2" t="s">
        <v>1942</v>
      </c>
      <c r="DX321" s="2">
        <v>551</v>
      </c>
      <c r="DY321" s="12">
        <v>0</v>
      </c>
      <c r="DZ321" s="2" t="s">
        <v>102</v>
      </c>
      <c r="EA321" s="2" t="s">
        <v>102</v>
      </c>
      <c r="EB321" s="2" t="s">
        <v>102</v>
      </c>
      <c r="EC321" s="2" t="str">
        <f>HYPERLINK(".\links\gpi\AGAP004522-PA-gpi.txt","N")</f>
        <v>N</v>
      </c>
      <c r="ED321" s="2">
        <v>0.23</v>
      </c>
      <c r="EF321" s="2">
        <v>8</v>
      </c>
      <c r="EG321" s="2" t="str">
        <f>HYPERLINK(".\links\pep\AGAP004522-PA-sulf.txt","1")</f>
        <v>1</v>
      </c>
      <c r="EH321" s="2" t="s">
        <v>102</v>
      </c>
      <c r="EI321" s="2">
        <v>14.7005444646098</v>
      </c>
      <c r="EJ321" s="2">
        <v>3.2667876588021798</v>
      </c>
      <c r="EK321" s="2">
        <v>6.1705989110707797</v>
      </c>
      <c r="EL321" s="2">
        <v>9.4373865698729595</v>
      </c>
      <c r="EM321" s="2" t="s">
        <v>102</v>
      </c>
      <c r="EN321" s="2" t="s">
        <v>102</v>
      </c>
      <c r="EO321" s="2">
        <v>2</v>
      </c>
      <c r="EP321" s="2" t="s">
        <v>102</v>
      </c>
      <c r="EQ321" s="2" t="s">
        <v>102</v>
      </c>
      <c r="ER321" s="2" t="s">
        <v>102</v>
      </c>
      <c r="ES321" s="2" t="s">
        <v>102</v>
      </c>
      <c r="ET321" s="2" t="str">
        <f>HYPERLINK(".\links\REFSEQ-INVERTEBRATE\AGAP004522-PA-REFSEQ-INVERTEBRATE.txt","AGAP004522-PA")</f>
        <v>AGAP004522-PA</v>
      </c>
      <c r="EU321" s="2" t="str">
        <f>HYPERLINK("http://www.ncbi.nlm.nih.gov/sutils/blink.cgi?pid=XP_313822.4","0.0")</f>
        <v>0.0</v>
      </c>
      <c r="EV321" s="2" t="str">
        <f>HYPERLINK("http://www.ncbi.nlm.nih.gov/protein/XP_313822.4","XP_313822.4")</f>
        <v>XP_313822.4</v>
      </c>
      <c r="EW321" s="2">
        <v>92</v>
      </c>
      <c r="EX321" s="2">
        <v>92</v>
      </c>
      <c r="EY321" s="2">
        <v>104</v>
      </c>
      <c r="EZ321" s="2" t="s">
        <v>105</v>
      </c>
    </row>
    <row r="322" spans="1:156" x14ac:dyDescent="0.25">
      <c r="A322" s="2" t="s">
        <v>3509</v>
      </c>
      <c r="B322" s="2">
        <v>0.22047724989829301</v>
      </c>
      <c r="C322" s="2">
        <f t="shared" ref="C322:C385" si="5">2^B322</f>
        <v>1.1651189492249787</v>
      </c>
      <c r="D322" s="2">
        <v>7.2355753820195199</v>
      </c>
      <c r="E322" s="2">
        <v>10.632730932295701</v>
      </c>
      <c r="F322" s="2">
        <v>1.1110352180079301E-3</v>
      </c>
      <c r="G322" s="2">
        <v>3.3690006379902E-2</v>
      </c>
      <c r="H322" s="2" t="s">
        <v>3510</v>
      </c>
      <c r="I322" s="2" t="s">
        <v>94</v>
      </c>
      <c r="J322" s="2" t="str">
        <f>HYPERLINK("https://vectorbase.org/vectorbase/app/record/gene/AGAP004491","AGAP004491-RA")</f>
        <v>AGAP004491-RA</v>
      </c>
      <c r="K322" s="2" t="str">
        <f>HYPERLINK(".\links\pep\AGAP004491-PA-pep.txt","AGAP004491-PA")</f>
        <v>AGAP004491-PA</v>
      </c>
      <c r="L322" s="12" t="s">
        <v>95</v>
      </c>
      <c r="M322" s="2">
        <v>859</v>
      </c>
      <c r="N322" s="2">
        <v>0</v>
      </c>
      <c r="O322" s="2">
        <v>4</v>
      </c>
      <c r="P322" s="2" t="s">
        <v>3511</v>
      </c>
      <c r="Q322" s="9" t="s">
        <v>3512</v>
      </c>
      <c r="R322" s="2" t="s">
        <v>388</v>
      </c>
      <c r="S322" s="2" t="str">
        <f>HYPERLINK(".\links\KOG\AGAP004491-PA-KOG.txt","KOG")</f>
        <v>KOG</v>
      </c>
      <c r="T322" s="2">
        <v>0</v>
      </c>
      <c r="U322" s="2">
        <v>100.7</v>
      </c>
      <c r="V322" s="2" t="s">
        <v>3513</v>
      </c>
      <c r="W322" s="10" t="s">
        <v>3514</v>
      </c>
      <c r="X322" s="2" t="s">
        <v>1221</v>
      </c>
      <c r="Y322" s="2" t="str">
        <f>HYPERLINK(".\links\REFSEQVERTEBRATE95\AGAP004491-PA-REFSEQVERTEBRATE95.txt","REFSEQVERTEBRATE95")</f>
        <v>REFSEQVERTEBRATE95</v>
      </c>
      <c r="Z322" s="2">
        <v>0</v>
      </c>
      <c r="AA322" s="2">
        <v>62</v>
      </c>
      <c r="AB322" s="13" t="str">
        <f>HYPERLINK(".\links\pep\AGAP004491-PA-sulf.txt","2")</f>
        <v>2</v>
      </c>
      <c r="AC322" s="13" t="str">
        <f>HYPERLINK(".\links\Sigp\AGAP004491-PA-SigP.txt","CYT")</f>
        <v>CYT</v>
      </c>
      <c r="AD322" s="2" t="s">
        <v>102</v>
      </c>
      <c r="AE322" s="2">
        <v>96.168999999999997</v>
      </c>
      <c r="AF322" s="2">
        <v>8.84</v>
      </c>
      <c r="AG322" s="2" t="s">
        <v>102</v>
      </c>
      <c r="AH322" s="2" t="s">
        <v>102</v>
      </c>
      <c r="AI322" s="2" t="s">
        <v>211</v>
      </c>
      <c r="AJ322" s="13">
        <v>0</v>
      </c>
      <c r="AK322" s="2" t="s">
        <v>102</v>
      </c>
      <c r="AL322" s="2" t="s">
        <v>102</v>
      </c>
      <c r="AM322" s="2" t="s">
        <v>102</v>
      </c>
      <c r="AN322" s="13" t="str">
        <f>HYPERLINK(".\links\gpi\AGAP004491-PA-gpi.txt","N")</f>
        <v>N</v>
      </c>
      <c r="AO322" s="14" t="str">
        <f>HYPERLINK(".\links\netoglyc\AGAP004491-PA-netoglyc.txt","0")</f>
        <v>0</v>
      </c>
      <c r="AP322" s="13">
        <v>15.4</v>
      </c>
      <c r="AQ322" s="2">
        <v>4.4000000000000004</v>
      </c>
      <c r="AR322" s="2">
        <v>4.9000000000000004</v>
      </c>
      <c r="AS322" s="2" t="s">
        <v>104</v>
      </c>
      <c r="AT322" s="9" t="str">
        <f>HYPERLINK(".\links\NR-LIGHT\AGAP004491-PA-NR-LIGHT.txt","AGAP004491-PA")</f>
        <v>AGAP004491-PA</v>
      </c>
      <c r="AU322" s="2" t="str">
        <f>HYPERLINK("http://www.ncbi.nlm.nih.gov/sutils/blink.cgi?pid=XP_313789.5","0.0")</f>
        <v>0.0</v>
      </c>
      <c r="AV322" s="2" t="str">
        <f>HYPERLINK("http://www.ncbi.nlm.nih.gov/protein/XP_313789.5","XP_313789.5")</f>
        <v>XP_313789.5</v>
      </c>
      <c r="AW322" s="2">
        <v>100</v>
      </c>
      <c r="AX322" s="2">
        <v>100</v>
      </c>
      <c r="AY322" s="2">
        <v>99</v>
      </c>
      <c r="AZ322" s="2" t="s">
        <v>105</v>
      </c>
      <c r="BA322" s="9" t="str">
        <f>HYPERLINK(".\links\REFSEQ-INVERTEBRATE\AGAP004491-PA-REFSEQ-INVERTEBRATE.txt","AGAP004491-PA")</f>
        <v>AGAP004491-PA</v>
      </c>
      <c r="BB322" s="2" t="str">
        <f>HYPERLINK("http://www.ncbi.nlm.nih.gov/sutils/blink.cgi?pid=XP_313789.5","0.0")</f>
        <v>0.0</v>
      </c>
      <c r="BC322" s="2" t="str">
        <f>HYPERLINK("http://www.ncbi.nlm.nih.gov/protein/XP_313789.5","XP_313789.5")</f>
        <v>XP_313789.5</v>
      </c>
      <c r="BD322" s="2">
        <v>100</v>
      </c>
      <c r="BE322" s="2">
        <v>100</v>
      </c>
      <c r="BF322" s="2">
        <v>99</v>
      </c>
      <c r="BG322" s="2" t="s">
        <v>105</v>
      </c>
      <c r="BH322" s="9" t="str">
        <f>HYPERLINK(".\links\REFSEQ-PROTOZOA\AGAP004491-PA-REFSEQ-PROTOZOA.txt","exonuclease 1")</f>
        <v>exonuclease 1</v>
      </c>
      <c r="BI322" s="2" t="str">
        <f>HYPERLINK("http://www.ncbi.nlm.nih.gov/sutils/blink.cgi?pid=XP_004997724.1","1E-070")</f>
        <v>1E-070</v>
      </c>
      <c r="BJ322" s="2" t="str">
        <f>HYPERLINK("http://www.ncbi.nlm.nih.gov/protein/XP_004997724.1","XP_004997724.1")</f>
        <v>XP_004997724.1</v>
      </c>
      <c r="BK322" s="2">
        <v>38</v>
      </c>
      <c r="BL322" s="2">
        <v>55</v>
      </c>
      <c r="BM322" s="2">
        <v>59</v>
      </c>
      <c r="BN322" s="2" t="s">
        <v>435</v>
      </c>
      <c r="BO322" s="9" t="str">
        <f>HYPERLINK(".\links\SWISSP\AGAP004491-PA-SWISSP.txt","Exonuclease 1")</f>
        <v>Exonuclease 1</v>
      </c>
      <c r="BP322" s="2" t="str">
        <f>HYPERLINK("http://www.uniprot.org/uniprot/Q24558","1E-146")</f>
        <v>1E-146</v>
      </c>
      <c r="BQ322" s="2" t="str">
        <f>HYPERLINK("http://www.uniprot.org/uniprot/Q24558#expression","Q24558")</f>
        <v>Q24558</v>
      </c>
      <c r="BR322" s="2">
        <v>39</v>
      </c>
      <c r="BS322" s="2">
        <v>53</v>
      </c>
      <c r="BT322" s="2">
        <v>119</v>
      </c>
      <c r="BU322" s="2" t="s">
        <v>107</v>
      </c>
      <c r="BV322" s="9" t="str">
        <f>HYPERLINK(".\links\FLYBASE\AGAP004491-PA-FLYBASE.txt","FBpp0080675")</f>
        <v>FBpp0080675</v>
      </c>
      <c r="BW322" s="2" t="str">
        <f>HYPERLINK("http://flybase.org/reports/FBgn0015553#alliance_summary_container","1E-180")</f>
        <v>1E-180</v>
      </c>
      <c r="BX322" s="2">
        <v>732</v>
      </c>
      <c r="BY322" s="2">
        <v>61</v>
      </c>
      <c r="BZ322" s="2">
        <v>78</v>
      </c>
      <c r="CA322" s="2">
        <v>54</v>
      </c>
      <c r="CB322" s="9" t="str">
        <f>HYPERLINK(".\links\CDD\AGAP004491-PA-CDD.txt","PIN_EXO1, PIN domain of Exonuclease-1, a structure-specific, divalent-metal-ion dependent, 5' nuclease and homologs")</f>
        <v>PIN_EXO1, PIN domain of Exonuclease-1, a structure-specific, divalent-metal-ion dependent, 5' nuclease and homologs</v>
      </c>
      <c r="CC322" s="15">
        <v>2E-95</v>
      </c>
      <c r="CD322" s="2">
        <v>97.1</v>
      </c>
      <c r="CE322" s="2" t="s">
        <v>3515</v>
      </c>
      <c r="CF322" s="2" t="s">
        <v>3516</v>
      </c>
      <c r="CG322" s="9" t="str">
        <f>HYPERLINK(".\links\KOG\AGAP004491-PA-KOG.txt","5'-3' exonuclease")</f>
        <v>5'-3' exonuclease</v>
      </c>
      <c r="CH322" s="15">
        <v>9.9999999999999998E-122</v>
      </c>
      <c r="CI322" s="2">
        <v>100.7</v>
      </c>
      <c r="CJ322" s="2" t="s">
        <v>3517</v>
      </c>
      <c r="CK322" s="2" t="s">
        <v>427</v>
      </c>
      <c r="CL322" s="9" t="str">
        <f>HYPERLINK(".\links\PFAM\AGAP004491-PA-PFAM.txt","XPG_I, XPG I-region")</f>
        <v>XPG_I, XPG I-region</v>
      </c>
      <c r="CM322" s="15">
        <v>2.0000000000000001E-25</v>
      </c>
      <c r="CN322" s="2">
        <v>100</v>
      </c>
      <c r="CO322" s="2" t="s">
        <v>3518</v>
      </c>
      <c r="CP322" s="9" t="str">
        <f>HYPERLINK(".\links\SMART\AGAP004491-PA-SMART.txt","XPGN, Xeroderma pigmentosum G N-region")</f>
        <v>XPGN, Xeroderma pigmentosum G N-region</v>
      </c>
      <c r="CQ322" s="15">
        <v>2.0000000000000001E-32</v>
      </c>
      <c r="CR322" s="2">
        <v>100</v>
      </c>
      <c r="CS322" s="2" t="s">
        <v>1184</v>
      </c>
      <c r="CT322" s="2" t="s">
        <v>3513</v>
      </c>
      <c r="CU322" s="2" t="s">
        <v>3513</v>
      </c>
      <c r="CV322" s="2" t="s">
        <v>3513</v>
      </c>
      <c r="CW322" s="2" t="str">
        <f>HYPERLINK(".\links\pep\AGAP004491-PA-pep.txt","AGAP004491-PA")</f>
        <v>AGAP004491-PA</v>
      </c>
      <c r="CX322" s="2" t="s">
        <v>95</v>
      </c>
      <c r="CY322" s="2">
        <v>859</v>
      </c>
      <c r="CZ322" s="2" t="s">
        <v>113</v>
      </c>
      <c r="DA322" s="2" t="s">
        <v>3519</v>
      </c>
      <c r="DB322" s="2">
        <v>0</v>
      </c>
      <c r="DC322" s="2">
        <v>4</v>
      </c>
      <c r="DD322" s="2" t="str">
        <f>HYPERLINK("https://www.kegg.jp/kegg-bin/search_pathway_text?map=aga&amp;keyword=AGAP004491&amp;mode=1&amp;viewImage=true","AGAP004491")</f>
        <v>AGAP004491</v>
      </c>
      <c r="DE322" s="2" t="s">
        <v>3509</v>
      </c>
      <c r="DF322" s="2" t="s">
        <v>3510</v>
      </c>
      <c r="DG322" s="2" t="s">
        <v>94</v>
      </c>
      <c r="DH322" s="2" t="str">
        <f>HYPERLINK("https://vectorbase.org/vectorbase/app/record/gene/AGAP004491","AGAP004491-RA")</f>
        <v>AGAP004491-RA</v>
      </c>
      <c r="DI322" s="2" t="s">
        <v>115</v>
      </c>
      <c r="DJ322" s="2">
        <v>2795</v>
      </c>
      <c r="DK322" s="2" t="str">
        <f>HYPERLINK(".\links\netoglyc\AGAP004491-PA-netoglyc.txt","0")</f>
        <v>0</v>
      </c>
      <c r="DL322" s="2">
        <v>15.4</v>
      </c>
      <c r="DM322" s="2">
        <v>4.4000000000000004</v>
      </c>
      <c r="DN322" s="2">
        <v>4.9000000000000004</v>
      </c>
      <c r="DO322" s="2" t="s">
        <v>104</v>
      </c>
      <c r="DP322" s="2" t="s">
        <v>3520</v>
      </c>
      <c r="DQ322" s="2" t="str">
        <f>HYPERLINK(".\links\Sigp\AGAP004491-PA-SigP.txt","CYT")</f>
        <v>CYT</v>
      </c>
      <c r="DR322" s="2" t="s">
        <v>102</v>
      </c>
      <c r="DS322" s="2">
        <v>96.168999999999997</v>
      </c>
      <c r="DT322" s="2">
        <v>8.84</v>
      </c>
      <c r="DU322" s="2" t="s">
        <v>102</v>
      </c>
      <c r="DV322" s="2" t="s">
        <v>102</v>
      </c>
      <c r="DW322" s="2" t="s">
        <v>211</v>
      </c>
      <c r="DX322" s="2">
        <v>859</v>
      </c>
      <c r="DY322" s="12">
        <v>0</v>
      </c>
      <c r="DZ322" s="2" t="s">
        <v>102</v>
      </c>
      <c r="EA322" s="2" t="s">
        <v>102</v>
      </c>
      <c r="EB322" s="2" t="s">
        <v>102</v>
      </c>
      <c r="EC322" s="2" t="str">
        <f>HYPERLINK(".\links\gpi\AGAP004491-PA-gpi.txt","N")</f>
        <v>N</v>
      </c>
      <c r="ED322" s="2">
        <v>0.17</v>
      </c>
      <c r="EF322" s="2">
        <v>23</v>
      </c>
      <c r="EG322" s="2" t="str">
        <f>HYPERLINK(".\links\pep\AGAP004491-PA-sulf.txt","2")</f>
        <v>2</v>
      </c>
      <c r="EH322" s="2" t="s">
        <v>102</v>
      </c>
      <c r="EI322" s="2">
        <v>15.3667054714785</v>
      </c>
      <c r="EJ322" s="2">
        <v>4.8894062863795096</v>
      </c>
      <c r="EK322" s="2">
        <v>4.4237485448195599</v>
      </c>
      <c r="EL322" s="2">
        <v>9.3131548311990695</v>
      </c>
      <c r="EM322" s="2">
        <v>1</v>
      </c>
      <c r="EN322" s="2">
        <v>2</v>
      </c>
      <c r="EO322" s="2">
        <v>3</v>
      </c>
      <c r="EP322" s="2" t="s">
        <v>102</v>
      </c>
      <c r="EQ322" s="2" t="s">
        <v>102</v>
      </c>
      <c r="ER322" s="2" t="s">
        <v>102</v>
      </c>
      <c r="ES322" s="2" t="s">
        <v>102</v>
      </c>
      <c r="ET322" s="2" t="str">
        <f>HYPERLINK(".\links\REFSEQ-INVERTEBRATE\AGAP004491-PA-REFSEQ-INVERTEBRATE.txt","AGAP004491-PA")</f>
        <v>AGAP004491-PA</v>
      </c>
      <c r="EU322" s="2" t="str">
        <f>HYPERLINK("http://www.ncbi.nlm.nih.gov/sutils/blink.cgi?pid=XP_313789.5","0.0")</f>
        <v>0.0</v>
      </c>
      <c r="EV322" s="2" t="str">
        <f>HYPERLINK("http://www.ncbi.nlm.nih.gov/protein/XP_313789.5","XP_313789.5")</f>
        <v>XP_313789.5</v>
      </c>
      <c r="EW322" s="2">
        <v>100</v>
      </c>
      <c r="EX322" s="2">
        <v>100</v>
      </c>
      <c r="EY322" s="2">
        <v>99</v>
      </c>
      <c r="EZ322" s="2" t="s">
        <v>105</v>
      </c>
    </row>
    <row r="323" spans="1:156" x14ac:dyDescent="0.25">
      <c r="A323" s="2" t="s">
        <v>3521</v>
      </c>
      <c r="B323" s="2">
        <v>0.21800666674275601</v>
      </c>
      <c r="C323" s="2">
        <f t="shared" si="5"/>
        <v>1.1631254163774636</v>
      </c>
      <c r="D323" s="2">
        <v>6.0072817419369198</v>
      </c>
      <c r="E323" s="2">
        <v>9.4937597375359495</v>
      </c>
      <c r="F323" s="2">
        <v>2.0617190304172799E-3</v>
      </c>
      <c r="G323" s="2">
        <v>4.4170089227744E-2</v>
      </c>
      <c r="H323" s="2" t="s">
        <v>3522</v>
      </c>
      <c r="I323" s="2" t="s">
        <v>94</v>
      </c>
      <c r="J323" s="2" t="str">
        <f>HYPERLINK("https://vectorbase.org/vectorbase/app/record/gene/AGAP004091","AGAP004091-RA")</f>
        <v>AGAP004091-RA</v>
      </c>
      <c r="K323" s="2" t="str">
        <f>HYPERLINK(".\links\pep\AGAP004091-PA-pep.txt","AGAP004091-PA")</f>
        <v>AGAP004091-PA</v>
      </c>
      <c r="L323" s="12" t="s">
        <v>95</v>
      </c>
      <c r="M323" s="2">
        <v>458</v>
      </c>
      <c r="N323" s="2">
        <v>0</v>
      </c>
      <c r="O323" s="2">
        <v>0</v>
      </c>
      <c r="P323" s="2" t="s">
        <v>3523</v>
      </c>
      <c r="Q323" s="9" t="s">
        <v>3524</v>
      </c>
      <c r="R323" s="2" t="s">
        <v>672</v>
      </c>
      <c r="S323" s="2" t="str">
        <f>HYPERLINK(".\links\KOG\AGAP004091-PA-KOG.txt","KOG")</f>
        <v>KOG</v>
      </c>
      <c r="T323" s="2">
        <v>1.9999999999999999E-48</v>
      </c>
      <c r="U323" s="2">
        <v>92.1</v>
      </c>
      <c r="V323" s="2" t="s">
        <v>3525</v>
      </c>
      <c r="W323" s="10" t="s">
        <v>3526</v>
      </c>
      <c r="X323" s="2" t="s">
        <v>672</v>
      </c>
      <c r="Y323" s="2" t="str">
        <f>HYPERLINK(".\links\ARTHORPODA\AGAP004091-PA-ARTHORPODA.txt","ARTHORPODA")</f>
        <v>ARTHORPODA</v>
      </c>
      <c r="Z323" s="2">
        <v>0</v>
      </c>
      <c r="AA323" s="2">
        <v>100</v>
      </c>
      <c r="AB323" s="13" t="s">
        <v>102</v>
      </c>
      <c r="AC323" s="13" t="str">
        <f>HYPERLINK(".\links\Sigp\AGAP004091-PA-SigP.txt","CYT")</f>
        <v>CYT</v>
      </c>
      <c r="AD323" s="2" t="s">
        <v>102</v>
      </c>
      <c r="AE323" s="2">
        <v>51.784999999999997</v>
      </c>
      <c r="AF323" s="2">
        <v>9.86</v>
      </c>
      <c r="AG323" s="2" t="s">
        <v>102</v>
      </c>
      <c r="AH323" s="2" t="s">
        <v>102</v>
      </c>
      <c r="AI323" s="2" t="s">
        <v>3327</v>
      </c>
      <c r="AJ323" s="13">
        <v>0</v>
      </c>
      <c r="AK323" s="2" t="s">
        <v>102</v>
      </c>
      <c r="AL323" s="2" t="s">
        <v>102</v>
      </c>
      <c r="AM323" s="2" t="s">
        <v>102</v>
      </c>
      <c r="AN323" s="13" t="str">
        <f>HYPERLINK(".\links\gpi\AGAP004091-PA-gpi.txt","N")</f>
        <v>N</v>
      </c>
      <c r="AO323" s="14" t="str">
        <f>HYPERLINK(".\links\netoglyc\AGAP004091-PA-netoglyc.txt","0")</f>
        <v>0</v>
      </c>
      <c r="AP323" s="13">
        <v>10</v>
      </c>
      <c r="AQ323" s="2">
        <v>9.4</v>
      </c>
      <c r="AR323" s="2">
        <v>4.5999999999999996</v>
      </c>
      <c r="AS323" s="2" t="s">
        <v>104</v>
      </c>
      <c r="AT323" s="9" t="str">
        <f>HYPERLINK(".\links\NR-LIGHT\AGAP004091-PA-NR-LIGHT.txt","AGAP004091-PA")</f>
        <v>AGAP004091-PA</v>
      </c>
      <c r="AU323" s="2" t="str">
        <f>HYPERLINK("http://www.ncbi.nlm.nih.gov/sutils/blink.cgi?pid=XP_312962.4","0.0")</f>
        <v>0.0</v>
      </c>
      <c r="AV323" s="2" t="str">
        <f>HYPERLINK("http://www.ncbi.nlm.nih.gov/protein/XP_312962.4","XP_312962.4")</f>
        <v>XP_312962.4</v>
      </c>
      <c r="AW323" s="2">
        <v>100</v>
      </c>
      <c r="AX323" s="2">
        <v>100</v>
      </c>
      <c r="AY323" s="2">
        <v>100</v>
      </c>
      <c r="AZ323" s="2" t="s">
        <v>105</v>
      </c>
      <c r="BA323" s="9" t="str">
        <f>HYPERLINK(".\links\REFSEQ-INVERTEBRATE\AGAP004091-PA-REFSEQ-INVERTEBRATE.txt","AGAP004091-PA")</f>
        <v>AGAP004091-PA</v>
      </c>
      <c r="BB323" s="2" t="str">
        <f>HYPERLINK("http://www.ncbi.nlm.nih.gov/sutils/blink.cgi?pid=XP_312962.4","0.0")</f>
        <v>0.0</v>
      </c>
      <c r="BC323" s="2" t="str">
        <f>HYPERLINK("http://www.ncbi.nlm.nih.gov/protein/XP_312962.4","XP_312962.4")</f>
        <v>XP_312962.4</v>
      </c>
      <c r="BD323" s="2">
        <v>100</v>
      </c>
      <c r="BE323" s="2">
        <v>100</v>
      </c>
      <c r="BF323" s="2">
        <v>100</v>
      </c>
      <c r="BG323" s="2" t="s">
        <v>105</v>
      </c>
      <c r="BH323" s="9" t="str">
        <f>HYPERLINK(".\links\REFSEQ-PROTOZOA\AGAP004091-PA-REFSEQ-PROTOZOA.txt","hypothetical protein EMIHUDRAFT_440718")</f>
        <v>hypothetical protein EMIHUDRAFT_440718</v>
      </c>
      <c r="BI323" s="2" t="str">
        <f>HYPERLINK("http://www.ncbi.nlm.nih.gov/sutils/blink.cgi?pid=XP_005788429.1","2E-017")</f>
        <v>2E-017</v>
      </c>
      <c r="BJ323" s="2" t="str">
        <f>HYPERLINK("http://www.ncbi.nlm.nih.gov/protein/XP_005788429.1","XP_005788429.1")</f>
        <v>XP_005788429.1</v>
      </c>
      <c r="BK323" s="2">
        <v>32</v>
      </c>
      <c r="BL323" s="2">
        <v>49</v>
      </c>
      <c r="BM323" s="2">
        <v>45</v>
      </c>
      <c r="BN323" s="2" t="s">
        <v>169</v>
      </c>
      <c r="BO323" s="9" t="str">
        <f>HYPERLINK(".\links\SWISSP\AGAP004091-PA-SWISSP.txt","28S ribosomal protein S5, mitochondrial")</f>
        <v>28S ribosomal protein S5, mitochondrial</v>
      </c>
      <c r="BP323" s="2" t="str">
        <f>HYPERLINK("http://www.uniprot.org/uniprot/Q99N87","1E-069")</f>
        <v>1E-069</v>
      </c>
      <c r="BQ323" s="2" t="str">
        <f>HYPERLINK("http://www.uniprot.org/uniprot/Q99N87#expression","Q99N87")</f>
        <v>Q99N87</v>
      </c>
      <c r="BR323" s="2">
        <v>42</v>
      </c>
      <c r="BS323" s="2">
        <v>63</v>
      </c>
      <c r="BT323" s="2">
        <v>74</v>
      </c>
      <c r="BU323" s="2" t="s">
        <v>662</v>
      </c>
      <c r="BV323" s="9" t="str">
        <f>HYPERLINK(".\links\FLYBASE\AGAP004091-PA-FLYBASE.txt","FBpp0110438")</f>
        <v>FBpp0110438</v>
      </c>
      <c r="BW323" s="2" t="str">
        <f>HYPERLINK("http://flybase.org/reports/FBgn0287187#alliance_summary_container","1E-146")</f>
        <v>1E-146</v>
      </c>
      <c r="BX323" s="2">
        <v>407</v>
      </c>
      <c r="BY323" s="2">
        <v>53</v>
      </c>
      <c r="BZ323" s="2">
        <v>71</v>
      </c>
      <c r="CA323" s="2">
        <v>93</v>
      </c>
      <c r="CB323" s="9" t="str">
        <f>HYPERLINK(".\links\CDD\AGAP004091-PA-CDD.txt","RpsE, Ribosomal protein S5")</f>
        <v>RpsE, Ribosomal protein S5</v>
      </c>
      <c r="CC323" s="15">
        <v>1E-26</v>
      </c>
      <c r="CD323" s="2">
        <v>86.7</v>
      </c>
      <c r="CE323" s="2" t="s">
        <v>3527</v>
      </c>
      <c r="CF323" s="2" t="s">
        <v>3528</v>
      </c>
      <c r="CG323" s="9" t="str">
        <f>HYPERLINK(".\links\KOG\AGAP004091-PA-KOG.txt","Ribosomal protein S5")</f>
        <v>Ribosomal protein S5</v>
      </c>
      <c r="CH323" s="15">
        <v>1.9999999999999999E-48</v>
      </c>
      <c r="CI323" s="2">
        <v>92.2</v>
      </c>
      <c r="CJ323" s="2" t="s">
        <v>3529</v>
      </c>
      <c r="CK323" s="2" t="s">
        <v>678</v>
      </c>
      <c r="CL323" s="9" t="str">
        <f>HYPERLINK(".\links\PFAM\AGAP004091-PA-PFAM.txt","Ribosomal_S5_C, Ribosomal protein S5, C-terminal domain")</f>
        <v>Ribosomal_S5_C, Ribosomal protein S5, C-terminal domain</v>
      </c>
      <c r="CM323" s="15">
        <v>3.9999999999999996E-21</v>
      </c>
      <c r="CN323" s="2">
        <v>97.2</v>
      </c>
      <c r="CO323" s="2" t="s">
        <v>3530</v>
      </c>
      <c r="CP323" s="9" t="str">
        <f>HYPERLINK(".\links\SMART\AGAP004091-PA-SMART.txt","SERPIN, SERine Proteinase INhibitors")</f>
        <v>SERPIN, SERine Proteinase INhibitors</v>
      </c>
      <c r="CQ323" s="15">
        <v>0.83</v>
      </c>
      <c r="CR323" s="2">
        <v>15</v>
      </c>
      <c r="CS323" s="2" t="s">
        <v>3531</v>
      </c>
      <c r="CT323" s="2" t="s">
        <v>3525</v>
      </c>
      <c r="CU323" s="2" t="s">
        <v>3525</v>
      </c>
      <c r="CV323" s="2" t="s">
        <v>3525</v>
      </c>
      <c r="CW323" s="2" t="str">
        <f>HYPERLINK(".\links\pep\AGAP004091-PA-pep.txt","AGAP004091-PA")</f>
        <v>AGAP004091-PA</v>
      </c>
      <c r="CX323" s="2" t="s">
        <v>95</v>
      </c>
      <c r="CY323" s="2">
        <v>458</v>
      </c>
      <c r="CZ323" s="2" t="s">
        <v>113</v>
      </c>
      <c r="DA323" s="2" t="s">
        <v>3532</v>
      </c>
      <c r="DB323" s="2">
        <v>0</v>
      </c>
      <c r="DC323" s="2">
        <v>0</v>
      </c>
      <c r="DD323" s="2" t="str">
        <f>HYPERLINK("https://www.kegg.jp/kegg-bin/search_pathway_text?map=aga&amp;keyword=AGAP004091&amp;mode=1&amp;viewImage=true","AGAP004091")</f>
        <v>AGAP004091</v>
      </c>
      <c r="DE323" s="2" t="s">
        <v>3521</v>
      </c>
      <c r="DF323" s="2" t="s">
        <v>3522</v>
      </c>
      <c r="DG323" s="2" t="s">
        <v>94</v>
      </c>
      <c r="DH323" s="2" t="str">
        <f>HYPERLINK("https://vectorbase.org/vectorbase/app/record/gene/AGAP004091","AGAP004091-RA")</f>
        <v>AGAP004091-RA</v>
      </c>
      <c r="DI323" s="2" t="s">
        <v>135</v>
      </c>
      <c r="DJ323" s="2">
        <v>1570</v>
      </c>
      <c r="DK323" s="2" t="str">
        <f>HYPERLINK(".\links\netoglyc\AGAP004091-PA-netoglyc.txt","0")</f>
        <v>0</v>
      </c>
      <c r="DL323" s="2">
        <v>10</v>
      </c>
      <c r="DM323" s="2">
        <v>9.4</v>
      </c>
      <c r="DN323" s="2">
        <v>4.5999999999999996</v>
      </c>
      <c r="DO323" s="2" t="s">
        <v>104</v>
      </c>
      <c r="DP323" s="2" t="s">
        <v>3533</v>
      </c>
      <c r="DQ323" s="2" t="str">
        <f>HYPERLINK(".\links\Sigp\AGAP004091-PA-SigP.txt","CYT")</f>
        <v>CYT</v>
      </c>
      <c r="DR323" s="2" t="s">
        <v>102</v>
      </c>
      <c r="DS323" s="2">
        <v>51.784999999999997</v>
      </c>
      <c r="DT323" s="2">
        <v>9.86</v>
      </c>
      <c r="DU323" s="2" t="s">
        <v>102</v>
      </c>
      <c r="DV323" s="2" t="s">
        <v>102</v>
      </c>
      <c r="DW323" s="2" t="s">
        <v>3327</v>
      </c>
      <c r="DX323" s="2">
        <v>458</v>
      </c>
      <c r="DY323" s="12">
        <v>0</v>
      </c>
      <c r="DZ323" s="2" t="s">
        <v>102</v>
      </c>
      <c r="EA323" s="2" t="s">
        <v>102</v>
      </c>
      <c r="EB323" s="2" t="s">
        <v>102</v>
      </c>
      <c r="EC323" s="2" t="str">
        <f>HYPERLINK(".\links\gpi\AGAP004091-PA-gpi.txt","N")</f>
        <v>N</v>
      </c>
      <c r="ED323" s="2">
        <v>0.26</v>
      </c>
      <c r="EF323" s="2">
        <v>11</v>
      </c>
      <c r="EG323" s="2" t="s">
        <v>102</v>
      </c>
      <c r="EH323" s="2" t="s">
        <v>102</v>
      </c>
      <c r="EI323" s="2">
        <v>10.0436681222707</v>
      </c>
      <c r="EJ323" s="2">
        <v>4.5851528384279501</v>
      </c>
      <c r="EK323" s="2">
        <v>9.3886462882096104</v>
      </c>
      <c r="EL323" s="2">
        <v>13.9737991266376</v>
      </c>
      <c r="EM323" s="2">
        <v>1</v>
      </c>
      <c r="EN323" s="2">
        <v>5</v>
      </c>
      <c r="EO323" s="2">
        <v>6</v>
      </c>
      <c r="EP323" s="2" t="s">
        <v>102</v>
      </c>
      <c r="EQ323" s="2" t="s">
        <v>102</v>
      </c>
      <c r="ER323" s="2" t="s">
        <v>102</v>
      </c>
      <c r="ES323" s="2" t="s">
        <v>102</v>
      </c>
      <c r="ET323" s="2" t="str">
        <f>HYPERLINK(".\links\REFSEQ-INVERTEBRATE\AGAP004091-PA-REFSEQ-INVERTEBRATE.txt","AGAP004091-PA")</f>
        <v>AGAP004091-PA</v>
      </c>
      <c r="EU323" s="2" t="str">
        <f>HYPERLINK("http://www.ncbi.nlm.nih.gov/sutils/blink.cgi?pid=XP_312962.4","0.0")</f>
        <v>0.0</v>
      </c>
      <c r="EV323" s="2" t="str">
        <f>HYPERLINK("http://www.ncbi.nlm.nih.gov/protein/XP_312962.4","XP_312962.4")</f>
        <v>XP_312962.4</v>
      </c>
      <c r="EW323" s="2">
        <v>100</v>
      </c>
      <c r="EX323" s="2">
        <v>100</v>
      </c>
      <c r="EY323" s="2">
        <v>100</v>
      </c>
      <c r="EZ323" s="2" t="s">
        <v>105</v>
      </c>
    </row>
    <row r="324" spans="1:156" x14ac:dyDescent="0.25">
      <c r="A324" s="2" t="s">
        <v>3534</v>
      </c>
      <c r="B324" s="2">
        <v>0.21098283464297399</v>
      </c>
      <c r="C324" s="2">
        <f t="shared" si="5"/>
        <v>1.1574764451159107</v>
      </c>
      <c r="D324" s="2">
        <v>7.6873827242739399</v>
      </c>
      <c r="E324" s="2">
        <v>9.2673120745489701</v>
      </c>
      <c r="F324" s="2">
        <v>2.3327980511697001E-3</v>
      </c>
      <c r="G324" s="2">
        <v>4.58876742400747E-2</v>
      </c>
      <c r="H324" s="2" t="s">
        <v>3535</v>
      </c>
      <c r="I324" s="2" t="s">
        <v>94</v>
      </c>
      <c r="J324" s="2" t="str">
        <f>HYPERLINK("https://vectorbase.org/vectorbase/app/record/gene/AGAP010494","AGAP010494-RA")</f>
        <v>AGAP010494-RA</v>
      </c>
      <c r="K324" s="2" t="str">
        <f>HYPERLINK(".\links\pep\AGAP010494-PA-pep.txt","AGAP010494-PA")</f>
        <v>AGAP010494-PA</v>
      </c>
      <c r="L324" s="12" t="s">
        <v>95</v>
      </c>
      <c r="M324" s="2">
        <v>314</v>
      </c>
      <c r="N324" s="2">
        <v>0</v>
      </c>
      <c r="O324" s="2">
        <v>1</v>
      </c>
      <c r="P324" s="2" t="s">
        <v>3536</v>
      </c>
      <c r="Q324" s="9" t="s">
        <v>3537</v>
      </c>
      <c r="R324" s="2" t="s">
        <v>355</v>
      </c>
      <c r="S324" s="2" t="str">
        <f>HYPERLINK(".\links\KOG\AGAP010494-PA-KOG.txt","KOG")</f>
        <v>KOG</v>
      </c>
      <c r="T324" s="2">
        <v>0</v>
      </c>
      <c r="U324" s="2">
        <v>82</v>
      </c>
      <c r="V324" s="2" t="s">
        <v>3538</v>
      </c>
      <c r="W324" s="10" t="s">
        <v>3539</v>
      </c>
      <c r="X324" s="2" t="s">
        <v>355</v>
      </c>
      <c r="Y324" s="2" t="str">
        <f>HYPERLINK(".\links\KOG\AGAP010494-PA-KOG.txt","KOG")</f>
        <v>KOG</v>
      </c>
      <c r="Z324" s="15">
        <v>0</v>
      </c>
      <c r="AA324" s="2">
        <v>74</v>
      </c>
      <c r="AB324" s="13" t="s">
        <v>102</v>
      </c>
      <c r="AC324" s="13" t="str">
        <f>HYPERLINK(".\links\Sigp\AGAP010494-PA-SigP.txt","CYT")</f>
        <v>CYT</v>
      </c>
      <c r="AD324" s="2" t="s">
        <v>102</v>
      </c>
      <c r="AE324" s="2">
        <v>34.951000000000001</v>
      </c>
      <c r="AF324" s="2">
        <v>6.27</v>
      </c>
      <c r="AG324" s="2" t="s">
        <v>102</v>
      </c>
      <c r="AH324" s="2" t="s">
        <v>102</v>
      </c>
      <c r="AI324" s="2" t="s">
        <v>211</v>
      </c>
      <c r="AJ324" s="13">
        <v>0</v>
      </c>
      <c r="AK324" s="2" t="s">
        <v>102</v>
      </c>
      <c r="AL324" s="2" t="s">
        <v>102</v>
      </c>
      <c r="AM324" s="2" t="s">
        <v>102</v>
      </c>
      <c r="AN324" s="13" t="str">
        <f>HYPERLINK(".\links\gpi\AGAP010494-PA-gpi.txt","N")</f>
        <v>N</v>
      </c>
      <c r="AO324" s="14" t="str">
        <f>HYPERLINK(".\links\netoglyc\AGAP010494-PA-netoglyc.txt","0")</f>
        <v>0</v>
      </c>
      <c r="AP324" s="13">
        <v>15</v>
      </c>
      <c r="AQ324" s="2">
        <v>6.7</v>
      </c>
      <c r="AR324" s="2">
        <v>4.8</v>
      </c>
      <c r="AS324" s="2" t="s">
        <v>104</v>
      </c>
      <c r="AT324" s="9" t="str">
        <f>HYPERLINK(".\links\NR-LIGHT\AGAP010494-PA-NR-LIGHT.txt","AGAP010494-PA")</f>
        <v>AGAP010494-PA</v>
      </c>
      <c r="AU324" s="2" t="str">
        <f>HYPERLINK("http://www.ncbi.nlm.nih.gov/sutils/blink.cgi?pid=XP_314468.4","1E-175")</f>
        <v>1E-175</v>
      </c>
      <c r="AV324" s="2" t="str">
        <f>HYPERLINK("http://www.ncbi.nlm.nih.gov/protein/XP_314468.4","XP_314468.4")</f>
        <v>XP_314468.4</v>
      </c>
      <c r="AW324" s="2">
        <v>100</v>
      </c>
      <c r="AX324" s="2">
        <v>100</v>
      </c>
      <c r="AY324" s="2">
        <v>100</v>
      </c>
      <c r="AZ324" s="2" t="s">
        <v>105</v>
      </c>
      <c r="BA324" s="9" t="str">
        <f>HYPERLINK(".\links\REFSEQ-INVERTEBRATE\AGAP010494-PA-REFSEQ-INVERTEBRATE.txt","AGAP010494-PA")</f>
        <v>AGAP010494-PA</v>
      </c>
      <c r="BB324" s="2" t="str">
        <f>HYPERLINK("http://www.ncbi.nlm.nih.gov/sutils/blink.cgi?pid=XP_314468.4","1E-175")</f>
        <v>1E-175</v>
      </c>
      <c r="BC324" s="2" t="str">
        <f>HYPERLINK("http://www.ncbi.nlm.nih.gov/protein/XP_314468.4","XP_314468.4")</f>
        <v>XP_314468.4</v>
      </c>
      <c r="BD324" s="2">
        <v>100</v>
      </c>
      <c r="BE324" s="2">
        <v>100</v>
      </c>
      <c r="BF324" s="2">
        <v>100</v>
      </c>
      <c r="BG324" s="2" t="s">
        <v>105</v>
      </c>
      <c r="BH324" s="9" t="str">
        <f>HYPERLINK(".\links\REFSEQ-PROTOZOA\AGAP010494-PA-REFSEQ-PROTOZOA.txt","hypothetical protein CAOG_08417")</f>
        <v>hypothetical protein CAOG_08417</v>
      </c>
      <c r="BI324" s="2" t="str">
        <f>HYPERLINK("http://www.ncbi.nlm.nih.gov/sutils/blink.cgi?pid=XP_011269988.1","2E-007")</f>
        <v>2E-007</v>
      </c>
      <c r="BJ324" s="2" t="str">
        <f>HYPERLINK("http://www.ncbi.nlm.nih.gov/protein/XP_011269988.1","XP_011269988.1")</f>
        <v>XP_011269988.1</v>
      </c>
      <c r="BK324" s="2">
        <v>19</v>
      </c>
      <c r="BL324" s="2">
        <v>40</v>
      </c>
      <c r="BM324" s="2">
        <v>45</v>
      </c>
      <c r="BN324" s="2" t="s">
        <v>106</v>
      </c>
      <c r="BO324" s="9" t="str">
        <f>HYPERLINK(".\links\SWISSP\AGAP010494-PA-SWISSP.txt","Partitioning defective 6 homolog beta")</f>
        <v>Partitioning defective 6 homolog beta</v>
      </c>
      <c r="BP324" s="2" t="str">
        <f>HYPERLINK("http://www.uniprot.org/uniprot/Q9JK83","2E-080")</f>
        <v>2E-080</v>
      </c>
      <c r="BQ324" s="2" t="str">
        <f>HYPERLINK("http://www.uniprot.org/uniprot/Q9JK83#expression","Q9JK83")</f>
        <v>Q9JK83</v>
      </c>
      <c r="BR324" s="2">
        <v>58</v>
      </c>
      <c r="BS324" s="2">
        <v>72</v>
      </c>
      <c r="BT324" s="2">
        <v>78</v>
      </c>
      <c r="BU324" s="2" t="s">
        <v>662</v>
      </c>
      <c r="BV324" s="9" t="str">
        <f>HYPERLINK(".\links\FLYBASE\AGAP010494-PA-FLYBASE.txt","FBpp0074230")</f>
        <v>FBpp0074230</v>
      </c>
      <c r="BW324" s="2" t="str">
        <f>HYPERLINK("http://flybase.org/reports/FBgn0026192#alliance_summary_container","1E-160")</f>
        <v>1E-160</v>
      </c>
      <c r="BX324" s="2">
        <v>351</v>
      </c>
      <c r="BY324" s="2">
        <v>75</v>
      </c>
      <c r="BZ324" s="2">
        <v>84</v>
      </c>
      <c r="CA324" s="2">
        <v>88</v>
      </c>
      <c r="CB324" s="9" t="str">
        <f>HYPERLINK(".\links\CDD\AGAP010494-PA-CDD.txt","PB1_Par6, The PB1 domain is an essential part of Par6 protein which in complex with Par3 and aPKC proteins is crucial for establishment of apical-basal polarity of animal cells")</f>
        <v>PB1_Par6, The PB1 domain is an essential part of Par6 protein which in complex with Par3 and aPKC proteins is crucial for establishment of apical-basal polarity of animal cells</v>
      </c>
      <c r="CC324" s="15">
        <v>1.9999999999999999E-29</v>
      </c>
      <c r="CD324" s="2">
        <v>101.3</v>
      </c>
      <c r="CE324" s="2" t="s">
        <v>3540</v>
      </c>
      <c r="CF324" s="2" t="s">
        <v>3541</v>
      </c>
      <c r="CG324" s="9" t="str">
        <f>HYPERLINK(".\links\KOG\AGAP010494-PA-KOG.txt","Cell polarity protein PAR6")</f>
        <v>Cell polarity protein PAR6</v>
      </c>
      <c r="CH324" s="15">
        <v>9.9999999999999999E-119</v>
      </c>
      <c r="CI324" s="2">
        <v>82.4</v>
      </c>
      <c r="CJ324" s="2" t="s">
        <v>3542</v>
      </c>
      <c r="CK324" s="2" t="s">
        <v>173</v>
      </c>
      <c r="CL324" s="9" t="str">
        <f>HYPERLINK(".\links\PFAM\AGAP010494-PA-PFAM.txt","PB1, PB1 domain")</f>
        <v>PB1, PB1 domain</v>
      </c>
      <c r="CM324" s="15">
        <v>1E-10</v>
      </c>
      <c r="CN324" s="2">
        <v>101.2</v>
      </c>
      <c r="CO324" s="2" t="s">
        <v>3543</v>
      </c>
      <c r="CP324" s="9" t="str">
        <f>HYPERLINK(".\links\SMART\AGAP010494-PA-SMART.txt","PB1, PB1 domain")</f>
        <v>PB1, PB1 domain</v>
      </c>
      <c r="CQ324" s="15">
        <v>1.9999999999999999E-11</v>
      </c>
      <c r="CR324" s="2">
        <v>102.5</v>
      </c>
      <c r="CS324" s="2" t="s">
        <v>3544</v>
      </c>
      <c r="CT324" s="2" t="s">
        <v>3538</v>
      </c>
      <c r="CU324" s="2" t="s">
        <v>3538</v>
      </c>
      <c r="CV324" s="2" t="s">
        <v>3538</v>
      </c>
      <c r="CW324" s="2" t="str">
        <f>HYPERLINK(".\links\pep\AGAP010494-PA-pep.txt","AGAP010494-PA")</f>
        <v>AGAP010494-PA</v>
      </c>
      <c r="CX324" s="2" t="s">
        <v>95</v>
      </c>
      <c r="CY324" s="2">
        <v>314</v>
      </c>
      <c r="CZ324" s="2" t="s">
        <v>113</v>
      </c>
      <c r="DA324" s="2" t="s">
        <v>3545</v>
      </c>
      <c r="DB324" s="2">
        <v>0</v>
      </c>
      <c r="DC324" s="2">
        <v>1</v>
      </c>
      <c r="DD324" s="2" t="str">
        <f>HYPERLINK("https://www.kegg.jp/kegg-bin/search_pathway_text?map=aga&amp;keyword=AGAP010494&amp;mode=1&amp;viewImage=true","AGAP010494")</f>
        <v>AGAP010494</v>
      </c>
      <c r="DE324" s="2" t="s">
        <v>3534</v>
      </c>
      <c r="DF324" s="2" t="s">
        <v>3535</v>
      </c>
      <c r="DG324" s="2" t="s">
        <v>94</v>
      </c>
      <c r="DH324" s="2" t="str">
        <f>HYPERLINK("https://vectorbase.org/vectorbase/app/record/gene/AGAP010494","AGAP010494-RA")</f>
        <v>AGAP010494-RA</v>
      </c>
      <c r="DI324" s="2" t="s">
        <v>115</v>
      </c>
      <c r="DJ324" s="2">
        <v>3018</v>
      </c>
      <c r="DK324" s="2" t="str">
        <f>HYPERLINK(".\links\netoglyc\AGAP010494-PA-netoglyc.txt","0")</f>
        <v>0</v>
      </c>
      <c r="DL324" s="2">
        <v>15</v>
      </c>
      <c r="DM324" s="2">
        <v>6.7</v>
      </c>
      <c r="DN324" s="2">
        <v>4.8</v>
      </c>
      <c r="DO324" s="2" t="s">
        <v>104</v>
      </c>
      <c r="DP324" s="2" t="s">
        <v>102</v>
      </c>
      <c r="DQ324" s="2" t="str">
        <f>HYPERLINK(".\links\Sigp\AGAP010494-PA-SigP.txt","CYT")</f>
        <v>CYT</v>
      </c>
      <c r="DR324" s="2" t="s">
        <v>102</v>
      </c>
      <c r="DS324" s="2">
        <v>34.951000000000001</v>
      </c>
      <c r="DT324" s="2">
        <v>6.27</v>
      </c>
      <c r="DU324" s="2" t="s">
        <v>102</v>
      </c>
      <c r="DV324" s="2" t="s">
        <v>102</v>
      </c>
      <c r="DW324" s="2" t="s">
        <v>211</v>
      </c>
      <c r="DX324" s="2">
        <v>314</v>
      </c>
      <c r="DY324" s="12">
        <v>0</v>
      </c>
      <c r="DZ324" s="2" t="s">
        <v>102</v>
      </c>
      <c r="EA324" s="2" t="s">
        <v>102</v>
      </c>
      <c r="EB324" s="2" t="s">
        <v>102</v>
      </c>
      <c r="EC324" s="2" t="str">
        <f>HYPERLINK(".\links\gpi\AGAP010494-PA-gpi.txt","N")</f>
        <v>N</v>
      </c>
      <c r="ED324" s="2">
        <v>0.24</v>
      </c>
      <c r="EF324" s="2">
        <v>1</v>
      </c>
      <c r="EG324" s="2" t="s">
        <v>102</v>
      </c>
      <c r="EH324" s="2" t="s">
        <v>102</v>
      </c>
      <c r="EI324" s="2">
        <v>14.968152866242001</v>
      </c>
      <c r="EJ324" s="2">
        <v>4.7770700636942696</v>
      </c>
      <c r="EK324" s="2">
        <v>6.6878980891719699</v>
      </c>
      <c r="EL324" s="2">
        <v>11.4649681528662</v>
      </c>
      <c r="EM324" s="2">
        <v>1</v>
      </c>
      <c r="EN324" s="2">
        <v>2</v>
      </c>
      <c r="EO324" s="2">
        <v>4</v>
      </c>
      <c r="EP324" s="2" t="s">
        <v>102</v>
      </c>
      <c r="EQ324" s="2" t="s">
        <v>102</v>
      </c>
      <c r="ER324" s="2" t="s">
        <v>102</v>
      </c>
      <c r="ES324" s="2" t="s">
        <v>102</v>
      </c>
      <c r="ET324" s="2" t="str">
        <f>HYPERLINK(".\links\REFSEQ-INVERTEBRATE\AGAP010494-PA-REFSEQ-INVERTEBRATE.txt","AGAP010494-PA")</f>
        <v>AGAP010494-PA</v>
      </c>
      <c r="EU324" s="2" t="str">
        <f>HYPERLINK("http://www.ncbi.nlm.nih.gov/sutils/blink.cgi?pid=XP_314468.4","0.0")</f>
        <v>0.0</v>
      </c>
      <c r="EV324" s="2" t="str">
        <f>HYPERLINK("http://www.ncbi.nlm.nih.gov/protein/XP_314468.4","XP_314468.4")</f>
        <v>XP_314468.4</v>
      </c>
      <c r="EW324" s="2">
        <v>100</v>
      </c>
      <c r="EX324" s="2">
        <v>100</v>
      </c>
      <c r="EY324" s="2">
        <v>100</v>
      </c>
      <c r="EZ324" s="2" t="s">
        <v>105</v>
      </c>
    </row>
    <row r="325" spans="1:156" x14ac:dyDescent="0.25">
      <c r="A325" s="2" t="s">
        <v>3546</v>
      </c>
      <c r="B325" s="2">
        <v>0.20900307655229799</v>
      </c>
      <c r="C325" s="2">
        <f t="shared" si="5"/>
        <v>1.1558891714899335</v>
      </c>
      <c r="D325" s="2">
        <v>6.0948499116453503</v>
      </c>
      <c r="E325" s="2">
        <v>9.0293077670594108</v>
      </c>
      <c r="F325" s="2">
        <v>2.65685073359259E-3</v>
      </c>
      <c r="G325" s="2">
        <v>4.7605934508281697E-2</v>
      </c>
      <c r="H325" s="2" t="s">
        <v>3547</v>
      </c>
      <c r="I325" s="2" t="s">
        <v>94</v>
      </c>
      <c r="J325" s="2" t="str">
        <f>HYPERLINK("https://vectorbase.org/vectorbase/app/record/gene/AGAP007522","AGAP007522-RA")</f>
        <v>AGAP007522-RA</v>
      </c>
      <c r="K325" s="2" t="str">
        <f>HYPERLINK(".\links\pep\AGAP007522-PA-pep.txt","AGAP007522-PA")</f>
        <v>AGAP007522-PA</v>
      </c>
      <c r="L325" s="12" t="s">
        <v>95</v>
      </c>
      <c r="M325" s="2">
        <v>191</v>
      </c>
      <c r="N325" s="2">
        <v>0</v>
      </c>
      <c r="O325" s="2">
        <v>0</v>
      </c>
      <c r="P325" s="2" t="s">
        <v>3548</v>
      </c>
      <c r="Q325" s="9" t="s">
        <v>3549</v>
      </c>
      <c r="R325" s="2" t="s">
        <v>771</v>
      </c>
      <c r="S325" s="2" t="str">
        <f>HYPERLINK(".\links\KOG\AGAP007522-PA-KOG.txt","KOG")</f>
        <v>KOG</v>
      </c>
      <c r="T325" s="2">
        <v>4.9999999999999998E-81</v>
      </c>
      <c r="U325" s="2">
        <v>100</v>
      </c>
      <c r="V325" s="2" t="s">
        <v>3550</v>
      </c>
      <c r="W325" s="10" t="s">
        <v>3551</v>
      </c>
      <c r="X325" s="2" t="s">
        <v>771</v>
      </c>
      <c r="Y325" s="2" t="str">
        <f>HYPERLINK(".\links\COG\AGAP007522-PA-COG.txt","COG")</f>
        <v>COG</v>
      </c>
      <c r="Z325" s="15">
        <v>9.9999999999999993E-40</v>
      </c>
      <c r="AA325" s="2">
        <v>92.7</v>
      </c>
      <c r="AB325" s="13" t="s">
        <v>102</v>
      </c>
      <c r="AC325" s="13" t="str">
        <f>HYPERLINK(".\links\Sigp\AGAP007522-PA-SigP.txt","CYT")</f>
        <v>CYT</v>
      </c>
      <c r="AD325" s="2" t="s">
        <v>102</v>
      </c>
      <c r="AE325" s="2">
        <v>21.835000000000001</v>
      </c>
      <c r="AF325" s="2">
        <v>5.35</v>
      </c>
      <c r="AG325" s="2" t="s">
        <v>102</v>
      </c>
      <c r="AH325" s="2" t="s">
        <v>102</v>
      </c>
      <c r="AI325" s="2" t="s">
        <v>482</v>
      </c>
      <c r="AJ325" s="13">
        <v>0</v>
      </c>
      <c r="AK325" s="2" t="s">
        <v>102</v>
      </c>
      <c r="AL325" s="2" t="s">
        <v>102</v>
      </c>
      <c r="AM325" s="2" t="s">
        <v>102</v>
      </c>
      <c r="AN325" s="13" t="str">
        <f>HYPERLINK(".\links\gpi\AGAP007522-PA-gpi.txt","N")</f>
        <v>N</v>
      </c>
      <c r="AO325" s="14" t="str">
        <f>HYPERLINK(".\links\netoglyc\AGAP007522-PA-netoglyc.txt","0")</f>
        <v>0</v>
      </c>
      <c r="AP325" s="13">
        <v>8.4</v>
      </c>
      <c r="AQ325" s="2">
        <v>4.7</v>
      </c>
      <c r="AR325" s="2">
        <v>2.6</v>
      </c>
      <c r="AS325" s="2" t="s">
        <v>104</v>
      </c>
      <c r="AT325" s="9" t="str">
        <f>HYPERLINK(".\links\NR-LIGHT\AGAP007522-PA-NR-LIGHT.txt","AGAP007522-PA")</f>
        <v>AGAP007522-PA</v>
      </c>
      <c r="AU325" s="2" t="str">
        <f>HYPERLINK("http://www.ncbi.nlm.nih.gov/sutils/blink.cgi?pid=XP_308356.2","1E-104")</f>
        <v>1E-104</v>
      </c>
      <c r="AV325" s="2" t="str">
        <f>HYPERLINK("http://www.ncbi.nlm.nih.gov/protein/XP_308356.2","XP_308356.2")</f>
        <v>XP_308356.2</v>
      </c>
      <c r="AW325" s="2">
        <v>100</v>
      </c>
      <c r="AX325" s="2">
        <v>100</v>
      </c>
      <c r="AY325" s="2">
        <v>100</v>
      </c>
      <c r="AZ325" s="2" t="s">
        <v>105</v>
      </c>
      <c r="BA325" s="9" t="str">
        <f>HYPERLINK(".\links\REFSEQ-INVERTEBRATE\AGAP007522-PA-REFSEQ-INVERTEBRATE.txt","AGAP007522-PA")</f>
        <v>AGAP007522-PA</v>
      </c>
      <c r="BB325" s="2" t="str">
        <f>HYPERLINK("http://www.ncbi.nlm.nih.gov/sutils/blink.cgi?pid=XP_308356.2","1E-104")</f>
        <v>1E-104</v>
      </c>
      <c r="BC325" s="2" t="str">
        <f>HYPERLINK("http://www.ncbi.nlm.nih.gov/protein/XP_308356.2","XP_308356.2")</f>
        <v>XP_308356.2</v>
      </c>
      <c r="BD325" s="2">
        <v>100</v>
      </c>
      <c r="BE325" s="2">
        <v>100</v>
      </c>
      <c r="BF325" s="2">
        <v>100</v>
      </c>
      <c r="BG325" s="2" t="s">
        <v>105</v>
      </c>
      <c r="BH325" s="9" t="str">
        <f>HYPERLINK(".\links\REFSEQ-PROTOZOA\AGAP007522-PA-REFSEQ-PROTOZOA.txt","AP-3 complex subunit sigma-1")</f>
        <v>AP-3 complex subunit sigma-1</v>
      </c>
      <c r="BI325" s="2" t="str">
        <f>HYPERLINK("http://www.ncbi.nlm.nih.gov/sutils/blink.cgi?pid=XP_004363455.1","1E-071")</f>
        <v>1E-071</v>
      </c>
      <c r="BJ325" s="2" t="str">
        <f>HYPERLINK("http://www.ncbi.nlm.nih.gov/protein/XP_004363455.1","XP_004363455.1")</f>
        <v>XP_004363455.1</v>
      </c>
      <c r="BK325" s="2">
        <v>79</v>
      </c>
      <c r="BL325" s="2">
        <v>90</v>
      </c>
      <c r="BM325" s="2">
        <v>99</v>
      </c>
      <c r="BN325" s="2" t="s">
        <v>106</v>
      </c>
      <c r="BO325" s="9" t="str">
        <f>HYPERLINK(".\links\SWISSP\AGAP007522-PA-SWISSP.txt","AP-3 complex subunit sigma-2")</f>
        <v>AP-3 complex subunit sigma-2</v>
      </c>
      <c r="BP325" s="2" t="str">
        <f>HYPERLINK("http://www.uniprot.org/uniprot/Q1JQA3","5E-081")</f>
        <v>5E-081</v>
      </c>
      <c r="BQ325" s="2" t="str">
        <f>HYPERLINK("http://www.uniprot.org/uniprot/Q1JQA3#expression","Q1JQA3")</f>
        <v>Q1JQA3</v>
      </c>
      <c r="BR325" s="2">
        <v>76</v>
      </c>
      <c r="BS325" s="2">
        <v>89</v>
      </c>
      <c r="BT325" s="2">
        <v>98</v>
      </c>
      <c r="BU325" s="2" t="s">
        <v>1284</v>
      </c>
      <c r="BV325" s="9" t="str">
        <f>HYPERLINK(".\links\FLYBASE\AGAP007522-PA-FLYBASE.txt","FBpp0072061")</f>
        <v>FBpp0072061</v>
      </c>
      <c r="BW325" s="2" t="str">
        <f>HYPERLINK("http://flybase.org/reports/FBgn0003008#alliance_summary_container","1E-136")</f>
        <v>1E-136</v>
      </c>
      <c r="BX325" s="2">
        <v>191</v>
      </c>
      <c r="BY325" s="2">
        <v>95</v>
      </c>
      <c r="BZ325" s="2">
        <v>98</v>
      </c>
      <c r="CA325" s="2">
        <v>100</v>
      </c>
      <c r="CB325" s="9" t="str">
        <f>HYPERLINK(".\links\CDD\AGAP007522-PA-CDD.txt","APS2, Clathrin adaptor complex, small subunit")</f>
        <v>APS2, Clathrin adaptor complex, small subunit</v>
      </c>
      <c r="CC325" s="15">
        <v>1E-42</v>
      </c>
      <c r="CD325" s="2">
        <v>100</v>
      </c>
      <c r="CE325" s="2" t="s">
        <v>3552</v>
      </c>
      <c r="CF325" s="2" t="s">
        <v>3553</v>
      </c>
      <c r="CG325" s="9" t="str">
        <f>HYPERLINK(".\links\KOG\AGAP007522-PA-KOG.txt","small subunit")</f>
        <v>small subunit</v>
      </c>
      <c r="CH325" s="15">
        <v>4.9999999999999998E-81</v>
      </c>
      <c r="CI325" s="2">
        <v>100</v>
      </c>
      <c r="CJ325" s="2" t="s">
        <v>3554</v>
      </c>
      <c r="CK325" s="2" t="s">
        <v>154</v>
      </c>
      <c r="CL325" s="9" t="str">
        <f>HYPERLINK(".\links\PFAM\AGAP007522-PA-PFAM.txt","Clat_adaptor_s, Clathrin adaptor complex small chain")</f>
        <v>Clat_adaptor_s, Clathrin adaptor complex small chain</v>
      </c>
      <c r="CM325" s="15">
        <v>9.0000000000000005E-43</v>
      </c>
      <c r="CN325" s="2">
        <v>104.2</v>
      </c>
      <c r="CO325" s="2" t="s">
        <v>3555</v>
      </c>
      <c r="CP325" s="9" t="str">
        <f>HYPERLINK(".\links\SMART\AGAP007522-PA-SMART.txt","VWA, von Willebrand factor (vWF) type A domain")</f>
        <v>VWA, von Willebrand factor (vWF) type A domain</v>
      </c>
      <c r="CQ325" s="15">
        <v>0.59</v>
      </c>
      <c r="CR325" s="2">
        <v>43.4</v>
      </c>
      <c r="CS325" s="2" t="s">
        <v>3556</v>
      </c>
      <c r="CT325" s="2" t="s">
        <v>3550</v>
      </c>
      <c r="CU325" s="2" t="s">
        <v>3550</v>
      </c>
      <c r="CV325" s="2" t="s">
        <v>3550</v>
      </c>
      <c r="CW325" s="2" t="str">
        <f>HYPERLINK(".\links\pep\AGAP007522-PA-pep.txt","AGAP007522-PA")</f>
        <v>AGAP007522-PA</v>
      </c>
      <c r="CX325" s="2" t="s">
        <v>95</v>
      </c>
      <c r="CY325" s="2">
        <v>191</v>
      </c>
      <c r="CZ325" s="2" t="s">
        <v>113</v>
      </c>
      <c r="DA325" s="2" t="s">
        <v>3557</v>
      </c>
      <c r="DB325" s="2">
        <v>0</v>
      </c>
      <c r="DC325" s="2">
        <v>0</v>
      </c>
      <c r="DD325" s="2" t="str">
        <f>HYPERLINK("https://www.kegg.jp/kegg-bin/search_pathway_text?map=aga&amp;keyword=AGAP007522&amp;mode=1&amp;viewImage=true","AGAP007522")</f>
        <v>AGAP007522</v>
      </c>
      <c r="DE325" s="2" t="s">
        <v>3546</v>
      </c>
      <c r="DF325" s="2" t="s">
        <v>3547</v>
      </c>
      <c r="DG325" s="2" t="s">
        <v>94</v>
      </c>
      <c r="DH325" s="2" t="str">
        <f>HYPERLINK("https://vectorbase.org/vectorbase/app/record/gene/AGAP007522","AGAP007522-RA")</f>
        <v>AGAP007522-RA</v>
      </c>
      <c r="DI325" s="2" t="s">
        <v>135</v>
      </c>
      <c r="DJ325" s="2">
        <v>1379</v>
      </c>
      <c r="DK325" s="2" t="str">
        <f>HYPERLINK(".\links\netoglyc\AGAP007522-PA-netoglyc.txt","0")</f>
        <v>0</v>
      </c>
      <c r="DL325" s="2">
        <v>8.4</v>
      </c>
      <c r="DM325" s="2">
        <v>4.7</v>
      </c>
      <c r="DN325" s="2">
        <v>2.6</v>
      </c>
      <c r="DO325" s="2" t="s">
        <v>104</v>
      </c>
      <c r="DP325" s="2" t="s">
        <v>102</v>
      </c>
      <c r="DQ325" s="2" t="str">
        <f>HYPERLINK(".\links\Sigp\AGAP007522-PA-SigP.txt","CYT")</f>
        <v>CYT</v>
      </c>
      <c r="DR325" s="2" t="s">
        <v>102</v>
      </c>
      <c r="DS325" s="2">
        <v>21.835000000000001</v>
      </c>
      <c r="DT325" s="2">
        <v>5.35</v>
      </c>
      <c r="DU325" s="2" t="s">
        <v>102</v>
      </c>
      <c r="DV325" s="2" t="s">
        <v>102</v>
      </c>
      <c r="DW325" s="2" t="s">
        <v>482</v>
      </c>
      <c r="DX325" s="2">
        <v>191</v>
      </c>
      <c r="DY325" s="12">
        <v>0</v>
      </c>
      <c r="DZ325" s="2" t="s">
        <v>102</v>
      </c>
      <c r="EA325" s="2" t="s">
        <v>102</v>
      </c>
      <c r="EB325" s="2" t="s">
        <v>102</v>
      </c>
      <c r="EC325" s="2" t="str">
        <f>HYPERLINK(".\links\gpi\AGAP007522-PA-gpi.txt","Y-NoSP")</f>
        <v>Y-NoSP</v>
      </c>
      <c r="ED325" s="2">
        <v>0.32</v>
      </c>
      <c r="EF325" s="2">
        <v>4</v>
      </c>
      <c r="EG325" s="2" t="s">
        <v>102</v>
      </c>
      <c r="EH325" s="2" t="s">
        <v>102</v>
      </c>
      <c r="EI325" s="2">
        <v>8.3769633507853403</v>
      </c>
      <c r="EJ325" s="2">
        <v>2.6178010471204201</v>
      </c>
      <c r="EK325" s="2">
        <v>4.7120418848167498</v>
      </c>
      <c r="EL325" s="2">
        <v>7.3298429319371703</v>
      </c>
      <c r="EM325" s="2" t="s">
        <v>102</v>
      </c>
      <c r="EN325" s="2" t="s">
        <v>102</v>
      </c>
      <c r="EO325" s="2" t="s">
        <v>102</v>
      </c>
      <c r="EP325" s="2" t="s">
        <v>102</v>
      </c>
      <c r="EQ325" s="2" t="s">
        <v>102</v>
      </c>
      <c r="ER325" s="2" t="s">
        <v>102</v>
      </c>
      <c r="ES325" s="2" t="s">
        <v>102</v>
      </c>
      <c r="ET325" s="2" t="str">
        <f>HYPERLINK(".\links\REFSEQ-INVERTEBRATE\AGAP007522-PA-REFSEQ-INVERTEBRATE.txt","AGAP007522-PA")</f>
        <v>AGAP007522-PA</v>
      </c>
      <c r="EU325" s="2" t="str">
        <f>HYPERLINK("http://www.ncbi.nlm.nih.gov/sutils/blink.cgi?pid=XP_308356.2","1E-139")</f>
        <v>1E-139</v>
      </c>
      <c r="EV325" s="2" t="str">
        <f>HYPERLINK("http://www.ncbi.nlm.nih.gov/protein/XP_308356.2","XP_308356.2")</f>
        <v>XP_308356.2</v>
      </c>
      <c r="EW325" s="2">
        <v>100</v>
      </c>
      <c r="EX325" s="2">
        <v>100</v>
      </c>
      <c r="EY325" s="2">
        <v>100</v>
      </c>
      <c r="EZ325" s="2" t="s">
        <v>105</v>
      </c>
    </row>
    <row r="326" spans="1:156" x14ac:dyDescent="0.25">
      <c r="A326" s="2" t="s">
        <v>3558</v>
      </c>
      <c r="B326" s="2">
        <v>0.20430554853570701</v>
      </c>
      <c r="C326" s="2">
        <f t="shared" si="5"/>
        <v>1.1521316265911001</v>
      </c>
      <c r="D326" s="2">
        <v>6.2538995875622501</v>
      </c>
      <c r="E326" s="2">
        <v>8.9097985349165203</v>
      </c>
      <c r="F326" s="2">
        <v>2.8364455613111399E-3</v>
      </c>
      <c r="G326" s="2">
        <v>4.9145703956980501E-2</v>
      </c>
      <c r="H326" s="2" t="s">
        <v>3559</v>
      </c>
      <c r="I326" s="2" t="s">
        <v>102</v>
      </c>
      <c r="J326" s="2" t="str">
        <f>HYPERLINK("https://vectorbase.org/vectorbase/app/record/gene/AGAP008269","AGAP008269-RA")</f>
        <v>AGAP008269-RA</v>
      </c>
      <c r="K326" s="2" t="str">
        <f>HYPERLINK(".\links\pep\AGAP008269-PA-pep.txt","AGAP008269-PA")</f>
        <v>AGAP008269-PA</v>
      </c>
      <c r="L326" s="12" t="s">
        <v>95</v>
      </c>
      <c r="M326" s="2">
        <v>387</v>
      </c>
      <c r="N326" s="2">
        <v>0</v>
      </c>
      <c r="O326" s="2">
        <v>2</v>
      </c>
      <c r="P326" s="2" t="s">
        <v>3560</v>
      </c>
      <c r="Q326" s="9" t="s">
        <v>3561</v>
      </c>
      <c r="R326" s="2" t="s">
        <v>672</v>
      </c>
      <c r="S326" s="2" t="str">
        <f>HYPERLINK(".\links\REFSEQ-PROTOZOA\AGAP008269-PA-REFSEQ-PROTOZOA.txt","REFSEQ-PROTOZOA")</f>
        <v>REFSEQ-PROTOZOA</v>
      </c>
      <c r="T326" s="2">
        <v>0</v>
      </c>
      <c r="U326" s="2">
        <v>97.9</v>
      </c>
      <c r="V326" s="2" t="s">
        <v>3562</v>
      </c>
      <c r="W326" s="10" t="s">
        <v>3563</v>
      </c>
      <c r="X326" s="2" t="s">
        <v>672</v>
      </c>
      <c r="Y326" s="2" t="str">
        <f>HYPERLINK(".\links\REFSEQ-PROTOZOA\AGAP008269-PA-REFSEQ-PROTOZOA.txt","REFSEQ-PROTOZOA")</f>
        <v>REFSEQ-PROTOZOA</v>
      </c>
      <c r="Z326" s="2">
        <v>0</v>
      </c>
      <c r="AA326" s="2">
        <v>93</v>
      </c>
      <c r="AB326" s="13" t="s">
        <v>102</v>
      </c>
      <c r="AC326" s="13" t="str">
        <f>HYPERLINK(".\links\Sigp\AGAP008269-PA-SigP.txt","CYT")</f>
        <v>CYT</v>
      </c>
      <c r="AD326" s="2" t="s">
        <v>102</v>
      </c>
      <c r="AE326" s="2">
        <v>43.307000000000002</v>
      </c>
      <c r="AF326" s="2">
        <v>5.69</v>
      </c>
      <c r="AG326" s="2" t="s">
        <v>102</v>
      </c>
      <c r="AH326" s="2" t="s">
        <v>102</v>
      </c>
      <c r="AI326" s="2" t="s">
        <v>3564</v>
      </c>
      <c r="AJ326" s="13">
        <v>0</v>
      </c>
      <c r="AK326" s="2" t="s">
        <v>102</v>
      </c>
      <c r="AL326" s="2" t="s">
        <v>102</v>
      </c>
      <c r="AM326" s="2" t="s">
        <v>102</v>
      </c>
      <c r="AN326" s="13" t="str">
        <f>HYPERLINK(".\links\gpi\AGAP008269-PA-gpi.txt","N")</f>
        <v>N</v>
      </c>
      <c r="AO326" s="14" t="str">
        <f>HYPERLINK(".\links\netoglyc\AGAP008269-PA-netoglyc.txt","3")</f>
        <v>3</v>
      </c>
      <c r="AP326" s="13">
        <v>13.7</v>
      </c>
      <c r="AQ326" s="2">
        <v>5.2</v>
      </c>
      <c r="AR326" s="2">
        <v>2.2999999999999998</v>
      </c>
      <c r="AS326" s="2" t="s">
        <v>104</v>
      </c>
      <c r="AT326" s="9" t="str">
        <f>HYPERLINK(".\links\NR-LIGHT\AGAP008269-PA-NR-LIGHT.txt","AGAP008269-PA")</f>
        <v>AGAP008269-PA</v>
      </c>
      <c r="AU326" s="2" t="str">
        <f>HYPERLINK("http://www.ncbi.nlm.nih.gov/sutils/blink.cgi?pid=XP_317201.4","0.0")</f>
        <v>0.0</v>
      </c>
      <c r="AV326" s="2" t="str">
        <f>HYPERLINK("http://www.ncbi.nlm.nih.gov/protein/XP_317201.4","XP_317201.4")</f>
        <v>XP_317201.4</v>
      </c>
      <c r="AW326" s="2">
        <v>100</v>
      </c>
      <c r="AX326" s="2">
        <v>100</v>
      </c>
      <c r="AY326" s="2">
        <v>96</v>
      </c>
      <c r="AZ326" s="2" t="s">
        <v>105</v>
      </c>
      <c r="BA326" s="9" t="str">
        <f>HYPERLINK(".\links\REFSEQ-INVERTEBRATE\AGAP008269-PA-REFSEQ-INVERTEBRATE.txt","AGAP008269-PA")</f>
        <v>AGAP008269-PA</v>
      </c>
      <c r="BB326" s="2" t="str">
        <f>HYPERLINK("http://www.ncbi.nlm.nih.gov/sutils/blink.cgi?pid=XP_317201.4","0.0")</f>
        <v>0.0</v>
      </c>
      <c r="BC326" s="2" t="str">
        <f>HYPERLINK("http://www.ncbi.nlm.nih.gov/protein/XP_317201.4","XP_317201.4")</f>
        <v>XP_317201.4</v>
      </c>
      <c r="BD326" s="2">
        <v>100</v>
      </c>
      <c r="BE326" s="2">
        <v>100</v>
      </c>
      <c r="BF326" s="2">
        <v>96</v>
      </c>
      <c r="BG326" s="2" t="s">
        <v>105</v>
      </c>
      <c r="BH326" s="9" t="str">
        <f>HYPERLINK(".\links\REFSEQ-PROTOZOA\AGAP008269-PA-REFSEQ-PROTOZOA.txt","translation factor pelota")</f>
        <v>translation factor pelota</v>
      </c>
      <c r="BI326" s="2" t="str">
        <f>HYPERLINK("http://www.ncbi.nlm.nih.gov/sutils/blink.cgi?pid=XP_004345532.2","1E-140")</f>
        <v>1E-140</v>
      </c>
      <c r="BJ326" s="2" t="str">
        <f>HYPERLINK("http://www.ncbi.nlm.nih.gov/protein/XP_004345532.2","XP_004345532.2")</f>
        <v>XP_004345532.2</v>
      </c>
      <c r="BK326" s="2">
        <v>62</v>
      </c>
      <c r="BL326" s="2">
        <v>83</v>
      </c>
      <c r="BM326" s="2">
        <v>98</v>
      </c>
      <c r="BN326" s="2" t="s">
        <v>106</v>
      </c>
      <c r="BO326" s="9" t="str">
        <f>HYPERLINK(".\links\SWISSP\AGAP008269-PA-SWISSP.txt","Protein pelota")</f>
        <v>Protein pelota</v>
      </c>
      <c r="BP326" s="2" t="str">
        <f>HYPERLINK("http://www.uniprot.org/uniprot/P48612","1E-180")</f>
        <v>1E-180</v>
      </c>
      <c r="BQ326" s="2" t="str">
        <f>HYPERLINK("http://www.uniprot.org/uniprot/P48612#expression","P48612")</f>
        <v>P48612</v>
      </c>
      <c r="BR326" s="2">
        <v>81</v>
      </c>
      <c r="BS326" s="2">
        <v>92</v>
      </c>
      <c r="BT326" s="2">
        <v>97</v>
      </c>
      <c r="BU326" s="2" t="s">
        <v>107</v>
      </c>
      <c r="BV326" s="9" t="str">
        <f>HYPERLINK(".\links\FLYBASE\AGAP008269-PA-FLYBASE.txt","FBpp0079444")</f>
        <v>FBpp0079444</v>
      </c>
      <c r="BW326" s="2" t="str">
        <f>HYPERLINK("http://flybase.org/reports/FBgn0011207#alliance_summary_container","0.0")</f>
        <v>0.0</v>
      </c>
      <c r="BX326" s="2">
        <v>395</v>
      </c>
      <c r="BY326" s="2">
        <v>82</v>
      </c>
      <c r="BZ326" s="2">
        <v>92</v>
      </c>
      <c r="CA326" s="2">
        <v>94</v>
      </c>
      <c r="CB326" s="9" t="str">
        <f>HYPERLINK(".\links\CDD\AGAP008269-PA-CDD.txt","PelA, Predicted RNA-binding proteins")</f>
        <v>PelA, Predicted RNA-binding proteins</v>
      </c>
      <c r="CC326" s="15">
        <v>4.9999999999999998E-81</v>
      </c>
      <c r="CD326" s="2">
        <v>105.4</v>
      </c>
      <c r="CE326" s="2" t="s">
        <v>3565</v>
      </c>
      <c r="CF326" s="2" t="s">
        <v>3566</v>
      </c>
      <c r="CG326" s="9" t="str">
        <f>HYPERLINK(".\links\KOG\AGAP008269-PA-KOG.txt","Meiotic cell division protein Pelota/DOM34")</f>
        <v>Meiotic cell division protein Pelota/DOM34</v>
      </c>
      <c r="CH326" s="15">
        <v>1E-169</v>
      </c>
      <c r="CI326" s="2">
        <v>100</v>
      </c>
      <c r="CJ326" s="2" t="s">
        <v>3567</v>
      </c>
      <c r="CK326" s="2" t="s">
        <v>678</v>
      </c>
      <c r="CL326" s="9" t="str">
        <f>HYPERLINK(".\links\PFAM\AGAP008269-PA-PFAM.txt","eRF1_1, eRF1 domain 1")</f>
        <v>eRF1_1, eRF1 domain 1</v>
      </c>
      <c r="CM326" s="15">
        <v>3E-49</v>
      </c>
      <c r="CN326" s="2">
        <v>103.2</v>
      </c>
      <c r="CO326" s="2" t="s">
        <v>3568</v>
      </c>
      <c r="CP326" s="9" t="str">
        <f>HYPERLINK(".\links\SMART\AGAP008269-PA-SMART.txt","EPH_lbd, Ephrin receptor ligand binding domain")</f>
        <v>EPH_lbd, Ephrin receptor ligand binding domain</v>
      </c>
      <c r="CQ326" s="15">
        <v>0.64</v>
      </c>
      <c r="CR326" s="2">
        <v>27.1</v>
      </c>
      <c r="CS326" s="2" t="s">
        <v>3569</v>
      </c>
      <c r="CT326" s="2" t="s">
        <v>3562</v>
      </c>
      <c r="CU326" s="2" t="s">
        <v>3562</v>
      </c>
      <c r="CV326" s="2" t="s">
        <v>3562</v>
      </c>
      <c r="CW326" s="2" t="str">
        <f>HYPERLINK(".\links\pep\AGAP008269-PA-pep.txt","AGAP008269-PA")</f>
        <v>AGAP008269-PA</v>
      </c>
      <c r="CX326" s="2" t="s">
        <v>95</v>
      </c>
      <c r="CY326" s="2">
        <v>387</v>
      </c>
      <c r="CZ326" s="2" t="s">
        <v>113</v>
      </c>
      <c r="DA326" s="2">
        <v>0</v>
      </c>
      <c r="DB326" s="2">
        <v>2</v>
      </c>
      <c r="DD326" s="2" t="str">
        <f>HYPERLINK("https://www.kegg.jp/kegg-bin/search_pathway_text?map=aga&amp;keyword=AGAP008269&amp;mode=1&amp;viewImage=true","AGAP008269")</f>
        <v>AGAP008269</v>
      </c>
      <c r="DE326" s="2" t="s">
        <v>3558</v>
      </c>
      <c r="DF326" s="2" t="s">
        <v>3559</v>
      </c>
      <c r="DG326" s="2" t="s">
        <v>102</v>
      </c>
      <c r="DH326" s="2" t="str">
        <f>HYPERLINK("https://vectorbase.org/vectorbase/app/record/gene/AGAP008269","AGAP008269-RA")</f>
        <v>AGAP008269-RA</v>
      </c>
      <c r="DI326" s="2" t="s">
        <v>135</v>
      </c>
      <c r="DJ326" s="2">
        <v>1818</v>
      </c>
      <c r="DK326" s="2" t="str">
        <f>HYPERLINK(".\links\netoglyc\AGAP008269-PA-netoglyc.txt","3")</f>
        <v>3</v>
      </c>
      <c r="DL326" s="2">
        <v>13.7</v>
      </c>
      <c r="DM326" s="2">
        <v>5.2</v>
      </c>
      <c r="DN326" s="2">
        <v>2.2999999999999998</v>
      </c>
      <c r="DO326" s="2" t="s">
        <v>104</v>
      </c>
      <c r="DP326" s="2" t="s">
        <v>102</v>
      </c>
      <c r="DQ326" s="2" t="str">
        <f>HYPERLINK(".\links\Sigp\AGAP008269-PA-SigP.txt","CYT")</f>
        <v>CYT</v>
      </c>
      <c r="DR326" s="2" t="s">
        <v>102</v>
      </c>
      <c r="DS326" s="2">
        <v>43.307000000000002</v>
      </c>
      <c r="DT326" s="2">
        <v>5.69</v>
      </c>
      <c r="DU326" s="2" t="s">
        <v>102</v>
      </c>
      <c r="DV326" s="2" t="s">
        <v>102</v>
      </c>
      <c r="DW326" s="2" t="s">
        <v>3564</v>
      </c>
      <c r="DX326" s="2">
        <v>387</v>
      </c>
      <c r="DY326" s="12">
        <v>0</v>
      </c>
      <c r="DZ326" s="2" t="s">
        <v>102</v>
      </c>
      <c r="EA326" s="2" t="s">
        <v>102</v>
      </c>
      <c r="EB326" s="2" t="s">
        <v>102</v>
      </c>
      <c r="EC326" s="2" t="str">
        <f>HYPERLINK(".\links\gpi\AGAP008269-PA-gpi.txt","Y-NoSP")</f>
        <v>Y-NoSP</v>
      </c>
      <c r="ED326" s="2">
        <v>0.21</v>
      </c>
      <c r="EF326" s="2">
        <v>5</v>
      </c>
      <c r="EG326" s="2" t="s">
        <v>102</v>
      </c>
      <c r="EH326" s="2" t="s">
        <v>102</v>
      </c>
      <c r="EI326" s="2">
        <v>13.6950904392765</v>
      </c>
      <c r="EJ326" s="2">
        <v>2.32558139534884</v>
      </c>
      <c r="EK326" s="2">
        <v>5.1679586563307502</v>
      </c>
      <c r="EL326" s="2">
        <v>7.4935400516795898</v>
      </c>
      <c r="EM326" s="2" t="s">
        <v>102</v>
      </c>
      <c r="EN326" s="2">
        <v>3</v>
      </c>
      <c r="EO326" s="2">
        <v>4</v>
      </c>
      <c r="EP326" s="2" t="s">
        <v>102</v>
      </c>
      <c r="EQ326" s="2" t="s">
        <v>102</v>
      </c>
      <c r="ER326" s="2" t="s">
        <v>102</v>
      </c>
      <c r="ES326" s="2" t="s">
        <v>102</v>
      </c>
      <c r="ET326" s="2" t="str">
        <f>HYPERLINK(".\links\REFSEQ-INVERTEBRATE\AGAP008269-PA-REFSEQ-INVERTEBRATE.txt","AGAP008269-PA")</f>
        <v>AGAP008269-PA</v>
      </c>
      <c r="EU326" s="2" t="str">
        <f>HYPERLINK("http://www.ncbi.nlm.nih.gov/sutils/blink.cgi?pid=XP_317201.4","0.0")</f>
        <v>0.0</v>
      </c>
      <c r="EV326" s="2" t="str">
        <f>HYPERLINK("http://www.ncbi.nlm.nih.gov/protein/XP_317201.4","XP_317201.4")</f>
        <v>XP_317201.4</v>
      </c>
      <c r="EW326" s="2">
        <v>100</v>
      </c>
      <c r="EX326" s="2">
        <v>100</v>
      </c>
      <c r="EY326" s="2">
        <v>96</v>
      </c>
      <c r="EZ326" s="2" t="s">
        <v>105</v>
      </c>
    </row>
    <row r="327" spans="1:156" x14ac:dyDescent="0.25">
      <c r="A327" s="2" t="s">
        <v>3570</v>
      </c>
      <c r="B327" s="2">
        <v>-0.20554866883686301</v>
      </c>
      <c r="C327" s="2">
        <f t="shared" si="5"/>
        <v>0.86720881775579206</v>
      </c>
      <c r="D327" s="2">
        <v>7.0168591748801497</v>
      </c>
      <c r="E327" s="2">
        <v>9.1225252316258096</v>
      </c>
      <c r="F327" s="2">
        <v>2.5248120204114399E-3</v>
      </c>
      <c r="G327" s="2">
        <v>4.6810324315669602E-2</v>
      </c>
      <c r="H327" s="2" t="s">
        <v>3571</v>
      </c>
      <c r="I327" s="2" t="s">
        <v>94</v>
      </c>
      <c r="J327" s="2" t="str">
        <f>HYPERLINK("https://vectorbase.org/vectorbase/app/record/gene/AGAP005680","AGAP005680-RA")</f>
        <v>AGAP005680-RA</v>
      </c>
      <c r="K327" s="2" t="str">
        <f>HYPERLINK(".\links\pep\AGAP005680-PA-pep.txt","AGAP005680-PA")</f>
        <v>AGAP005680-PA</v>
      </c>
      <c r="L327" s="12" t="s">
        <v>95</v>
      </c>
      <c r="M327" s="2">
        <v>702</v>
      </c>
      <c r="N327" s="2">
        <v>0</v>
      </c>
      <c r="O327" s="2">
        <v>4</v>
      </c>
      <c r="P327" s="2" t="s">
        <v>3572</v>
      </c>
      <c r="Q327" s="9" t="s">
        <v>3573</v>
      </c>
      <c r="R327" s="2" t="s">
        <v>1221</v>
      </c>
      <c r="S327" s="2" t="str">
        <f>HYPERLINK(".\links\KOG\AGAP005680-PA-KOG.txt","KOG")</f>
        <v>KOG</v>
      </c>
      <c r="T327" s="2">
        <v>0</v>
      </c>
      <c r="U327" s="2">
        <v>105.3</v>
      </c>
      <c r="V327" s="2" t="s">
        <v>3574</v>
      </c>
      <c r="W327" s="10" t="s">
        <v>3575</v>
      </c>
      <c r="X327" s="2" t="s">
        <v>1221</v>
      </c>
      <c r="Y327" s="2" t="str">
        <f>HYPERLINK(".\links\REFSEQ-PROTOZOA\AGAP005680-PA-REFSEQ-PROTOZOA.txt","REFSEQ-PROTOZOA")</f>
        <v>REFSEQ-PROTOZOA</v>
      </c>
      <c r="Z327" s="15">
        <v>0</v>
      </c>
      <c r="AA327" s="2">
        <v>55.6</v>
      </c>
      <c r="AB327" s="13" t="s">
        <v>102</v>
      </c>
      <c r="AC327" s="13" t="str">
        <f>HYPERLINK(".\links\Sigp\AGAP005680-PA-SigP.txt","CYT")</f>
        <v>CYT</v>
      </c>
      <c r="AD327" s="2" t="s">
        <v>102</v>
      </c>
      <c r="AE327" s="2">
        <v>76.903000000000006</v>
      </c>
      <c r="AF327" s="2">
        <v>6.87</v>
      </c>
      <c r="AG327" s="2" t="s">
        <v>102</v>
      </c>
      <c r="AH327" s="2" t="s">
        <v>102</v>
      </c>
      <c r="AI327" s="2" t="s">
        <v>124</v>
      </c>
      <c r="AJ327" s="13">
        <v>0</v>
      </c>
      <c r="AK327" s="2" t="s">
        <v>102</v>
      </c>
      <c r="AL327" s="2" t="s">
        <v>102</v>
      </c>
      <c r="AM327" s="2" t="s">
        <v>102</v>
      </c>
      <c r="AN327" s="13" t="str">
        <f>HYPERLINK(".\links\gpi\AGAP005680-PA-gpi.txt","N")</f>
        <v>N</v>
      </c>
      <c r="AO327" s="14" t="str">
        <f>HYPERLINK(".\links\netoglyc\AGAP005680-PA-netoglyc.txt","9")</f>
        <v>9</v>
      </c>
      <c r="AP327" s="13">
        <v>18.7</v>
      </c>
      <c r="AQ327" s="2">
        <v>6</v>
      </c>
      <c r="AR327" s="2">
        <v>5.8</v>
      </c>
      <c r="AS327" s="2">
        <v>0.4</v>
      </c>
      <c r="AT327" s="9" t="str">
        <f>HYPERLINK(".\links\NR-LIGHT\AGAP005680-PA-NR-LIGHT.txt","hypothetical protein AND_008089")</f>
        <v>hypothetical protein AND_008089</v>
      </c>
      <c r="AU327" s="2" t="str">
        <f>HYPERLINK("http://www.ncbi.nlm.nih.gov/sutils/blink.cgi?pid=ETN60284.1","0.0")</f>
        <v>0.0</v>
      </c>
      <c r="AV327" s="2" t="str">
        <f>HYPERLINK("http://www.ncbi.nlm.nih.gov/protein/ETN60284.1","ETN60284.1")</f>
        <v>ETN60284.1</v>
      </c>
      <c r="AW327" s="2">
        <v>84</v>
      </c>
      <c r="AX327" s="2">
        <v>91</v>
      </c>
      <c r="AY327" s="2">
        <v>101</v>
      </c>
      <c r="AZ327" s="2" t="s">
        <v>360</v>
      </c>
      <c r="BA327" s="9" t="str">
        <f>HYPERLINK(".\links\REFSEQ-INVERTEBRATE\AGAP005680-PA-REFSEQ-INVERTEBRATE.txt","PAB-dependent poly(A)-specific ribonuclease subunit PAN3")</f>
        <v>PAB-dependent poly(A)-specific ribonuclease subunit PAN3</v>
      </c>
      <c r="BB327" s="2" t="str">
        <f>HYPERLINK("http://www.ncbi.nlm.nih.gov/sutils/blink.cgi?pid=XP_021696919.1","0.0")</f>
        <v>0.0</v>
      </c>
      <c r="BC327" s="2" t="str">
        <f>HYPERLINK("http://www.ncbi.nlm.nih.gov/protein/XP_021696919.1","XP_021696919.1")</f>
        <v>XP_021696919.1</v>
      </c>
      <c r="BD327" s="2">
        <v>76</v>
      </c>
      <c r="BE327" s="2">
        <v>85</v>
      </c>
      <c r="BF327" s="2">
        <v>100</v>
      </c>
      <c r="BG327" s="2" t="s">
        <v>391</v>
      </c>
      <c r="BH327" s="9" t="str">
        <f>HYPERLINK(".\links\REFSEQ-PROTOZOA\AGAP005680-PA-REFSEQ-PROTOZOA.txt","PAB-dependent poly(A)-specific ribonuclease subunit 3")</f>
        <v>PAB-dependent poly(A)-specific ribonuclease subunit 3</v>
      </c>
      <c r="BI327" s="2" t="str">
        <f>HYPERLINK("http://www.ncbi.nlm.nih.gov/sutils/blink.cgi?pid=XP_004346646.1","1E-105")</f>
        <v>1E-105</v>
      </c>
      <c r="BJ327" s="2" t="str">
        <f>HYPERLINK("http://www.ncbi.nlm.nih.gov/protein/XP_004346646.1","XP_004346646.1")</f>
        <v>XP_004346646.1</v>
      </c>
      <c r="BK327" s="2">
        <v>35</v>
      </c>
      <c r="BL327" s="2">
        <v>54</v>
      </c>
      <c r="BM327" s="2">
        <v>70</v>
      </c>
      <c r="BN327" s="2" t="s">
        <v>106</v>
      </c>
      <c r="BO327" s="9" t="str">
        <f>HYPERLINK(".\links\SWISSP\AGAP005680-PA-SWISSP.txt","PAN2-PAN3 deadenylation complex subunit PAN3")</f>
        <v>PAN2-PAN3 deadenylation complex subunit PAN3</v>
      </c>
      <c r="BP327" s="2" t="str">
        <f>HYPERLINK("http://www.uniprot.org/uniprot/Q95RR8","0.0")</f>
        <v>0.0</v>
      </c>
      <c r="BQ327" s="2" t="str">
        <f>HYPERLINK("http://www.uniprot.org/uniprot/Q95RR8#expression","Q95RR8")</f>
        <v>Q95RR8</v>
      </c>
      <c r="BR327" s="2">
        <v>56</v>
      </c>
      <c r="BS327" s="2">
        <v>69</v>
      </c>
      <c r="BT327" s="2">
        <v>99</v>
      </c>
      <c r="BU327" s="2" t="s">
        <v>107</v>
      </c>
      <c r="BV327" s="9" t="str">
        <f>HYPERLINK(".\links\FLYBASE\AGAP005680-PA-FLYBASE.txt","FBpp0072864")</f>
        <v>FBpp0072864</v>
      </c>
      <c r="BW327" s="2" t="str">
        <f>HYPERLINK("http://flybase.org/reports/FBgn0035397#alliance_summary_container","0.0")</f>
        <v>0.0</v>
      </c>
      <c r="BX327" s="2">
        <v>780</v>
      </c>
      <c r="BY327" s="2">
        <v>57</v>
      </c>
      <c r="BZ327" s="2">
        <v>69</v>
      </c>
      <c r="CA327" s="2">
        <v>99</v>
      </c>
      <c r="CB327" s="9" t="str">
        <f>HYPERLINK(".\links\CDD\AGAP005680-PA-CDD.txt","PKc, Catalytic domain of Protein Kinases")</f>
        <v>PKc, Catalytic domain of Protein Kinases</v>
      </c>
      <c r="CC327" s="15">
        <v>6.9999999999999998E-9</v>
      </c>
      <c r="CD327" s="2">
        <v>74.400000000000006</v>
      </c>
      <c r="CE327" s="2" t="s">
        <v>3576</v>
      </c>
      <c r="CF327" s="2" t="s">
        <v>3577</v>
      </c>
      <c r="CG327" s="9" t="str">
        <f>HYPERLINK(".\links\KOG\AGAP005680-PA-KOG.txt","Poly(A) ribonuclease subunit")</f>
        <v>Poly(A) ribonuclease subunit</v>
      </c>
      <c r="CH327" s="15">
        <v>9.9999999999999998E-150</v>
      </c>
      <c r="CI327" s="2">
        <v>105.3</v>
      </c>
      <c r="CJ327" s="2" t="s">
        <v>3578</v>
      </c>
      <c r="CK327" s="2" t="s">
        <v>722</v>
      </c>
      <c r="CL327" s="9" t="str">
        <f>HYPERLINK(".\links\PFAM\AGAP005680-PA-PFAM.txt","Pkinase, Protein kinase domain")</f>
        <v>Pkinase, Protein kinase domain</v>
      </c>
      <c r="CM327" s="15">
        <v>2.0000000000000001E-4</v>
      </c>
      <c r="CN327" s="2">
        <v>62.8</v>
      </c>
      <c r="CO327" s="2" t="s">
        <v>1574</v>
      </c>
      <c r="CP327" s="9" t="str">
        <f>HYPERLINK(".\links\SMART\AGAP005680-PA-SMART.txt","S_TKc, Serine/Threonine protein kinases, catalytic domain")</f>
        <v>S_TKc, Serine/Threonine protein kinases, catalytic domain</v>
      </c>
      <c r="CQ327" s="15">
        <v>3.9999999999999998E-7</v>
      </c>
      <c r="CR327" s="2">
        <v>54.3</v>
      </c>
      <c r="CS327" s="2" t="s">
        <v>1575</v>
      </c>
      <c r="CT327" s="2" t="s">
        <v>3574</v>
      </c>
      <c r="CU327" s="2" t="s">
        <v>3574</v>
      </c>
      <c r="CV327" s="2" t="s">
        <v>3574</v>
      </c>
      <c r="CW327" s="2" t="str">
        <f>HYPERLINK(".\links\pep\AGAP005680-PA-pep.txt","AGAP005680-PA")</f>
        <v>AGAP005680-PA</v>
      </c>
      <c r="CX327" s="2" t="s">
        <v>95</v>
      </c>
      <c r="CY327" s="2">
        <v>702</v>
      </c>
      <c r="CZ327" s="2" t="s">
        <v>113</v>
      </c>
      <c r="DA327" s="2" t="s">
        <v>3579</v>
      </c>
      <c r="DB327" s="2">
        <v>0</v>
      </c>
      <c r="DC327" s="2">
        <v>4</v>
      </c>
      <c r="DD327" s="2" t="str">
        <f>HYPERLINK("https://www.kegg.jp/kegg-bin/search_pathway_text?map=aga&amp;keyword=AGAP005680&amp;mode=1&amp;viewImage=true","AGAP005680")</f>
        <v>AGAP005680</v>
      </c>
      <c r="DE327" s="2" t="s">
        <v>3570</v>
      </c>
      <c r="DF327" s="2" t="s">
        <v>3571</v>
      </c>
      <c r="DG327" s="2" t="s">
        <v>94</v>
      </c>
      <c r="DH327" s="2" t="str">
        <f>HYPERLINK("https://vectorbase.org/vectorbase/app/record/gene/AGAP005680","AGAP005680-RA")</f>
        <v>AGAP005680-RA</v>
      </c>
      <c r="DI327" s="2" t="s">
        <v>135</v>
      </c>
      <c r="DJ327" s="2">
        <v>5674</v>
      </c>
      <c r="DK327" s="2" t="str">
        <f>HYPERLINK(".\links\netoglyc\AGAP005680-PA-netoglyc.txt","9")</f>
        <v>9</v>
      </c>
      <c r="DL327" s="2">
        <v>18.7</v>
      </c>
      <c r="DM327" s="2">
        <v>6</v>
      </c>
      <c r="DN327" s="2">
        <v>5.8</v>
      </c>
      <c r="DO327" s="2">
        <v>0.4</v>
      </c>
      <c r="DP327" s="2" t="s">
        <v>102</v>
      </c>
      <c r="DQ327" s="2" t="str">
        <f>HYPERLINK(".\links\Sigp\AGAP005680-PA-SigP.txt","CYT")</f>
        <v>CYT</v>
      </c>
      <c r="DR327" s="2" t="s">
        <v>102</v>
      </c>
      <c r="DS327" s="2">
        <v>76.903000000000006</v>
      </c>
      <c r="DT327" s="2">
        <v>6.87</v>
      </c>
      <c r="DU327" s="2" t="s">
        <v>102</v>
      </c>
      <c r="DV327" s="2" t="s">
        <v>102</v>
      </c>
      <c r="DW327" s="2" t="s">
        <v>124</v>
      </c>
      <c r="DX327" s="2">
        <v>702</v>
      </c>
      <c r="DY327" s="12">
        <v>0</v>
      </c>
      <c r="DZ327" s="2" t="s">
        <v>102</v>
      </c>
      <c r="EA327" s="2" t="s">
        <v>102</v>
      </c>
      <c r="EB327" s="2" t="s">
        <v>102</v>
      </c>
      <c r="EC327" s="2" t="str">
        <f>HYPERLINK(".\links\gpi\AGAP005680-PA-gpi.txt","Y-NoSP")</f>
        <v>Y-NoSP</v>
      </c>
      <c r="ED327" s="2">
        <v>0.19</v>
      </c>
      <c r="EF327" s="2">
        <v>11</v>
      </c>
      <c r="EG327" s="2" t="s">
        <v>102</v>
      </c>
      <c r="EH327" s="2" t="s">
        <v>102</v>
      </c>
      <c r="EI327" s="2">
        <v>18.660968660968699</v>
      </c>
      <c r="EJ327" s="2">
        <v>5.8404558404558404</v>
      </c>
      <c r="EK327" s="2">
        <v>5.9829059829059803</v>
      </c>
      <c r="EL327" s="2">
        <v>11.8233618233618</v>
      </c>
      <c r="EM327" s="2">
        <v>1</v>
      </c>
      <c r="EN327" s="2">
        <v>1</v>
      </c>
      <c r="EO327" s="2">
        <v>4</v>
      </c>
      <c r="EP327" s="2" t="s">
        <v>102</v>
      </c>
      <c r="EQ327" s="2" t="s">
        <v>102</v>
      </c>
      <c r="ER327" s="2" t="s">
        <v>102</v>
      </c>
      <c r="ES327" s="2" t="s">
        <v>102</v>
      </c>
      <c r="ET327" s="2" t="str">
        <f>HYPERLINK(".\links\REFSEQ-INVERTEBRATE\AGAP005680-PA-REFSEQ-INVERTEBRATE.txt","PAN2-PAN3 deadenylation complex subunit PAN3")</f>
        <v>PAN2-PAN3 deadenylation complex subunit PAN3</v>
      </c>
      <c r="EU327" s="2" t="str">
        <f>HYPERLINK("http://www.ncbi.nlm.nih.gov/sutils/blink.cgi?pid=XP_035913499.1","0.0")</f>
        <v>0.0</v>
      </c>
      <c r="EV327" s="2" t="str">
        <f>HYPERLINK("http://www.ncbi.nlm.nih.gov/protein/XP_035913499.1","XP_035913499.1")</f>
        <v>XP_035913499.1</v>
      </c>
      <c r="EW327" s="2">
        <v>90</v>
      </c>
      <c r="EX327" s="2">
        <v>93</v>
      </c>
      <c r="EY327" s="2">
        <v>100</v>
      </c>
      <c r="EZ327" s="2" t="s">
        <v>370</v>
      </c>
    </row>
    <row r="328" spans="1:156" x14ac:dyDescent="0.25">
      <c r="A328" s="2" t="s">
        <v>3580</v>
      </c>
      <c r="B328" s="2">
        <v>-0.226732079848634</v>
      </c>
      <c r="C328" s="2">
        <f t="shared" si="5"/>
        <v>0.85456842643136766</v>
      </c>
      <c r="D328" s="2">
        <v>7.8028964720223204</v>
      </c>
      <c r="E328" s="2">
        <v>9.8328312646222003</v>
      </c>
      <c r="F328" s="2">
        <v>1.7142427971469599E-3</v>
      </c>
      <c r="G328" s="2">
        <v>4.0610247033373299E-2</v>
      </c>
      <c r="H328" s="2" t="s">
        <v>93</v>
      </c>
      <c r="I328" s="2" t="s">
        <v>94</v>
      </c>
      <c r="J328" s="2" t="str">
        <f>HYPERLINK("https://vectorbase.org/vectorbase/app/record/gene/AGAP011717","AGAP011717-RA")</f>
        <v>AGAP011717-RA</v>
      </c>
      <c r="K328" s="2" t="str">
        <f>HYPERLINK(".\links\pep\AGAP011717-PA-pep.txt","AGAP011717-PA")</f>
        <v>AGAP011717-PA</v>
      </c>
      <c r="L328" s="12" t="s">
        <v>95</v>
      </c>
      <c r="M328" s="2">
        <v>963</v>
      </c>
      <c r="N328" s="2">
        <v>0</v>
      </c>
      <c r="O328" s="2">
        <v>0</v>
      </c>
      <c r="P328" s="2" t="s">
        <v>3581</v>
      </c>
      <c r="Q328" s="9" t="s">
        <v>3582</v>
      </c>
      <c r="R328" s="2" t="s">
        <v>388</v>
      </c>
      <c r="S328" s="2" t="str">
        <f>HYPERLINK(".\links\KOG\AGAP011717-PA-KOG.txt","KOG")</f>
        <v>KOG</v>
      </c>
      <c r="T328" s="2">
        <v>3.9999999999999997E-65</v>
      </c>
      <c r="U328" s="2">
        <v>107.6</v>
      </c>
      <c r="V328" s="2" t="s">
        <v>3583</v>
      </c>
      <c r="W328" s="10" t="s">
        <v>3584</v>
      </c>
      <c r="X328" s="2" t="s">
        <v>420</v>
      </c>
      <c r="Y328" s="2" t="str">
        <f>HYPERLINK(".\links\PFAM\AGAP011717-PA-PFAM.txt","PFAM")</f>
        <v>PFAM</v>
      </c>
      <c r="Z328" s="15">
        <v>9.0000000000000004E-93</v>
      </c>
      <c r="AA328" s="2">
        <v>102</v>
      </c>
      <c r="AB328" s="13" t="s">
        <v>102</v>
      </c>
      <c r="AC328" s="13" t="str">
        <f>HYPERLINK(".\links\Sigp\AGAP011717-PA-SigP.txt","CYT")</f>
        <v>CYT</v>
      </c>
      <c r="AD328" s="2" t="s">
        <v>102</v>
      </c>
      <c r="AE328" s="2">
        <v>108.099</v>
      </c>
      <c r="AF328" s="2">
        <v>9.26</v>
      </c>
      <c r="AG328" s="2" t="s">
        <v>102</v>
      </c>
      <c r="AH328" s="2" t="s">
        <v>102</v>
      </c>
      <c r="AI328" s="2" t="s">
        <v>211</v>
      </c>
      <c r="AJ328" s="13">
        <v>0</v>
      </c>
      <c r="AK328" s="2" t="s">
        <v>102</v>
      </c>
      <c r="AL328" s="2" t="s">
        <v>102</v>
      </c>
      <c r="AM328" s="2" t="s">
        <v>102</v>
      </c>
      <c r="AN328" s="13" t="str">
        <f>HYPERLINK(".\links\gpi\AGAP011717-PA-gpi.txt","N")</f>
        <v>N</v>
      </c>
      <c r="AO328" s="14" t="str">
        <f>HYPERLINK(".\links\netoglyc\AGAP011717-PA-netoglyc.txt","15")</f>
        <v>15</v>
      </c>
      <c r="AP328" s="13">
        <v>13.1</v>
      </c>
      <c r="AQ328" s="2">
        <v>6.4</v>
      </c>
      <c r="AR328" s="2">
        <v>7.3</v>
      </c>
      <c r="AS328" s="2" t="s">
        <v>104</v>
      </c>
      <c r="AT328" s="9" t="str">
        <f>HYPERLINK(".\links\NR-LIGHT\AGAP011717-PA-NR-LIGHT.txt","AGAP011717-PA")</f>
        <v>AGAP011717-PA</v>
      </c>
      <c r="AU328" s="2" t="str">
        <f>HYPERLINK("http://www.ncbi.nlm.nih.gov/sutils/blink.cgi?pid=XP_320795.4","0.0")</f>
        <v>0.0</v>
      </c>
      <c r="AV328" s="2" t="str">
        <f>HYPERLINK("http://www.ncbi.nlm.nih.gov/protein/XP_320795.4","XP_320795.4")</f>
        <v>XP_320795.4</v>
      </c>
      <c r="AW328" s="2">
        <v>98</v>
      </c>
      <c r="AX328" s="2">
        <v>98</v>
      </c>
      <c r="AY328" s="2">
        <v>100</v>
      </c>
      <c r="AZ328" s="2" t="s">
        <v>105</v>
      </c>
      <c r="BA328" s="9" t="str">
        <f>HYPERLINK(".\links\REFSEQ-INVERTEBRATE\AGAP011717-PA-REFSEQ-INVERTEBRATE.txt","AGAP011717-PA")</f>
        <v>AGAP011717-PA</v>
      </c>
      <c r="BB328" s="2" t="str">
        <f>HYPERLINK("http://www.ncbi.nlm.nih.gov/sutils/blink.cgi?pid=XP_320795.4","0.0")</f>
        <v>0.0</v>
      </c>
      <c r="BC328" s="2" t="str">
        <f>HYPERLINK("http://www.ncbi.nlm.nih.gov/protein/XP_320795.4","XP_320795.4")</f>
        <v>XP_320795.4</v>
      </c>
      <c r="BD328" s="2">
        <v>98</v>
      </c>
      <c r="BE328" s="2">
        <v>98</v>
      </c>
      <c r="BF328" s="2">
        <v>100</v>
      </c>
      <c r="BG328" s="2" t="s">
        <v>105</v>
      </c>
      <c r="BH328" s="9" t="str">
        <f>HYPERLINK(".\links\REFSEQ-PROTOZOA\AGAP011717-PA-REFSEQ-PROTOZOA.txt","Argonaute1 (AGO1)")</f>
        <v>Argonaute1 (AGO1)</v>
      </c>
      <c r="BI328" s="2" t="str">
        <f>HYPERLINK("http://www.ncbi.nlm.nih.gov/sutils/blink.cgi?pid=XP_002906080.1","1E-170")</f>
        <v>1E-170</v>
      </c>
      <c r="BJ328" s="2" t="str">
        <f>HYPERLINK("http://www.ncbi.nlm.nih.gov/protein/XP_002906080.1","XP_002906080.1")</f>
        <v>XP_002906080.1</v>
      </c>
      <c r="BK328" s="2">
        <v>39</v>
      </c>
      <c r="BL328" s="2">
        <v>54</v>
      </c>
      <c r="BM328" s="2">
        <v>102</v>
      </c>
      <c r="BN328" s="2" t="s">
        <v>857</v>
      </c>
      <c r="BO328" s="9" t="str">
        <f>HYPERLINK(".\links\SWISSP\AGAP011717-PA-SWISSP.txt","Protein argonaute-2")</f>
        <v>Protein argonaute-2</v>
      </c>
      <c r="BP328" s="2" t="str">
        <f>HYPERLINK("http://www.uniprot.org/uniprot/Q6DJB9","0.0")</f>
        <v>0.0</v>
      </c>
      <c r="BQ328" s="2" t="str">
        <f>HYPERLINK("http://www.uniprot.org/uniprot/Q6DJB9#expression","Q6DJB9")</f>
        <v>Q6DJB9</v>
      </c>
      <c r="BR328" s="2">
        <v>74</v>
      </c>
      <c r="BS328" s="2">
        <v>84</v>
      </c>
      <c r="BT328" s="2">
        <v>100</v>
      </c>
      <c r="BU328" s="2" t="s">
        <v>459</v>
      </c>
      <c r="BV328" s="9" t="str">
        <f>HYPERLINK(".\links\FLYBASE\AGAP011717-PA-FLYBASE.txt","FBpp0294043")</f>
        <v>FBpp0294043</v>
      </c>
      <c r="BW328" s="2" t="str">
        <f>HYPERLINK("http://flybase.org/reports/FBgn0262739#alliance_summary_container","0.0")</f>
        <v>0.0</v>
      </c>
      <c r="BX328" s="2">
        <v>984</v>
      </c>
      <c r="BY328" s="2">
        <v>87</v>
      </c>
      <c r="BZ328" s="2">
        <v>91</v>
      </c>
      <c r="CA328" s="2">
        <v>101</v>
      </c>
      <c r="CB328" s="9" t="str">
        <f>HYPERLINK(".\links\CDD\AGAP011717-PA-CDD.txt","Piwi_ago-like, Piwi_ago-like: PIWI domain, Argonaute-like subfamily")</f>
        <v>Piwi_ago-like, Piwi_ago-like: PIWI domain, Argonaute-like subfamily</v>
      </c>
      <c r="CC328" s="15">
        <v>0</v>
      </c>
      <c r="CD328" s="2">
        <v>104.7</v>
      </c>
      <c r="CE328" s="2" t="s">
        <v>3585</v>
      </c>
      <c r="CF328" s="2" t="s">
        <v>3586</v>
      </c>
      <c r="CG328" s="9" t="str">
        <f>HYPERLINK(".\links\KOG\AGAP011717-PA-KOG.txt","Translation initiation factor 2C (eIF-2C) and related proteins")</f>
        <v>Translation initiation factor 2C (eIF-2C) and related proteins</v>
      </c>
      <c r="CH328" s="15">
        <v>0</v>
      </c>
      <c r="CI328" s="2">
        <v>103.2</v>
      </c>
      <c r="CJ328" s="2" t="s">
        <v>3587</v>
      </c>
      <c r="CK328" s="2" t="s">
        <v>678</v>
      </c>
      <c r="CL328" s="9" t="str">
        <f>HYPERLINK(".\links\PFAM\AGAP011717-PA-PFAM.txt","Piwi, Piwi domain")</f>
        <v>Piwi, Piwi domain</v>
      </c>
      <c r="CM328" s="15">
        <v>1E-108</v>
      </c>
      <c r="CN328" s="2">
        <v>103</v>
      </c>
      <c r="CO328" s="2" t="s">
        <v>3588</v>
      </c>
      <c r="CP328" s="9" t="str">
        <f>HYPERLINK(".\links\SMART\AGAP011717-PA-SMART.txt","Piwi, This domain is found in the protein Piwi and its relatives")</f>
        <v>Piwi, This domain is found in the protein Piwi and its relatives</v>
      </c>
      <c r="CQ328" s="15">
        <v>1E-108</v>
      </c>
      <c r="CR328" s="2">
        <v>104</v>
      </c>
      <c r="CS328" s="2" t="s">
        <v>3589</v>
      </c>
      <c r="CT328" s="2" t="s">
        <v>3583</v>
      </c>
      <c r="CU328" s="2" t="s">
        <v>3583</v>
      </c>
      <c r="CV328" s="2" t="s">
        <v>3583</v>
      </c>
      <c r="CW328" s="2" t="str">
        <f>HYPERLINK(".\links\pep\AGAP011717-PA-pep.txt","AGAP011717-PA")</f>
        <v>AGAP011717-PA</v>
      </c>
      <c r="CX328" s="2" t="s">
        <v>95</v>
      </c>
      <c r="CY328" s="2">
        <v>955</v>
      </c>
      <c r="CZ328" s="2" t="s">
        <v>113</v>
      </c>
      <c r="DA328" s="2" t="s">
        <v>3590</v>
      </c>
      <c r="DB328" s="2">
        <v>0</v>
      </c>
      <c r="DC328" s="2">
        <v>0</v>
      </c>
      <c r="DD328" s="2" t="str">
        <f>HYPERLINK("https://www.kegg.jp/kegg-bin/search_pathway_text?map=aga&amp;keyword=AGAP011717&amp;mode=1&amp;viewImage=true","AGAP011717")</f>
        <v>AGAP011717</v>
      </c>
      <c r="DE328" s="2" t="s">
        <v>3580</v>
      </c>
      <c r="DF328" s="2" t="s">
        <v>93</v>
      </c>
      <c r="DG328" s="2" t="s">
        <v>94</v>
      </c>
      <c r="DH328" s="2" t="str">
        <f>HYPERLINK("https://vectorbase.org/vectorbase/app/record/gene/AGAP011717","AGAP011717-RA")</f>
        <v>AGAP011717-RA</v>
      </c>
      <c r="DI328" s="2" t="s">
        <v>115</v>
      </c>
      <c r="DJ328" s="2">
        <v>10468</v>
      </c>
      <c r="DK328" s="2" t="str">
        <f>HYPERLINK(".\links\netoglyc\AGAP011717-PA-netoglyc.txt","18")</f>
        <v>18</v>
      </c>
      <c r="DL328" s="2">
        <v>12.9</v>
      </c>
      <c r="DM328" s="2">
        <v>6.5</v>
      </c>
      <c r="DN328" s="2">
        <v>7.3</v>
      </c>
      <c r="DO328" s="2" t="s">
        <v>104</v>
      </c>
      <c r="DP328" s="2" t="s">
        <v>102</v>
      </c>
      <c r="DQ328" s="2" t="str">
        <f>HYPERLINK(".\links\Sigp\AGAP011717-PA-SigP.txt","CYT")</f>
        <v>CYT</v>
      </c>
      <c r="DR328" s="2" t="s">
        <v>102</v>
      </c>
      <c r="DS328" s="2">
        <v>107.256</v>
      </c>
      <c r="DT328" s="2">
        <v>9.1999999999999993</v>
      </c>
      <c r="DU328" s="2" t="s">
        <v>102</v>
      </c>
      <c r="DV328" s="2" t="s">
        <v>102</v>
      </c>
      <c r="DW328" s="2" t="s">
        <v>211</v>
      </c>
      <c r="DX328" s="2">
        <v>955</v>
      </c>
      <c r="DY328" s="12">
        <v>0</v>
      </c>
      <c r="DZ328" s="2" t="s">
        <v>102</v>
      </c>
      <c r="EA328" s="2" t="s">
        <v>102</v>
      </c>
      <c r="EB328" s="2" t="s">
        <v>102</v>
      </c>
      <c r="EC328" s="2" t="str">
        <f>HYPERLINK(".\links\gpi\AGAP011717-PA-gpi.txt","Y-NoSP")</f>
        <v>Y-NoSP</v>
      </c>
      <c r="ED328" s="2">
        <v>0.18</v>
      </c>
      <c r="EF328" s="2">
        <v>21</v>
      </c>
      <c r="EG328" s="2" t="s">
        <v>102</v>
      </c>
      <c r="EH328" s="2" t="s">
        <v>102</v>
      </c>
      <c r="EI328" s="2">
        <v>12.8795811518325</v>
      </c>
      <c r="EJ328" s="2">
        <v>7.3298429319371703</v>
      </c>
      <c r="EK328" s="2">
        <v>6.4921465968586398</v>
      </c>
      <c r="EL328" s="2">
        <v>13.8219895287958</v>
      </c>
      <c r="EM328" s="2">
        <v>2</v>
      </c>
      <c r="EN328" s="2">
        <v>1</v>
      </c>
      <c r="EO328" s="2">
        <v>4</v>
      </c>
      <c r="EP328" s="2" t="s">
        <v>102</v>
      </c>
      <c r="EQ328" s="2" t="s">
        <v>102</v>
      </c>
      <c r="ER328" s="2" t="s">
        <v>102</v>
      </c>
      <c r="ES328" s="2" t="s">
        <v>102</v>
      </c>
      <c r="ET328" s="2" t="str">
        <f>HYPERLINK(".\links\REFSEQ-INVERTEBRATE\AGAP011717-PA-REFSEQ-INVERTEBRATE.txt","protein argonaute-2 isoform X1")</f>
        <v>protein argonaute-2 isoform X1</v>
      </c>
      <c r="EU328" s="2" t="str">
        <f>HYPERLINK("http://www.ncbi.nlm.nih.gov/sutils/blink.cgi?pid=XP_035898355.1","0.0")</f>
        <v>0.0</v>
      </c>
      <c r="EV328" s="2" t="str">
        <f>HYPERLINK("http://www.ncbi.nlm.nih.gov/protein/XP_035898355.1","XP_035898355.1")</f>
        <v>XP_035898355.1</v>
      </c>
      <c r="EW328" s="2">
        <v>99</v>
      </c>
      <c r="EX328" s="2">
        <v>100</v>
      </c>
      <c r="EY328" s="2">
        <v>100</v>
      </c>
      <c r="EZ328" s="2" t="s">
        <v>370</v>
      </c>
    </row>
    <row r="329" spans="1:156" x14ac:dyDescent="0.25">
      <c r="A329" s="2" t="s">
        <v>3591</v>
      </c>
      <c r="B329" s="2">
        <v>-0.228119669882799</v>
      </c>
      <c r="C329" s="2">
        <f t="shared" si="5"/>
        <v>0.85374689413794613</v>
      </c>
      <c r="D329" s="2">
        <v>6.2119894930364596</v>
      </c>
      <c r="E329" s="2">
        <v>10.4933720892426</v>
      </c>
      <c r="F329" s="2">
        <v>1.1980352191660001E-3</v>
      </c>
      <c r="G329" s="2">
        <v>3.4725403190826197E-2</v>
      </c>
      <c r="H329" s="2" t="s">
        <v>93</v>
      </c>
      <c r="I329" s="2" t="s">
        <v>94</v>
      </c>
      <c r="J329" s="2" t="str">
        <f>HYPERLINK("https://vectorbase.org/vectorbase/app/record/gene/AGAP011115","AGAP011115-RA")</f>
        <v>AGAP011115-RA</v>
      </c>
      <c r="K329" s="2" t="str">
        <f>HYPERLINK(".\links\pep\AGAP011115-PA-pep.txt","AGAP011115-PA")</f>
        <v>AGAP011115-PA</v>
      </c>
      <c r="L329" s="12" t="s">
        <v>95</v>
      </c>
      <c r="M329" s="2">
        <v>473</v>
      </c>
      <c r="N329" s="2">
        <v>0</v>
      </c>
      <c r="O329" s="2">
        <v>0</v>
      </c>
      <c r="P329" s="2" t="s">
        <v>102</v>
      </c>
      <c r="Q329" s="9" t="s">
        <v>3592</v>
      </c>
      <c r="R329" s="2" t="s">
        <v>196</v>
      </c>
      <c r="S329" s="2" t="str">
        <f>HYPERLINK(".\links\REFSEQ-INVERTEBRATE\AGAP011115-PA-REFSEQ-INVERTEBRATE.txt","REFSEQ-INVERTEBRATE")</f>
        <v>REFSEQ-INVERTEBRATE</v>
      </c>
      <c r="T329" s="2">
        <v>0</v>
      </c>
      <c r="U329" s="2">
        <v>107</v>
      </c>
      <c r="V329" s="2" t="s">
        <v>3593</v>
      </c>
      <c r="W329" s="10" t="s">
        <v>3594</v>
      </c>
      <c r="X329" s="2" t="s">
        <v>196</v>
      </c>
      <c r="Y329" s="2" t="str">
        <f>HYPERLINK(".\links\ARTHORPODA\AGAP011115-PA-ARTHORPODA.txt","ARTHORPODA")</f>
        <v>ARTHORPODA</v>
      </c>
      <c r="Z329" s="15">
        <v>0</v>
      </c>
      <c r="AA329" s="2">
        <v>98.9</v>
      </c>
      <c r="AB329" s="13" t="str">
        <f>HYPERLINK(".\links\pep\AGAP011115-PA-sulf.txt","1")</f>
        <v>1</v>
      </c>
      <c r="AC329" s="13" t="str">
        <f>HYPERLINK(".\links\Sigp\AGAP011115-PA-SigP.txt","CYT")</f>
        <v>CYT</v>
      </c>
      <c r="AD329" s="2" t="s">
        <v>102</v>
      </c>
      <c r="AE329" s="2">
        <v>51.738</v>
      </c>
      <c r="AF329" s="2">
        <v>4.88</v>
      </c>
      <c r="AG329" s="2" t="s">
        <v>102</v>
      </c>
      <c r="AH329" s="2" t="s">
        <v>102</v>
      </c>
      <c r="AI329" s="2" t="s">
        <v>211</v>
      </c>
      <c r="AJ329" s="13">
        <v>0</v>
      </c>
      <c r="AK329" s="2" t="s">
        <v>102</v>
      </c>
      <c r="AL329" s="2" t="s">
        <v>102</v>
      </c>
      <c r="AM329" s="2" t="s">
        <v>102</v>
      </c>
      <c r="AN329" s="13" t="str">
        <f>HYPERLINK(".\links\gpi\AGAP011115-PA-gpi.txt","N")</f>
        <v>N</v>
      </c>
      <c r="AO329" s="14" t="str">
        <f>HYPERLINK(".\links\netoglyc\AGAP011115-PA-netoglyc.txt","26")</f>
        <v>26</v>
      </c>
      <c r="AP329" s="13">
        <v>19</v>
      </c>
      <c r="AQ329" s="2">
        <v>4.9000000000000004</v>
      </c>
      <c r="AR329" s="2">
        <v>4.2</v>
      </c>
      <c r="AS329" s="2" t="s">
        <v>104</v>
      </c>
      <c r="AT329" s="9" t="str">
        <f>HYPERLINK(".\links\NR-LIGHT\AGAP011115-PA-NR-LIGHT.txt","AGAP011115-PA")</f>
        <v>AGAP011115-PA</v>
      </c>
      <c r="AU329" s="2" t="str">
        <f>HYPERLINK("http://www.ncbi.nlm.nih.gov/sutils/blink.cgi?pid=XP_309531.4","0.0")</f>
        <v>0.0</v>
      </c>
      <c r="AV329" s="2" t="str">
        <f>HYPERLINK("http://www.ncbi.nlm.nih.gov/protein/XP_309531.4","XP_309531.4")</f>
        <v>XP_309531.4</v>
      </c>
      <c r="AW329" s="2">
        <v>93</v>
      </c>
      <c r="AX329" s="2">
        <v>93</v>
      </c>
      <c r="AY329" s="2">
        <v>108</v>
      </c>
      <c r="AZ329" s="2" t="s">
        <v>105</v>
      </c>
      <c r="BA329" s="9" t="str">
        <f>HYPERLINK(".\links\REFSEQ-INVERTEBRATE\AGAP011115-PA-REFSEQ-INVERTEBRATE.txt","AGAP011115-PA")</f>
        <v>AGAP011115-PA</v>
      </c>
      <c r="BB329" s="2" t="str">
        <f>HYPERLINK("http://www.ncbi.nlm.nih.gov/sutils/blink.cgi?pid=XP_309531.4","0.0")</f>
        <v>0.0</v>
      </c>
      <c r="BC329" s="2" t="str">
        <f>HYPERLINK("http://www.ncbi.nlm.nih.gov/protein/XP_309531.4","XP_309531.4")</f>
        <v>XP_309531.4</v>
      </c>
      <c r="BD329" s="2">
        <v>93</v>
      </c>
      <c r="BE329" s="2">
        <v>93</v>
      </c>
      <c r="BF329" s="2">
        <v>108</v>
      </c>
      <c r="BG329" s="2" t="s">
        <v>105</v>
      </c>
      <c r="BH329" s="9" t="str">
        <f>HYPERLINK(".\links\REFSEQ-PROTOZOA\AGAP011115-PA-REFSEQ-PROTOZOA.txt","hypothetical protein CAOG_00423")</f>
        <v>hypothetical protein CAOG_00423</v>
      </c>
      <c r="BI329" s="2" t="str">
        <f>HYPERLINK("http://www.ncbi.nlm.nih.gov/sutils/blink.cgi?pid=XP_004365294.1","2E-012")</f>
        <v>2E-012</v>
      </c>
      <c r="BJ329" s="2" t="str">
        <f>HYPERLINK("http://www.ncbi.nlm.nih.gov/protein/XP_004365294.1","XP_004365294.1")</f>
        <v>XP_004365294.1</v>
      </c>
      <c r="BK329" s="2">
        <v>20</v>
      </c>
      <c r="BL329" s="2">
        <v>38</v>
      </c>
      <c r="BM329" s="2">
        <v>95</v>
      </c>
      <c r="BN329" s="2" t="s">
        <v>106</v>
      </c>
      <c r="BO329" s="9" t="str">
        <f>HYPERLINK(".\links\SWISSP\AGAP011115-PA-SWISSP.txt","BSD domain-containing protein 1-A")</f>
        <v>BSD domain-containing protein 1-A</v>
      </c>
      <c r="BP329" s="2" t="str">
        <f>HYPERLINK("http://www.uniprot.org/uniprot/Q6INU2","3E-020")</f>
        <v>3E-020</v>
      </c>
      <c r="BQ329" s="2" t="str">
        <f>HYPERLINK("http://www.uniprot.org/uniprot/Q6INU2#expression","Q6INU2")</f>
        <v>Q6INU2</v>
      </c>
      <c r="BR329" s="2">
        <v>22</v>
      </c>
      <c r="BS329" s="2">
        <v>40</v>
      </c>
      <c r="BT329" s="2">
        <v>105</v>
      </c>
      <c r="BU329" s="2" t="s">
        <v>625</v>
      </c>
      <c r="BV329" s="9" t="str">
        <f>HYPERLINK(".\links\FLYBASE\AGAP011115-PA-FLYBASE.txt","FBpp0085200")</f>
        <v>FBpp0085200</v>
      </c>
      <c r="BW329" s="2" t="str">
        <f>HYPERLINK("http://flybase.org/reports/FBgn0022349#alliance_summary_container","80")</f>
        <v>80</v>
      </c>
      <c r="BX329" s="2">
        <v>466</v>
      </c>
      <c r="BY329" s="2">
        <v>36</v>
      </c>
      <c r="BZ329" s="2">
        <v>52</v>
      </c>
      <c r="CA329" s="2">
        <v>14</v>
      </c>
      <c r="CB329" s="9" t="str">
        <f>HYPERLINK(".\links\CDD\AGAP011115-PA-CDD.txt","Med3, Mediator complex subunit 3 fungal")</f>
        <v>Med3, Mediator complex subunit 3 fungal</v>
      </c>
      <c r="CC329" s="15">
        <v>7.0000000000000001E-3</v>
      </c>
      <c r="CD329" s="2">
        <v>23.2</v>
      </c>
      <c r="CE329" s="2" t="s">
        <v>3595</v>
      </c>
      <c r="CF329" s="2" t="s">
        <v>3596</v>
      </c>
      <c r="CG329" s="9" t="str">
        <f>HYPERLINK(".\links\KOG\AGAP011115-PA-KOG.txt","contains BSD domain")</f>
        <v>contains BSD domain</v>
      </c>
      <c r="CH329" s="15">
        <v>2.9999999999999999E-7</v>
      </c>
      <c r="CI329" s="2">
        <v>86.1</v>
      </c>
      <c r="CJ329" s="2" t="s">
        <v>3597</v>
      </c>
      <c r="CK329" s="2" t="s">
        <v>284</v>
      </c>
      <c r="CL329" s="9" t="str">
        <f>HYPERLINK(".\links\PFAM\AGAP011115-PA-PFAM.txt","Med3, Mediator complex subunit 3 fungal")</f>
        <v>Med3, Mediator complex subunit 3 fungal</v>
      </c>
      <c r="CM329" s="15">
        <v>1E-3</v>
      </c>
      <c r="CN329" s="2">
        <v>23.2</v>
      </c>
      <c r="CO329" s="2" t="s">
        <v>3595</v>
      </c>
      <c r="CP329" s="9" t="str">
        <f>HYPERLINK(".\links\SMART\AGAP011115-PA-SMART.txt","BSD, domain in transcription factors and synapse-associated proteins")</f>
        <v>BSD, domain in transcription factors and synapse-associated proteins</v>
      </c>
      <c r="CQ329" s="15">
        <v>8.9999999999999993E-3</v>
      </c>
      <c r="CR329" s="2">
        <v>70.599999999999994</v>
      </c>
      <c r="CS329" s="2" t="s">
        <v>3598</v>
      </c>
      <c r="CT329" s="2" t="s">
        <v>3593</v>
      </c>
      <c r="CU329" s="2" t="s">
        <v>3593</v>
      </c>
      <c r="CV329" s="2" t="s">
        <v>3593</v>
      </c>
      <c r="CW329" s="2" t="str">
        <f>HYPERLINK(".\links\pep\AGAP011115-PA-pep.txt","AGAP011115-PA")</f>
        <v>AGAP011115-PA</v>
      </c>
      <c r="CX329" s="2" t="s">
        <v>95</v>
      </c>
      <c r="CY329" s="2">
        <v>473</v>
      </c>
      <c r="CZ329" s="2" t="s">
        <v>113</v>
      </c>
      <c r="DA329" s="2" t="s">
        <v>3599</v>
      </c>
      <c r="DB329" s="2">
        <v>0</v>
      </c>
      <c r="DC329" s="2">
        <v>0</v>
      </c>
      <c r="DD329" s="2" t="str">
        <f>HYPERLINK("https://www.kegg.jp/kegg-bin/search_pathway_text?map=aga&amp;keyword=AGAP011115&amp;mode=1&amp;viewImage=true","AGAP011115")</f>
        <v>AGAP011115</v>
      </c>
      <c r="DE329" s="2" t="s">
        <v>3591</v>
      </c>
      <c r="DF329" s="2" t="s">
        <v>93</v>
      </c>
      <c r="DG329" s="2" t="s">
        <v>94</v>
      </c>
      <c r="DH329" s="2" t="str">
        <f>HYPERLINK("https://vectorbase.org/vectorbase/app/record/gene/AGAP011115","AGAP011115-RA")</f>
        <v>AGAP011115-RA</v>
      </c>
      <c r="DI329" s="2" t="s">
        <v>90</v>
      </c>
      <c r="DJ329" s="2">
        <v>3032</v>
      </c>
      <c r="DK329" s="2" t="str">
        <f>HYPERLINK(".\links\netoglyc\AGAP011115-PA-netoglyc.txt","26")</f>
        <v>26</v>
      </c>
      <c r="DL329" s="2">
        <v>19</v>
      </c>
      <c r="DM329" s="2">
        <v>4.9000000000000004</v>
      </c>
      <c r="DN329" s="2">
        <v>4.2</v>
      </c>
      <c r="DO329" s="2" t="s">
        <v>104</v>
      </c>
      <c r="DP329" s="2" t="s">
        <v>102</v>
      </c>
      <c r="DQ329" s="2" t="str">
        <f>HYPERLINK(".\links\Sigp\AGAP011115-PA-SigP.txt","CYT")</f>
        <v>CYT</v>
      </c>
      <c r="DR329" s="2" t="s">
        <v>102</v>
      </c>
      <c r="DS329" s="2">
        <v>51.738</v>
      </c>
      <c r="DT329" s="2">
        <v>4.88</v>
      </c>
      <c r="DU329" s="2" t="s">
        <v>102</v>
      </c>
      <c r="DV329" s="2" t="s">
        <v>102</v>
      </c>
      <c r="DW329" s="2" t="s">
        <v>211</v>
      </c>
      <c r="DX329" s="2">
        <v>473</v>
      </c>
      <c r="DY329" s="12">
        <v>0</v>
      </c>
      <c r="DZ329" s="2" t="s">
        <v>102</v>
      </c>
      <c r="EA329" s="2" t="s">
        <v>102</v>
      </c>
      <c r="EB329" s="2" t="s">
        <v>102</v>
      </c>
      <c r="EC329" s="2" t="str">
        <f>HYPERLINK(".\links\gpi\AGAP011115-PA-gpi.txt","Y-NoSP")</f>
        <v>Y-NoSP</v>
      </c>
      <c r="ED329" s="2">
        <v>0.38</v>
      </c>
      <c r="EF329" s="2">
        <v>1</v>
      </c>
      <c r="EG329" s="2" t="str">
        <f>HYPERLINK(".\links\pep\AGAP011115-PA-sulf.txt","1")</f>
        <v>1</v>
      </c>
      <c r="EH329" s="2" t="s">
        <v>102</v>
      </c>
      <c r="EI329" s="2">
        <v>19.0274841437632</v>
      </c>
      <c r="EJ329" s="2">
        <v>4.2283298097251603</v>
      </c>
      <c r="EK329" s="2">
        <v>4.8625792811839297</v>
      </c>
      <c r="EL329" s="2">
        <v>9.0909090909090899</v>
      </c>
      <c r="EM329" s="2" t="s">
        <v>102</v>
      </c>
      <c r="EN329" s="2">
        <v>4</v>
      </c>
      <c r="EO329" s="2">
        <v>4</v>
      </c>
      <c r="EP329" s="2" t="s">
        <v>102</v>
      </c>
      <c r="EQ329" s="2" t="s">
        <v>102</v>
      </c>
      <c r="ER329" s="2" t="s">
        <v>102</v>
      </c>
      <c r="ES329" s="2" t="s">
        <v>102</v>
      </c>
      <c r="ET329" s="2" t="str">
        <f>HYPERLINK(".\links\REFSEQ-INVERTEBRATE\AGAP011115-PA-REFSEQ-INVERTEBRATE.txt","AGAP011115-PA")</f>
        <v>AGAP011115-PA</v>
      </c>
      <c r="EU329" s="2" t="str">
        <f>HYPERLINK("http://www.ncbi.nlm.nih.gov/sutils/blink.cgi?pid=XP_309531.4","0.0")</f>
        <v>0.0</v>
      </c>
      <c r="EV329" s="2" t="str">
        <f>HYPERLINK("http://www.ncbi.nlm.nih.gov/protein/XP_309531.4","XP_309531.4")</f>
        <v>XP_309531.4</v>
      </c>
      <c r="EW329" s="2">
        <v>93</v>
      </c>
      <c r="EX329" s="2">
        <v>93</v>
      </c>
      <c r="EY329" s="2">
        <v>108</v>
      </c>
      <c r="EZ329" s="2" t="s">
        <v>105</v>
      </c>
    </row>
    <row r="330" spans="1:156" x14ac:dyDescent="0.25">
      <c r="A330" s="2" t="s">
        <v>3600</v>
      </c>
      <c r="B330" s="2">
        <v>-0.231009501680528</v>
      </c>
      <c r="C330" s="2">
        <f t="shared" si="5"/>
        <v>0.85203848347719779</v>
      </c>
      <c r="D330" s="2">
        <v>6.5153680927793998</v>
      </c>
      <c r="E330" s="2">
        <v>9.0764132503109103</v>
      </c>
      <c r="F330" s="2">
        <v>2.58927394391946E-3</v>
      </c>
      <c r="G330" s="2">
        <v>4.7269525491001697E-2</v>
      </c>
      <c r="H330" s="2" t="s">
        <v>3601</v>
      </c>
      <c r="I330" s="2" t="s">
        <v>88</v>
      </c>
      <c r="J330" s="8" t="s">
        <v>3602</v>
      </c>
      <c r="Q330" s="9"/>
      <c r="W330" s="10"/>
      <c r="AB330" s="9"/>
      <c r="AC330" s="9"/>
      <c r="AJ330" s="9"/>
      <c r="AN330" s="9"/>
      <c r="AO330" s="11"/>
      <c r="AP330" s="9"/>
      <c r="AT330" s="9"/>
      <c r="BA330" s="9"/>
      <c r="BH330" s="9"/>
      <c r="BO330" s="9"/>
      <c r="BV330" s="9"/>
      <c r="CB330" s="9"/>
      <c r="CG330" s="9"/>
      <c r="CL330" s="9"/>
      <c r="CP330" s="9"/>
      <c r="DE330" s="2" t="s">
        <v>3600</v>
      </c>
      <c r="DF330" s="2" t="s">
        <v>3601</v>
      </c>
      <c r="DG330" s="2" t="s">
        <v>88</v>
      </c>
      <c r="DH330" s="8" t="s">
        <v>3602</v>
      </c>
      <c r="DI330" s="2" t="s">
        <v>90</v>
      </c>
      <c r="DJ330" s="2">
        <v>6530</v>
      </c>
      <c r="DQ330" s="2" t="s">
        <v>141</v>
      </c>
      <c r="DS330" s="2">
        <v>51907</v>
      </c>
      <c r="DT330" s="2">
        <v>8.25</v>
      </c>
      <c r="DX330" s="2">
        <v>458</v>
      </c>
      <c r="DY330" s="12"/>
    </row>
    <row r="331" spans="1:156" x14ac:dyDescent="0.25">
      <c r="A331" s="2" t="s">
        <v>3603</v>
      </c>
      <c r="B331" s="2">
        <v>-0.231996081836777</v>
      </c>
      <c r="C331" s="2">
        <f t="shared" si="5"/>
        <v>0.85145602018437971</v>
      </c>
      <c r="D331" s="2">
        <v>6.5140109862200797</v>
      </c>
      <c r="E331" s="2">
        <v>9.35282223178619</v>
      </c>
      <c r="F331" s="2">
        <v>2.2264236085150898E-3</v>
      </c>
      <c r="G331" s="2">
        <v>4.5240009612198498E-2</v>
      </c>
      <c r="H331" s="2" t="s">
        <v>93</v>
      </c>
      <c r="I331" s="2" t="s">
        <v>94</v>
      </c>
      <c r="J331" s="2" t="str">
        <f>HYPERLINK("https://vectorbase.org/vectorbase/app/record/gene/AGAP028045","AGAP028045-RA")</f>
        <v>AGAP028045-RA</v>
      </c>
      <c r="K331" s="2" t="str">
        <f>HYPERLINK(".\links\pep\AGAP028045-PA-pep.txt","AGAP028045-PA")</f>
        <v>AGAP028045-PA</v>
      </c>
      <c r="L331" s="12" t="s">
        <v>95</v>
      </c>
      <c r="M331" s="2">
        <v>303</v>
      </c>
      <c r="N331" s="2">
        <v>0</v>
      </c>
      <c r="O331" s="2">
        <v>2</v>
      </c>
      <c r="P331" s="2" t="s">
        <v>102</v>
      </c>
      <c r="Q331" s="9" t="s">
        <v>3604</v>
      </c>
      <c r="R331" s="2" t="s">
        <v>355</v>
      </c>
      <c r="S331" s="2" t="str">
        <f>HYPERLINK(".\links\KOG\AGAP028045-PA-KOG.txt","KOG")</f>
        <v>KOG</v>
      </c>
      <c r="T331" s="2">
        <v>1.0000000000000001E-18</v>
      </c>
      <c r="U331" s="2">
        <v>35.6</v>
      </c>
      <c r="V331" s="2" t="s">
        <v>3605</v>
      </c>
      <c r="W331" s="10" t="s">
        <v>3606</v>
      </c>
      <c r="X331" s="2" t="s">
        <v>420</v>
      </c>
      <c r="Y331" s="2" t="str">
        <f>HYPERLINK(".\links\UNIPROTKB\AGAP028045-PA-UNIPROTKB.txt","UNIPROTKB")</f>
        <v>UNIPROTKB</v>
      </c>
      <c r="Z331" s="15">
        <v>1.9999999999999999E-40</v>
      </c>
      <c r="AA331" s="2">
        <v>79.099999999999994</v>
      </c>
      <c r="AB331" s="13" t="s">
        <v>102</v>
      </c>
      <c r="AC331" s="13" t="str">
        <f>HYPERLINK(".\links\Sigp\AGAP028045-PA-SigP.txt","CYT")</f>
        <v>CYT</v>
      </c>
      <c r="AD331" s="2" t="s">
        <v>102</v>
      </c>
      <c r="AE331" s="2">
        <v>34.137999999999998</v>
      </c>
      <c r="AF331" s="2">
        <v>7.82</v>
      </c>
      <c r="AG331" s="2" t="s">
        <v>102</v>
      </c>
      <c r="AH331" s="2" t="s">
        <v>102</v>
      </c>
      <c r="AI331" s="2" t="s">
        <v>211</v>
      </c>
      <c r="AJ331" s="13">
        <v>0</v>
      </c>
      <c r="AK331" s="2" t="s">
        <v>102</v>
      </c>
      <c r="AL331" s="2" t="s">
        <v>102</v>
      </c>
      <c r="AM331" s="2" t="s">
        <v>102</v>
      </c>
      <c r="AN331" s="13" t="str">
        <f>HYPERLINK(".\links\gpi\AGAP028045-PA-gpi.txt","N")</f>
        <v>N</v>
      </c>
      <c r="AO331" s="14" t="str">
        <f>HYPERLINK(".\links\netoglyc\AGAP028045-PA-netoglyc.txt","5")</f>
        <v>5</v>
      </c>
      <c r="AP331" s="13">
        <v>13.9</v>
      </c>
      <c r="AQ331" s="2">
        <v>7.6</v>
      </c>
      <c r="AR331" s="2">
        <v>5.3</v>
      </c>
      <c r="AS331" s="2" t="s">
        <v>104</v>
      </c>
      <c r="AT331" s="9" t="str">
        <f>HYPERLINK(".\links\NR-LIGHT\AGAP028045-PA-NR-LIGHT.txt","b-cell translocation protein")</f>
        <v>b-cell translocation protein</v>
      </c>
      <c r="AU331" s="2" t="str">
        <f>HYPERLINK("http://www.ncbi.nlm.nih.gov/sutils/blink.cgi?pid=KFB39140.1","1E-135")</f>
        <v>1E-135</v>
      </c>
      <c r="AV331" s="2" t="str">
        <f>HYPERLINK("http://www.ncbi.nlm.nih.gov/protein/KFB39140.1","KFB39140.1")</f>
        <v>KFB39140.1</v>
      </c>
      <c r="AW331" s="2">
        <v>81</v>
      </c>
      <c r="AX331" s="2">
        <v>84</v>
      </c>
      <c r="AY331" s="2">
        <v>103</v>
      </c>
      <c r="AZ331" s="2" t="s">
        <v>1522</v>
      </c>
      <c r="BA331" s="9" t="str">
        <f>HYPERLINK(".\links\REFSEQ-INVERTEBRATE\AGAP028045-PA-REFSEQ-INVERTEBRATE.txt","BTG1 protein")</f>
        <v>BTG1 protein</v>
      </c>
      <c r="BB331" s="2" t="str">
        <f>HYPERLINK("http://www.ncbi.nlm.nih.gov/sutils/blink.cgi?pid=XP_001843715.1","1E-106")</f>
        <v>1E-106</v>
      </c>
      <c r="BC331" s="2" t="str">
        <f>HYPERLINK("http://www.ncbi.nlm.nih.gov/protein/XP_001843715.1","XP_001843715.1")</f>
        <v>XP_001843715.1</v>
      </c>
      <c r="BD331" s="2">
        <v>69</v>
      </c>
      <c r="BE331" s="2">
        <v>76</v>
      </c>
      <c r="BF331" s="2">
        <v>113</v>
      </c>
      <c r="BG331" s="2" t="s">
        <v>3607</v>
      </c>
      <c r="BH331" s="9" t="str">
        <f>HYPERLINK(".\links\REFSEQ-PROTOZOA\AGAP028045-PA-REFSEQ-PROTOZOA.txt","hypothetical protein SARC_05395")</f>
        <v>hypothetical protein SARC_05395</v>
      </c>
      <c r="BI331" s="2" t="str">
        <f>HYPERLINK("http://www.ncbi.nlm.nih.gov/sutils/blink.cgi?pid=XP_014156205.1","9E-018")</f>
        <v>9E-018</v>
      </c>
      <c r="BJ331" s="2" t="str">
        <f>HYPERLINK("http://www.ncbi.nlm.nih.gov/protein/XP_014156205.1","XP_014156205.1")</f>
        <v>XP_014156205.1</v>
      </c>
      <c r="BK331" s="2">
        <v>37</v>
      </c>
      <c r="BL331" s="2">
        <v>58</v>
      </c>
      <c r="BM331" s="2">
        <v>88</v>
      </c>
      <c r="BN331" s="2" t="s">
        <v>393</v>
      </c>
      <c r="BO331" s="9" t="str">
        <f>HYPERLINK(".\links\SWISSP\AGAP028045-PA-SWISSP.txt","Protein BTG2")</f>
        <v>Protein BTG2</v>
      </c>
      <c r="BP331" s="2" t="str">
        <f>HYPERLINK("http://www.uniprot.org/uniprot/P78543","6E-032")</f>
        <v>6E-032</v>
      </c>
      <c r="BQ331" s="2" t="str">
        <f>HYPERLINK("http://www.uniprot.org/uniprot/P78543#expression","P78543")</f>
        <v>P78543</v>
      </c>
      <c r="BR331" s="2">
        <v>53</v>
      </c>
      <c r="BS331" s="2">
        <v>73</v>
      </c>
      <c r="BT331" s="2">
        <v>77</v>
      </c>
      <c r="BU331" s="2" t="s">
        <v>127</v>
      </c>
      <c r="BV331" s="9" t="str">
        <f>HYPERLINK(".\links\FLYBASE\AGAP028045-PA-FLYBASE.txt","FBpp0290866")</f>
        <v>FBpp0290866</v>
      </c>
      <c r="BW331" s="2" t="str">
        <f>HYPERLINK("http://flybase.org/reports/FBgn0028397#alliance_summary_container","1E-24")</f>
        <v>1E-24</v>
      </c>
      <c r="BX331" s="2">
        <v>536</v>
      </c>
      <c r="BY331" s="2">
        <v>40</v>
      </c>
      <c r="BZ331" s="2">
        <v>60</v>
      </c>
      <c r="CA331" s="2">
        <v>22</v>
      </c>
      <c r="CB331" s="9" t="str">
        <f>HYPERLINK(".\links\CDD\AGAP028045-PA-CDD.txt","BTG, BTG family")</f>
        <v>BTG, BTG family</v>
      </c>
      <c r="CC331" s="15">
        <v>5.0000000000000004E-44</v>
      </c>
      <c r="CD331" s="2">
        <v>103.5</v>
      </c>
      <c r="CE331" s="2" t="s">
        <v>3608</v>
      </c>
      <c r="CF331" s="2" t="s">
        <v>3609</v>
      </c>
      <c r="CG331" s="9" t="str">
        <f>HYPERLINK(".\links\KOG\AGAP028045-PA-KOG.txt","Anti-proliferation factor BTG1/TOB")</f>
        <v>Anti-proliferation factor BTG1/TOB</v>
      </c>
      <c r="CH331" s="15">
        <v>1.0000000000000001E-18</v>
      </c>
      <c r="CI331" s="2">
        <v>35.700000000000003</v>
      </c>
      <c r="CJ331" s="2" t="s">
        <v>3610</v>
      </c>
      <c r="CK331" s="2" t="s">
        <v>367</v>
      </c>
      <c r="CL331" s="9" t="str">
        <f>HYPERLINK(".\links\PFAM\AGAP028045-PA-PFAM.txt","BTG, BTG family")</f>
        <v>BTG, BTG family</v>
      </c>
      <c r="CM331" s="15">
        <v>9.9999999999999995E-45</v>
      </c>
      <c r="CN331" s="2">
        <v>103.5</v>
      </c>
      <c r="CO331" s="2" t="s">
        <v>3608</v>
      </c>
      <c r="CP331" s="9" t="str">
        <f>HYPERLINK(".\links\SMART\AGAP028045-PA-SMART.txt","btg1, tob/btg1 family")</f>
        <v>btg1, tob/btg1 family</v>
      </c>
      <c r="CQ331" s="15">
        <v>2.0000000000000001E-33</v>
      </c>
      <c r="CR331" s="2">
        <v>100.9</v>
      </c>
      <c r="CS331" s="2" t="s">
        <v>3611</v>
      </c>
      <c r="CT331" s="2" t="s">
        <v>3605</v>
      </c>
      <c r="CU331" s="2" t="s">
        <v>3605</v>
      </c>
      <c r="CV331" s="2" t="s">
        <v>3605</v>
      </c>
      <c r="CW331" s="2" t="str">
        <f>HYPERLINK(".\links\pep\AGAP028045-PA-pep.txt","AGAP028045-PA")</f>
        <v>AGAP028045-PA</v>
      </c>
      <c r="CX331" s="2" t="s">
        <v>95</v>
      </c>
      <c r="CY331" s="2">
        <v>303</v>
      </c>
      <c r="CZ331" s="2" t="s">
        <v>113</v>
      </c>
      <c r="DA331" s="2" t="s">
        <v>3612</v>
      </c>
      <c r="DB331" s="2">
        <v>0</v>
      </c>
      <c r="DC331" s="2">
        <v>2</v>
      </c>
      <c r="DD331" s="2" t="str">
        <f>HYPERLINK("https://www.kegg.jp/kegg-bin/search_pathway_text?map=aga&amp;keyword=AGAP028045&amp;mode=1&amp;viewImage=true","AGAP028045")</f>
        <v>AGAP028045</v>
      </c>
      <c r="DE331" s="2" t="s">
        <v>3603</v>
      </c>
      <c r="DF331" s="2" t="s">
        <v>93</v>
      </c>
      <c r="DG331" s="2" t="s">
        <v>94</v>
      </c>
      <c r="DH331" s="2" t="str">
        <f>HYPERLINK("https://vectorbase.org/vectorbase/app/record/gene/AGAP028045","AGAP028045-RA")</f>
        <v>AGAP028045-RA</v>
      </c>
      <c r="DI331" s="2" t="s">
        <v>118</v>
      </c>
      <c r="DJ331" s="2">
        <v>3165</v>
      </c>
      <c r="DK331" s="2" t="str">
        <f>HYPERLINK(".\links\netoglyc\AGAP028045-PA-netoglyc.txt","5")</f>
        <v>5</v>
      </c>
      <c r="DL331" s="2">
        <v>13.9</v>
      </c>
      <c r="DM331" s="2">
        <v>7.6</v>
      </c>
      <c r="DN331" s="2">
        <v>5.3</v>
      </c>
      <c r="DO331" s="2" t="s">
        <v>104</v>
      </c>
      <c r="DP331" s="2" t="s">
        <v>102</v>
      </c>
      <c r="DQ331" s="2" t="str">
        <f>HYPERLINK(".\links\Sigp\AGAP028045-PA-SigP.txt","CYT")</f>
        <v>CYT</v>
      </c>
      <c r="DR331" s="2" t="s">
        <v>102</v>
      </c>
      <c r="DS331" s="2">
        <v>34.137999999999998</v>
      </c>
      <c r="DT331" s="2">
        <v>7.82</v>
      </c>
      <c r="DU331" s="2" t="s">
        <v>102</v>
      </c>
      <c r="DV331" s="2" t="s">
        <v>102</v>
      </c>
      <c r="DW331" s="2" t="s">
        <v>211</v>
      </c>
      <c r="DX331" s="2">
        <v>303</v>
      </c>
      <c r="DY331" s="12">
        <v>0</v>
      </c>
      <c r="DZ331" s="2" t="s">
        <v>102</v>
      </c>
      <c r="EA331" s="2" t="s">
        <v>102</v>
      </c>
      <c r="EB331" s="2" t="s">
        <v>102</v>
      </c>
      <c r="EC331" s="2" t="str">
        <f>HYPERLINK(".\links\gpi\AGAP028045-PA-gpi.txt","N")</f>
        <v>N</v>
      </c>
      <c r="ED331" s="2">
        <v>0.36</v>
      </c>
      <c r="EF331" s="2">
        <v>5</v>
      </c>
      <c r="EG331" s="2" t="s">
        <v>102</v>
      </c>
      <c r="EH331" s="2" t="s">
        <v>102</v>
      </c>
      <c r="EI331" s="2">
        <v>13.8613861386139</v>
      </c>
      <c r="EJ331" s="2">
        <v>5.2805280528052796</v>
      </c>
      <c r="EK331" s="2">
        <v>7.5907590759075898</v>
      </c>
      <c r="EL331" s="2">
        <v>12.8712871287129</v>
      </c>
      <c r="EM331" s="2" t="s">
        <v>102</v>
      </c>
      <c r="EN331" s="2">
        <v>2</v>
      </c>
      <c r="EO331" s="2">
        <v>2</v>
      </c>
      <c r="EP331" s="2" t="s">
        <v>102</v>
      </c>
      <c r="EQ331" s="2" t="s">
        <v>102</v>
      </c>
      <c r="ER331" s="2" t="s">
        <v>102</v>
      </c>
      <c r="ES331" s="2" t="s">
        <v>102</v>
      </c>
      <c r="ET331" s="2" t="str">
        <f>HYPERLINK(".\links\REFSEQ-INVERTEBRATE\AGAP028045-PA-REFSEQ-INVERTEBRATE.txt","protein Tob1")</f>
        <v>protein Tob1</v>
      </c>
      <c r="EU331" s="2" t="str">
        <f>HYPERLINK("http://www.ncbi.nlm.nih.gov/sutils/blink.cgi?pid=XP_035911193.1","1E-154")</f>
        <v>1E-154</v>
      </c>
      <c r="EV331" s="2" t="str">
        <f>HYPERLINK("http://www.ncbi.nlm.nih.gov/protein/XP_035911193.1","XP_035911193.1")</f>
        <v>XP_035911193.1</v>
      </c>
      <c r="EW331" s="2">
        <v>82</v>
      </c>
      <c r="EX331" s="2">
        <v>85</v>
      </c>
      <c r="EY331" s="2">
        <v>104</v>
      </c>
      <c r="EZ331" s="2" t="s">
        <v>370</v>
      </c>
    </row>
    <row r="332" spans="1:156" x14ac:dyDescent="0.25">
      <c r="A332" s="2" t="s">
        <v>3613</v>
      </c>
      <c r="B332" s="2">
        <v>-0.238730290884726</v>
      </c>
      <c r="C332" s="2">
        <f t="shared" si="5"/>
        <v>0.84749085695365178</v>
      </c>
      <c r="D332" s="2">
        <v>7.4074626506807801</v>
      </c>
      <c r="E332" s="2">
        <v>9.0169084289669392</v>
      </c>
      <c r="F332" s="2">
        <v>2.6749344769419598E-3</v>
      </c>
      <c r="G332" s="2">
        <v>4.7682441318702203E-2</v>
      </c>
      <c r="H332" s="2" t="s">
        <v>3614</v>
      </c>
      <c r="I332" s="2" t="s">
        <v>94</v>
      </c>
      <c r="J332" s="2" t="str">
        <f>HYPERLINK("https://vectorbase.org/vectorbase/app/record/gene/AGAP029751","AGAP029751-RA")</f>
        <v>AGAP029751-RA</v>
      </c>
      <c r="K332" s="2" t="str">
        <f>HYPERLINK(".\links\pep\AGAP029751-PA-pep.txt","AGAP029751-PA")</f>
        <v>AGAP029751-PA</v>
      </c>
      <c r="L332" s="12" t="s">
        <v>95</v>
      </c>
      <c r="M332" s="2">
        <v>978</v>
      </c>
      <c r="N332" s="2">
        <v>0</v>
      </c>
      <c r="O332" s="2">
        <v>0</v>
      </c>
      <c r="P332" s="2" t="s">
        <v>3615</v>
      </c>
      <c r="Q332" s="9" t="s">
        <v>3616</v>
      </c>
      <c r="R332" s="2" t="s">
        <v>388</v>
      </c>
      <c r="S332" s="2" t="str">
        <f>HYPERLINK(".\links\KOG\AGAP029751-PA-KOG.txt","KOG")</f>
        <v>KOG</v>
      </c>
      <c r="T332" s="2">
        <v>3.0000000000000001E-71</v>
      </c>
      <c r="U332" s="2">
        <v>104.8</v>
      </c>
      <c r="V332" s="2" t="s">
        <v>3617</v>
      </c>
      <c r="W332" s="10" t="s">
        <v>3618</v>
      </c>
      <c r="X332" s="2" t="s">
        <v>420</v>
      </c>
      <c r="Y332" s="2" t="str">
        <f>HYPERLINK(".\links\SMART\AGAP029751-PA-SMART.txt","SMART")</f>
        <v>SMART</v>
      </c>
      <c r="Z332" s="15">
        <v>9.9999999999999993E-78</v>
      </c>
      <c r="AA332" s="2">
        <v>104.3</v>
      </c>
      <c r="AB332" s="13" t="str">
        <f>HYPERLINK(".\links\pep\AGAP029751-PA-sulf.txt","1")</f>
        <v>1</v>
      </c>
      <c r="AC332" s="13" t="str">
        <f>HYPERLINK(".\links\Sigp\AGAP029751-PA-SigP.txt","CYT")</f>
        <v>CYT</v>
      </c>
      <c r="AD332" s="2" t="s">
        <v>102</v>
      </c>
      <c r="AE332" s="2">
        <v>109.873</v>
      </c>
      <c r="AF332" s="2">
        <v>9.74</v>
      </c>
      <c r="AG332" s="2" t="s">
        <v>102</v>
      </c>
      <c r="AH332" s="2" t="s">
        <v>102</v>
      </c>
      <c r="AI332" s="2" t="s">
        <v>934</v>
      </c>
      <c r="AJ332" s="13">
        <v>0</v>
      </c>
      <c r="AK332" s="2" t="s">
        <v>102</v>
      </c>
      <c r="AL332" s="2" t="s">
        <v>102</v>
      </c>
      <c r="AM332" s="2" t="s">
        <v>102</v>
      </c>
      <c r="AN332" s="9" t="str">
        <f>HYPERLINK(".\links\gpi\AGAP029751-PA-gpi.txt","N")</f>
        <v>N</v>
      </c>
      <c r="AO332" s="14" t="str">
        <f>HYPERLINK(".\links\netoglyc\AGAP029751-PA-netoglyc.txt","0")</f>
        <v>0</v>
      </c>
      <c r="AP332" s="13">
        <v>13.1</v>
      </c>
      <c r="AQ332" s="2">
        <v>5.7</v>
      </c>
      <c r="AR332" s="2">
        <v>5.5</v>
      </c>
      <c r="AS332" s="2" t="s">
        <v>104</v>
      </c>
      <c r="AT332" s="9" t="str">
        <f>HYPERLINK(".\links\NR-LIGHT\AGAP029751-PA-NR-LIGHT.txt","AGAP011537-PA, partial")</f>
        <v>AGAP011537-PA, partial</v>
      </c>
      <c r="AU332" s="2" t="str">
        <f>HYPERLINK("http://www.ncbi.nlm.nih.gov/sutils/blink.cgi?pid=XP_559969.3","0.0")</f>
        <v>0.0</v>
      </c>
      <c r="AV332" s="2" t="str">
        <f>HYPERLINK("http://www.ncbi.nlm.nih.gov/protein/XP_559969.3","XP_559969.3")</f>
        <v>XP_559969.3</v>
      </c>
      <c r="AW332" s="2">
        <v>99</v>
      </c>
      <c r="AX332" s="2">
        <v>100</v>
      </c>
      <c r="AY332" s="2">
        <v>100</v>
      </c>
      <c r="AZ332" s="2" t="s">
        <v>105</v>
      </c>
      <c r="BA332" s="9" t="str">
        <f>HYPERLINK(".\links\REFSEQ-INVERTEBRATE\AGAP029751-PA-REFSEQ-INVERTEBRATE.txt","AGAP011537-PA, partial")</f>
        <v>AGAP011537-PA, partial</v>
      </c>
      <c r="BB332" s="2" t="str">
        <f>HYPERLINK("http://www.ncbi.nlm.nih.gov/sutils/blink.cgi?pid=XP_559969.3","0.0")</f>
        <v>0.0</v>
      </c>
      <c r="BC332" s="2" t="str">
        <f>HYPERLINK("http://www.ncbi.nlm.nih.gov/protein/XP_559969.3","XP_559969.3")</f>
        <v>XP_559969.3</v>
      </c>
      <c r="BD332" s="2">
        <v>99</v>
      </c>
      <c r="BE332" s="2">
        <v>100</v>
      </c>
      <c r="BF332" s="2">
        <v>100</v>
      </c>
      <c r="BG332" s="2" t="s">
        <v>105</v>
      </c>
      <c r="BH332" s="9" t="str">
        <f>HYPERLINK(".\links\REFSEQ-PROTOZOA\AGAP029751-PA-REFSEQ-PROTOZOA.txt","Argonaute1 (AGO1)")</f>
        <v>Argonaute1 (AGO1)</v>
      </c>
      <c r="BI332" s="2" t="str">
        <f>HYPERLINK("http://www.ncbi.nlm.nih.gov/sutils/blink.cgi?pid=XP_002906080.1","1E-107")</f>
        <v>1E-107</v>
      </c>
      <c r="BJ332" s="2" t="str">
        <f>HYPERLINK("http://www.ncbi.nlm.nih.gov/protein/XP_002906080.1","XP_002906080.1")</f>
        <v>XP_002906080.1</v>
      </c>
      <c r="BK332" s="2">
        <v>31</v>
      </c>
      <c r="BL332" s="2">
        <v>48</v>
      </c>
      <c r="BM332" s="2">
        <v>96</v>
      </c>
      <c r="BN332" s="2" t="s">
        <v>857</v>
      </c>
      <c r="BO332" s="9" t="str">
        <f>HYPERLINK(".\links\SWISSP\AGAP029751-PA-SWISSP.txt","Protein argonaute-2")</f>
        <v>Protein argonaute-2</v>
      </c>
      <c r="BP332" s="2" t="str">
        <f>HYPERLINK("http://www.uniprot.org/uniprot/Q9VUQ5","1E-162")</f>
        <v>1E-162</v>
      </c>
      <c r="BQ332" s="2" t="str">
        <f>HYPERLINK("http://www.uniprot.org/uniprot/Q9VUQ5#expression","Q9VUQ5")</f>
        <v>Q9VUQ5</v>
      </c>
      <c r="BR332" s="2">
        <v>40</v>
      </c>
      <c r="BS332" s="2">
        <v>58</v>
      </c>
      <c r="BT332" s="2">
        <v>68</v>
      </c>
      <c r="BU332" s="2" t="s">
        <v>107</v>
      </c>
      <c r="BV332" s="9" t="str">
        <f>HYPERLINK(".\links\FLYBASE\AGAP029751-PA-FLYBASE.txt","FBpp0075312")</f>
        <v>FBpp0075312</v>
      </c>
      <c r="BW332" s="2" t="str">
        <f>HYPERLINK("http://flybase.org/reports/FBgn0087035#alliance_summary_container","0.0")</f>
        <v>0.0</v>
      </c>
      <c r="BX332" s="2">
        <v>1214</v>
      </c>
      <c r="BY332" s="2">
        <v>40</v>
      </c>
      <c r="BZ332" s="2">
        <v>58</v>
      </c>
      <c r="CA332" s="2">
        <v>68</v>
      </c>
      <c r="CB332" s="9" t="str">
        <f>HYPERLINK(".\links\CDD\AGAP029751-PA-CDD.txt","Piwi_ago-like, Piwi_ago-like: PIWI domain, Argonaute-like subfamily")</f>
        <v>Piwi_ago-like, Piwi_ago-like: PIWI domain, Argonaute-like subfamily</v>
      </c>
      <c r="CC332" s="15">
        <v>9.9999999999999998E-150</v>
      </c>
      <c r="CD332" s="2">
        <v>104</v>
      </c>
      <c r="CE332" s="2" t="s">
        <v>3585</v>
      </c>
      <c r="CF332" s="2" t="s">
        <v>3619</v>
      </c>
      <c r="CG332" s="9" t="str">
        <f>HYPERLINK(".\links\KOG\AGAP029751-PA-KOG.txt","Translation initiation factor 2C (eIF-2C) and related proteins")</f>
        <v>Translation initiation factor 2C (eIF-2C) and related proteins</v>
      </c>
      <c r="CH332" s="15">
        <v>9.9999999999999995E-145</v>
      </c>
      <c r="CI332" s="2">
        <v>98.2</v>
      </c>
      <c r="CJ332" s="2" t="s">
        <v>3587</v>
      </c>
      <c r="CK332" s="2" t="s">
        <v>678</v>
      </c>
      <c r="CL332" s="9" t="str">
        <f>HYPERLINK(".\links\PFAM\AGAP029751-PA-PFAM.txt","Piwi, Piwi domain")</f>
        <v>Piwi, Piwi domain</v>
      </c>
      <c r="CM332" s="15">
        <v>1.9999999999999999E-76</v>
      </c>
      <c r="CN332" s="2">
        <v>103.4</v>
      </c>
      <c r="CO332" s="2" t="s">
        <v>3588</v>
      </c>
      <c r="CP332" s="9" t="str">
        <f>HYPERLINK(".\links\SMART\AGAP029751-PA-SMART.txt","Piwi, This domain is found in the protein Piwi and its relatives")</f>
        <v>Piwi, This domain is found in the protein Piwi and its relatives</v>
      </c>
      <c r="CQ332" s="15">
        <v>8.0000000000000002E-91</v>
      </c>
      <c r="CR332" s="2">
        <v>103</v>
      </c>
      <c r="CS332" s="2" t="s">
        <v>3589</v>
      </c>
      <c r="CT332" s="2" t="s">
        <v>3617</v>
      </c>
      <c r="CU332" s="2" t="s">
        <v>3617</v>
      </c>
      <c r="CV332" s="2" t="s">
        <v>3617</v>
      </c>
      <c r="CW332" s="2" t="str">
        <f>HYPERLINK(".\links\pep\AGAP029751-PA-pep.txt","AGAP029751-PA")</f>
        <v>AGAP029751-PA</v>
      </c>
      <c r="CX332" s="2" t="s">
        <v>95</v>
      </c>
      <c r="CY332" s="2">
        <v>978</v>
      </c>
      <c r="CZ332" s="2" t="s">
        <v>113</v>
      </c>
      <c r="DA332" s="2" t="s">
        <v>3620</v>
      </c>
      <c r="DB332" s="2">
        <v>0</v>
      </c>
      <c r="DC332" s="2">
        <v>0</v>
      </c>
      <c r="DD332" s="2" t="str">
        <f>HYPERLINK("https://www.kegg.jp/kegg-bin/search_pathway_text?map=aga&amp;keyword=AGAP029751&amp;mode=1&amp;viewImage=true","AGAP029751")</f>
        <v>AGAP029751</v>
      </c>
      <c r="DE332" s="2" t="s">
        <v>3613</v>
      </c>
      <c r="DF332" s="2" t="s">
        <v>3614</v>
      </c>
      <c r="DG332" s="2" t="s">
        <v>94</v>
      </c>
      <c r="DH332" s="2" t="str">
        <f>HYPERLINK("https://vectorbase.org/vectorbase/app/record/gene/AGAP029751","AGAP029751-RA")</f>
        <v>AGAP029751-RA</v>
      </c>
      <c r="DI332" s="2" t="s">
        <v>115</v>
      </c>
      <c r="DJ332" s="2">
        <v>3247</v>
      </c>
      <c r="DK332" s="2" t="str">
        <f>HYPERLINK(".\links\netoglyc\AGAP029751-PA-netoglyc.txt","0")</f>
        <v>0</v>
      </c>
      <c r="DL332" s="2">
        <v>13.1</v>
      </c>
      <c r="DM332" s="2">
        <v>5.7</v>
      </c>
      <c r="DN332" s="2">
        <v>5.5</v>
      </c>
      <c r="DO332" s="2" t="s">
        <v>104</v>
      </c>
      <c r="DP332" s="2" t="s">
        <v>3621</v>
      </c>
      <c r="DQ332" s="2" t="str">
        <f>HYPERLINK(".\links\Sigp\AGAP029751-PA-SigP.txt","CYT")</f>
        <v>CYT</v>
      </c>
      <c r="DR332" s="2" t="s">
        <v>102</v>
      </c>
      <c r="DS332" s="2">
        <v>109.873</v>
      </c>
      <c r="DT332" s="2">
        <v>9.74</v>
      </c>
      <c r="DU332" s="2" t="s">
        <v>102</v>
      </c>
      <c r="DV332" s="2" t="s">
        <v>102</v>
      </c>
      <c r="DW332" s="2" t="s">
        <v>934</v>
      </c>
      <c r="DX332" s="2">
        <v>978</v>
      </c>
      <c r="DY332" s="12">
        <v>0</v>
      </c>
      <c r="DZ332" s="2" t="s">
        <v>102</v>
      </c>
      <c r="EA332" s="2" t="s">
        <v>102</v>
      </c>
      <c r="EB332" s="2" t="s">
        <v>102</v>
      </c>
      <c r="EC332" s="2" t="str">
        <f>HYPERLINK(".\links\gpi\AGAP029751-PA-gpi.txt","N")</f>
        <v>N</v>
      </c>
      <c r="ED332" s="2">
        <v>0.17</v>
      </c>
      <c r="EF332" s="2">
        <v>15</v>
      </c>
      <c r="EG332" s="2" t="str">
        <f>HYPERLINK(".\links\pep\AGAP029751-PA-sulf.txt","1")</f>
        <v>1</v>
      </c>
      <c r="EH332" s="2" t="s">
        <v>102</v>
      </c>
      <c r="EI332" s="2">
        <v>13.0879345603272</v>
      </c>
      <c r="EJ332" s="2">
        <v>5.5214723926380396</v>
      </c>
      <c r="EK332" s="2">
        <v>5.7259713701431503</v>
      </c>
      <c r="EL332" s="2">
        <v>11.247443762781201</v>
      </c>
      <c r="EM332" s="2">
        <v>2</v>
      </c>
      <c r="EN332" s="2">
        <v>4</v>
      </c>
      <c r="EO332" s="2">
        <v>7</v>
      </c>
      <c r="EP332" s="2" t="s">
        <v>102</v>
      </c>
      <c r="EQ332" s="2" t="s">
        <v>102</v>
      </c>
      <c r="ER332" s="2" t="s">
        <v>102</v>
      </c>
      <c r="ES332" s="2" t="s">
        <v>102</v>
      </c>
      <c r="ET332" s="2" t="str">
        <f>HYPERLINK(".\links\REFSEQ-INVERTEBRATE\AGAP029751-PA-REFSEQ-INVERTEBRATE.txt","AGAP011537-PA, partial")</f>
        <v>AGAP011537-PA, partial</v>
      </c>
      <c r="EU332" s="2" t="str">
        <f>HYPERLINK("http://www.ncbi.nlm.nih.gov/sutils/blink.cgi?pid=XP_559969.3","0.0")</f>
        <v>0.0</v>
      </c>
      <c r="EV332" s="2" t="str">
        <f>HYPERLINK("http://www.ncbi.nlm.nih.gov/protein/XP_559969.3","XP_559969.3")</f>
        <v>XP_559969.3</v>
      </c>
      <c r="EW332" s="2">
        <v>99</v>
      </c>
      <c r="EX332" s="2">
        <v>100</v>
      </c>
      <c r="EY332" s="2">
        <v>100</v>
      </c>
      <c r="EZ332" s="2" t="s">
        <v>105</v>
      </c>
    </row>
    <row r="333" spans="1:156" x14ac:dyDescent="0.25">
      <c r="A333" s="2" t="s">
        <v>3622</v>
      </c>
      <c r="B333" s="2">
        <v>-0.24018515874013599</v>
      </c>
      <c r="C333" s="2">
        <f t="shared" si="5"/>
        <v>0.84663664612999479</v>
      </c>
      <c r="D333" s="2">
        <v>5.7717253195278904</v>
      </c>
      <c r="E333" s="2">
        <v>9.2206375501165105</v>
      </c>
      <c r="F333" s="2">
        <v>2.3930220097010198E-3</v>
      </c>
      <c r="G333" s="2">
        <v>4.63542925914135E-2</v>
      </c>
      <c r="H333" s="2" t="s">
        <v>3623</v>
      </c>
      <c r="I333" s="2" t="s">
        <v>94</v>
      </c>
      <c r="J333" s="2" t="str">
        <f>HYPERLINK("https://vectorbase.org/vectorbase/app/record/gene/AGAP002094","AGAP002094-RA")</f>
        <v>AGAP002094-RA</v>
      </c>
      <c r="K333" s="2" t="str">
        <f>HYPERLINK(".\links\pep\AGAP002094-PA-pep.txt","AGAP002094-PA")</f>
        <v>AGAP002094-PA</v>
      </c>
      <c r="L333" s="12" t="s">
        <v>95</v>
      </c>
      <c r="M333" s="2">
        <v>996</v>
      </c>
      <c r="N333" s="2">
        <v>0</v>
      </c>
      <c r="O333" s="2">
        <v>6</v>
      </c>
      <c r="P333" s="2" t="s">
        <v>3624</v>
      </c>
      <c r="Q333" s="9" t="s">
        <v>3625</v>
      </c>
      <c r="R333" s="2" t="s">
        <v>167</v>
      </c>
      <c r="S333" s="2" t="str">
        <f>HYPERLINK(".\links\REFSEQ-INVERTEBRATE\AGAP002094-PA-REFSEQ-INVERTEBRATE.txt","REFSEQ-INVERTEBRATE")</f>
        <v>REFSEQ-INVERTEBRATE</v>
      </c>
      <c r="T333" s="2">
        <v>0</v>
      </c>
      <c r="U333" s="2">
        <v>91.4</v>
      </c>
      <c r="V333" s="2" t="s">
        <v>3626</v>
      </c>
      <c r="W333" s="10" t="s">
        <v>3627</v>
      </c>
      <c r="X333" s="2" t="s">
        <v>167</v>
      </c>
      <c r="Y333" s="2" t="str">
        <f>HYPERLINK(".\links\REFSEQVERTEBRATE95\AGAP002094-PA-REFSEQVERTEBRATE95.txt","REFSEQVERTEBRATE95")</f>
        <v>REFSEQVERTEBRATE95</v>
      </c>
      <c r="Z333" s="15">
        <v>0</v>
      </c>
      <c r="AA333" s="2">
        <v>90</v>
      </c>
      <c r="AB333" s="13" t="s">
        <v>102</v>
      </c>
      <c r="AC333" s="13" t="str">
        <f>HYPERLINK(".\links\Sigp\AGAP002094-PA-SigP.txt","SIG")</f>
        <v>SIG</v>
      </c>
      <c r="AD333" s="2" t="s">
        <v>3628</v>
      </c>
      <c r="AE333" s="2">
        <v>110.72</v>
      </c>
      <c r="AF333" s="2">
        <v>5.26</v>
      </c>
      <c r="AG333" s="2">
        <v>106.761</v>
      </c>
      <c r="AH333" s="2">
        <v>5.15</v>
      </c>
      <c r="AI333" s="2" t="s">
        <v>3629</v>
      </c>
      <c r="AJ333" s="13" t="str">
        <f>HYPERLINK(".\links\tmhmm\AGAP002094-PA-tmhmm.txt","5")</f>
        <v>5</v>
      </c>
      <c r="AK333" s="2">
        <v>11</v>
      </c>
      <c r="AL333" s="2">
        <v>83.3</v>
      </c>
      <c r="AM333" s="2">
        <v>5.6</v>
      </c>
      <c r="AN333" s="13" t="str">
        <f>HYPERLINK(".\links\gpi\AGAP002094-PA-gpi.txt","N")</f>
        <v>N</v>
      </c>
      <c r="AO333" s="14" t="str">
        <f>HYPERLINK(".\links\netoglyc\AGAP002094-PA-netoglyc.txt","1")</f>
        <v>1</v>
      </c>
      <c r="AP333" s="13">
        <v>13.7</v>
      </c>
      <c r="AQ333" s="2">
        <v>6.2</v>
      </c>
      <c r="AR333" s="2">
        <v>4.5999999999999996</v>
      </c>
      <c r="AS333" s="2" t="s">
        <v>104</v>
      </c>
      <c r="AT333" s="9" t="str">
        <f>HYPERLINK(".\links\NR-LIGHT\AGAP002094-PA-NR-LIGHT.txt","AGAP002094-PA")</f>
        <v>AGAP002094-PA</v>
      </c>
      <c r="AU333" s="2" t="str">
        <f>HYPERLINK("http://www.ncbi.nlm.nih.gov/sutils/blink.cgi?pid=XP_320945.5","0.0")</f>
        <v>0.0</v>
      </c>
      <c r="AV333" s="2" t="str">
        <f>HYPERLINK("http://www.ncbi.nlm.nih.gov/protein/XP_320945.5","XP_320945.5")</f>
        <v>XP_320945.5</v>
      </c>
      <c r="AW333" s="2">
        <v>99</v>
      </c>
      <c r="AX333" s="2">
        <v>100</v>
      </c>
      <c r="AY333" s="2">
        <v>99</v>
      </c>
      <c r="AZ333" s="2" t="s">
        <v>105</v>
      </c>
      <c r="BA333" s="9" t="str">
        <f>HYPERLINK(".\links\REFSEQ-INVERTEBRATE\AGAP002094-PA-REFSEQ-INVERTEBRATE.txt","AGAP002094-PA")</f>
        <v>AGAP002094-PA</v>
      </c>
      <c r="BB333" s="2" t="str">
        <f>HYPERLINK("http://www.ncbi.nlm.nih.gov/sutils/blink.cgi?pid=XP_320945.5","0.0")</f>
        <v>0.0</v>
      </c>
      <c r="BC333" s="2" t="str">
        <f>HYPERLINK("http://www.ncbi.nlm.nih.gov/protein/XP_320945.5","XP_320945.5")</f>
        <v>XP_320945.5</v>
      </c>
      <c r="BD333" s="2">
        <v>99</v>
      </c>
      <c r="BE333" s="2">
        <v>100</v>
      </c>
      <c r="BF333" s="2">
        <v>99</v>
      </c>
      <c r="BG333" s="2" t="s">
        <v>105</v>
      </c>
      <c r="BH333" s="9" t="str">
        <f>HYPERLINK(".\links\REFSEQ-PROTOZOA\AGAP002094-PA-REFSEQ-PROTOZOA.txt","cyclin M1")</f>
        <v>cyclin M1</v>
      </c>
      <c r="BI333" s="2" t="str">
        <f>HYPERLINK("http://www.ncbi.nlm.nih.gov/sutils/blink.cgi?pid=XP_004347913.2","1E-125")</f>
        <v>1E-125</v>
      </c>
      <c r="BJ333" s="2" t="str">
        <f>HYPERLINK("http://www.ncbi.nlm.nih.gov/protein/XP_004347913.2","XP_004347913.2")</f>
        <v>XP_004347913.2</v>
      </c>
      <c r="BK333" s="2">
        <v>44</v>
      </c>
      <c r="BL333" s="2">
        <v>64</v>
      </c>
      <c r="BM333" s="2">
        <v>62</v>
      </c>
      <c r="BN333" s="2" t="s">
        <v>106</v>
      </c>
      <c r="BO333" s="9" t="str">
        <f>HYPERLINK(".\links\SWISSP\AGAP002094-PA-SWISSP.txt","Metal transporter CNNM2")</f>
        <v>Metal transporter CNNM2</v>
      </c>
      <c r="BP333" s="2" t="str">
        <f>HYPERLINK("http://www.uniprot.org/uniprot/Q9H8M5","1E-153")</f>
        <v>1E-153</v>
      </c>
      <c r="BQ333" s="2" t="str">
        <f>HYPERLINK("http://www.uniprot.org/uniprot/Q9H8M5#expression","Q9H8M5")</f>
        <v>Q9H8M5</v>
      </c>
      <c r="BR333" s="2">
        <v>41</v>
      </c>
      <c r="BS333" s="2">
        <v>59</v>
      </c>
      <c r="BT333" s="2">
        <v>92</v>
      </c>
      <c r="BU333" s="2" t="s">
        <v>127</v>
      </c>
      <c r="BV333" s="9" t="str">
        <f>HYPERLINK(".\links\FLYBASE\AGAP002094-PA-FLYBASE.txt","FBpp0312292")</f>
        <v>FBpp0312292</v>
      </c>
      <c r="BW333" s="2" t="str">
        <f>HYPERLINK("http://flybase.org/reports/FBgn0262124#alliance_summary_container","0.0")</f>
        <v>0.0</v>
      </c>
      <c r="BX333" s="2">
        <v>834</v>
      </c>
      <c r="BY333" s="2">
        <v>50</v>
      </c>
      <c r="BZ333" s="2">
        <v>68</v>
      </c>
      <c r="CA333" s="2">
        <v>101</v>
      </c>
      <c r="CB333" s="9" t="str">
        <f>HYPERLINK(".\links\CDD\AGAP002094-PA-CDD.txt","TlyC, Hemolysins and related proteins containing CBS domains")</f>
        <v>TlyC, Hemolysins and related proteins containing CBS domains</v>
      </c>
      <c r="CC333" s="15">
        <v>4.0000000000000001E-46</v>
      </c>
      <c r="CD333" s="2">
        <v>85.8</v>
      </c>
      <c r="CE333" s="2" t="s">
        <v>3630</v>
      </c>
      <c r="CF333" s="2" t="s">
        <v>3631</v>
      </c>
      <c r="CG333" s="9" t="str">
        <f>HYPERLINK(".\links\KOG\AGAP002094-PA-KOG.txt","contains two CBS domains")</f>
        <v>contains two CBS domains</v>
      </c>
      <c r="CH333" s="15">
        <v>2.0000000000000001E-59</v>
      </c>
      <c r="CI333" s="2">
        <v>68.7</v>
      </c>
      <c r="CJ333" s="2" t="s">
        <v>3632</v>
      </c>
      <c r="CK333" s="2" t="s">
        <v>284</v>
      </c>
      <c r="CL333" s="9" t="str">
        <f>HYPERLINK(".\links\PFAM\AGAP002094-PA-PFAM.txt","DUF21, Domain of unknown function DUF21")</f>
        <v>DUF21, Domain of unknown function DUF21</v>
      </c>
      <c r="CM333" s="15">
        <v>9.0000000000000001E-32</v>
      </c>
      <c r="CN333" s="2">
        <v>101.6</v>
      </c>
      <c r="CO333" s="2" t="s">
        <v>3633</v>
      </c>
      <c r="CP333" s="9" t="str">
        <f>HYPERLINK(".\links\SMART\AGAP002094-PA-SMART.txt","cNMP, Cyclic nucleotide-monophosphate binding domain")</f>
        <v>cNMP, Cyclic nucleotide-monophosphate binding domain</v>
      </c>
      <c r="CQ333" s="15">
        <v>5.8000000000000003E-2</v>
      </c>
      <c r="CR333" s="2">
        <v>40.799999999999997</v>
      </c>
      <c r="CS333" s="2" t="s">
        <v>3634</v>
      </c>
      <c r="CT333" s="2" t="s">
        <v>3626</v>
      </c>
      <c r="CU333" s="2" t="s">
        <v>3626</v>
      </c>
      <c r="CV333" s="2" t="s">
        <v>3626</v>
      </c>
      <c r="CW333" s="2" t="str">
        <f>HYPERLINK(".\links\pep\AGAP002094-PA-pep.txt","AGAP002094-PA")</f>
        <v>AGAP002094-PA</v>
      </c>
      <c r="CX333" s="2" t="s">
        <v>95</v>
      </c>
      <c r="CY333" s="2">
        <v>996</v>
      </c>
      <c r="CZ333" s="2" t="s">
        <v>113</v>
      </c>
      <c r="DA333" s="2" t="s">
        <v>3635</v>
      </c>
      <c r="DB333" s="2">
        <v>0</v>
      </c>
      <c r="DC333" s="2">
        <v>6</v>
      </c>
      <c r="DD333" s="2" t="str">
        <f>HYPERLINK("https://www.kegg.jp/kegg-bin/search_pathway_text?map=aga&amp;keyword=AGAP002094&amp;mode=1&amp;viewImage=true","AGAP002094")</f>
        <v>AGAP002094</v>
      </c>
      <c r="DE333" s="2" t="s">
        <v>3622</v>
      </c>
      <c r="DF333" s="2" t="s">
        <v>3623</v>
      </c>
      <c r="DG333" s="2" t="s">
        <v>94</v>
      </c>
      <c r="DH333" s="2" t="str">
        <f>HYPERLINK("https://vectorbase.org/vectorbase/app/record/gene/AGAP002094","AGAP002094-RA")</f>
        <v>AGAP002094-RA</v>
      </c>
      <c r="DI333" s="2" t="s">
        <v>118</v>
      </c>
      <c r="DJ333" s="2">
        <v>5940</v>
      </c>
      <c r="DK333" s="2" t="str">
        <f>HYPERLINK(".\links\netoglyc\AGAP002094-PA-netoglyc.txt","1")</f>
        <v>1</v>
      </c>
      <c r="DL333" s="2">
        <v>13.7</v>
      </c>
      <c r="DM333" s="2">
        <v>6.2</v>
      </c>
      <c r="DN333" s="2">
        <v>4.5999999999999996</v>
      </c>
      <c r="DO333" s="2" t="s">
        <v>104</v>
      </c>
      <c r="DP333" s="2" t="s">
        <v>3636</v>
      </c>
      <c r="DQ333" s="2" t="str">
        <f>HYPERLINK(".\links\Sigp\AGAP002094-PA-SigP.txt","SIG")</f>
        <v>SIG</v>
      </c>
      <c r="DR333" s="2" t="s">
        <v>3628</v>
      </c>
      <c r="DS333" s="2">
        <v>110.72</v>
      </c>
      <c r="DT333" s="2">
        <v>5.26</v>
      </c>
      <c r="DU333" s="2">
        <v>106.761</v>
      </c>
      <c r="DV333" s="2">
        <v>5.15</v>
      </c>
      <c r="DW333" s="2" t="s">
        <v>3629</v>
      </c>
      <c r="DX333" s="2">
        <v>996</v>
      </c>
      <c r="DY333" s="12" t="str">
        <f>HYPERLINK(".\links\tmhmm\AGAP002094-PA-tmhmm.txt","5")</f>
        <v>5</v>
      </c>
      <c r="DZ333" s="2">
        <v>11</v>
      </c>
      <c r="EA333" s="2">
        <v>83.3</v>
      </c>
      <c r="EB333" s="2">
        <v>5.6</v>
      </c>
      <c r="EC333" s="2" t="str">
        <f>HYPERLINK(".\links\gpi\AGAP002094-PA-gpi.txt","Y-NoSP")</f>
        <v>Y-NoSP</v>
      </c>
      <c r="ED333" s="2">
        <v>0.16</v>
      </c>
      <c r="EF333" s="2">
        <v>11</v>
      </c>
      <c r="EG333" s="2" t="s">
        <v>102</v>
      </c>
      <c r="EH333" s="2" t="s">
        <v>102</v>
      </c>
      <c r="EI333" s="2">
        <v>13.654618473895599</v>
      </c>
      <c r="EJ333" s="2">
        <v>4.6184738955823299</v>
      </c>
      <c r="EK333" s="2">
        <v>6.22489959839357</v>
      </c>
      <c r="EL333" s="2">
        <v>10.8433734939759</v>
      </c>
      <c r="EM333" s="2">
        <v>1</v>
      </c>
      <c r="EN333" s="2" t="s">
        <v>102</v>
      </c>
      <c r="EO333" s="2">
        <v>2</v>
      </c>
      <c r="EP333" s="2" t="s">
        <v>102</v>
      </c>
      <c r="EQ333" s="2" t="s">
        <v>102</v>
      </c>
      <c r="ER333" s="2" t="s">
        <v>102</v>
      </c>
      <c r="ES333" s="2" t="s">
        <v>102</v>
      </c>
      <c r="ET333" s="2" t="str">
        <f>HYPERLINK(".\links\REFSEQ-INVERTEBRATE\AGAP002094-PA-REFSEQ-INVERTEBRATE.txt","AGAP002094-PA")</f>
        <v>AGAP002094-PA</v>
      </c>
      <c r="EU333" s="2" t="str">
        <f>HYPERLINK("http://www.ncbi.nlm.nih.gov/sutils/blink.cgi?pid=XP_320945.5","0.0")</f>
        <v>0.0</v>
      </c>
      <c r="EV333" s="2" t="str">
        <f>HYPERLINK("http://www.ncbi.nlm.nih.gov/protein/XP_320945.5","XP_320945.5")</f>
        <v>XP_320945.5</v>
      </c>
      <c r="EW333" s="2">
        <v>99</v>
      </c>
      <c r="EX333" s="2">
        <v>100</v>
      </c>
      <c r="EY333" s="2">
        <v>99</v>
      </c>
      <c r="EZ333" s="2" t="s">
        <v>105</v>
      </c>
    </row>
    <row r="334" spans="1:156" x14ac:dyDescent="0.25">
      <c r="A334" s="2" t="s">
        <v>3637</v>
      </c>
      <c r="B334" s="2">
        <v>-0.24305707610579499</v>
      </c>
      <c r="C334" s="2">
        <f t="shared" si="5"/>
        <v>0.84495295560260864</v>
      </c>
      <c r="D334" s="2">
        <v>6.3614849769994004</v>
      </c>
      <c r="E334" s="2">
        <v>12.001943236375199</v>
      </c>
      <c r="F334" s="2">
        <v>5.31451071416896E-4</v>
      </c>
      <c r="G334" s="2">
        <v>2.6293505281983199E-2</v>
      </c>
      <c r="H334" s="2" t="s">
        <v>3638</v>
      </c>
      <c r="I334" s="2" t="s">
        <v>94</v>
      </c>
      <c r="J334" s="2" t="str">
        <f>HYPERLINK("https://vectorbase.org/vectorbase/app/record/gene/AGAP010872","AGAP010872-RA")</f>
        <v>AGAP010872-RA</v>
      </c>
      <c r="K334" s="2" t="str">
        <f>HYPERLINK(".\links\pep\AGAP010872-PA-pep.txt","AGAP010872-PA")</f>
        <v>AGAP010872-PA</v>
      </c>
      <c r="L334" s="12" t="s">
        <v>95</v>
      </c>
      <c r="M334" s="2">
        <v>90</v>
      </c>
      <c r="N334" s="2">
        <v>0</v>
      </c>
      <c r="O334" s="2">
        <v>0</v>
      </c>
      <c r="P334" s="2" t="s">
        <v>3639</v>
      </c>
      <c r="Q334" s="9" t="s">
        <v>607</v>
      </c>
      <c r="R334" s="2" t="s">
        <v>608</v>
      </c>
      <c r="V334" s="2" t="s">
        <v>3640</v>
      </c>
      <c r="W334" s="10" t="s">
        <v>607</v>
      </c>
      <c r="X334" s="2" t="s">
        <v>608</v>
      </c>
      <c r="Z334" s="15"/>
      <c r="AB334" s="13" t="s">
        <v>102</v>
      </c>
      <c r="AC334" s="13" t="str">
        <f>HYPERLINK(".\links\Sigp\AGAP010872-PA-SigP.txt","CYT")</f>
        <v>CYT</v>
      </c>
      <c r="AD334" s="2" t="s">
        <v>102</v>
      </c>
      <c r="AE334" s="2">
        <v>10.17</v>
      </c>
      <c r="AF334" s="2">
        <v>5.83</v>
      </c>
      <c r="AG334" s="2" t="s">
        <v>102</v>
      </c>
      <c r="AH334" s="2" t="s">
        <v>102</v>
      </c>
      <c r="AI334" s="2" t="s">
        <v>211</v>
      </c>
      <c r="AJ334" s="13">
        <v>0</v>
      </c>
      <c r="AK334" s="2" t="s">
        <v>102</v>
      </c>
      <c r="AL334" s="2" t="s">
        <v>102</v>
      </c>
      <c r="AM334" s="2" t="s">
        <v>102</v>
      </c>
      <c r="AN334" s="13" t="str">
        <f>HYPERLINK(".\links\gpi\AGAP010872-PA-gpi.txt","N")</f>
        <v>N</v>
      </c>
      <c r="AO334" s="14" t="str">
        <f>HYPERLINK(".\links\netoglyc\AGAP010872-PA-netoglyc.txt","1")</f>
        <v>1</v>
      </c>
      <c r="AP334" s="13">
        <v>13.3</v>
      </c>
      <c r="AQ334" s="2">
        <v>3.3</v>
      </c>
      <c r="AR334" s="2">
        <v>5.6</v>
      </c>
      <c r="AS334" s="2" t="s">
        <v>104</v>
      </c>
      <c r="AT334" s="9" t="str">
        <f>HYPERLINK(".\links\NR-LIGHT\AGAP010872-PA-NR-LIGHT.txt","AGAP010872-PA, partial")</f>
        <v>AGAP010872-PA, partial</v>
      </c>
      <c r="AU334" s="2" t="str">
        <f>HYPERLINK("http://www.ncbi.nlm.nih.gov/sutils/blink.cgi?pid=XP_309832.4","1E-042")</f>
        <v>1E-042</v>
      </c>
      <c r="AV334" s="2" t="str">
        <f>HYPERLINK("http://www.ncbi.nlm.nih.gov/protein/XP_309832.4","XP_309832.4")</f>
        <v>XP_309832.4</v>
      </c>
      <c r="AW334" s="2">
        <v>97</v>
      </c>
      <c r="AX334" s="2">
        <v>100</v>
      </c>
      <c r="AY334" s="2">
        <v>12</v>
      </c>
      <c r="AZ334" s="2" t="s">
        <v>105</v>
      </c>
      <c r="BA334" s="9" t="str">
        <f>HYPERLINK(".\links\REFSEQ-INVERTEBRATE\AGAP010872-PA-REFSEQ-INVERTEBRATE.txt","AGAP010872-PA, partial")</f>
        <v>AGAP010872-PA, partial</v>
      </c>
      <c r="BB334" s="2" t="str">
        <f>HYPERLINK("http://www.ncbi.nlm.nih.gov/sutils/blink.cgi?pid=XP_309832.4","9E-043")</f>
        <v>9E-043</v>
      </c>
      <c r="BC334" s="2" t="str">
        <f>HYPERLINK("http://www.ncbi.nlm.nih.gov/protein/XP_309832.4","XP_309832.4")</f>
        <v>XP_309832.4</v>
      </c>
      <c r="BD334" s="2">
        <v>97</v>
      </c>
      <c r="BE334" s="2">
        <v>100</v>
      </c>
      <c r="BF334" s="2">
        <v>12</v>
      </c>
      <c r="BG334" s="2" t="s">
        <v>105</v>
      </c>
      <c r="BH334" s="9" t="str">
        <f>HYPERLINK(".\links\REFSEQ-PROTOZOA\AGAP010872-PA-REFSEQ-PROTOZOA.txt","hypothetical protein")</f>
        <v>hypothetical protein</v>
      </c>
      <c r="BI334" s="2" t="str">
        <f>HYPERLINK("http://www.ncbi.nlm.nih.gov/sutils/blink.cgi?pid=XP_001749202.1","8E-016")</f>
        <v>8E-016</v>
      </c>
      <c r="BJ334" s="2" t="str">
        <f>HYPERLINK("http://www.ncbi.nlm.nih.gov/protein/XP_001749202.1","XP_001749202.1")</f>
        <v>XP_001749202.1</v>
      </c>
      <c r="BK334" s="2">
        <v>50</v>
      </c>
      <c r="BL334" s="2">
        <v>74</v>
      </c>
      <c r="BM334" s="2">
        <v>9</v>
      </c>
      <c r="BN334" s="2" t="s">
        <v>248</v>
      </c>
      <c r="BO334" s="9" t="str">
        <f>HYPERLINK(".\links\SWISSP\AGAP010872-PA-SWISSP.txt","Probable ATP-dependent RNA helicase DHX35")</f>
        <v>Probable ATP-dependent RNA helicase DHX35</v>
      </c>
      <c r="BP334" s="2" t="str">
        <f>HYPERLINK("http://www.uniprot.org/uniprot/Q5RBD4","6E-014")</f>
        <v>6E-014</v>
      </c>
      <c r="BQ334" s="2" t="str">
        <f>HYPERLINK("http://www.uniprot.org/uniprot/Q5RBD4#expression","Q5RBD4")</f>
        <v>Q5RBD4</v>
      </c>
      <c r="BR334" s="2">
        <v>44</v>
      </c>
      <c r="BS334" s="2">
        <v>71</v>
      </c>
      <c r="BT334" s="2">
        <v>12</v>
      </c>
      <c r="BU334" s="2" t="s">
        <v>363</v>
      </c>
      <c r="BV334" s="9" t="str">
        <f>HYPERLINK(".\links\FLYBASE\AGAP010872-PA-FLYBASE.txt","FBpp0077107")</f>
        <v>FBpp0077107</v>
      </c>
      <c r="BW334" s="2" t="str">
        <f>HYPERLINK("http://flybase.org/reports/FBgn0031631#alliance_summary_container","2E-28")</f>
        <v>2E-28</v>
      </c>
      <c r="BX334" s="2">
        <v>678</v>
      </c>
      <c r="BY334" s="2">
        <v>59</v>
      </c>
      <c r="BZ334" s="2">
        <v>77</v>
      </c>
      <c r="CA334" s="2">
        <v>12</v>
      </c>
      <c r="CB334" s="9" t="str">
        <f>HYPERLINK(".\links\CDD\AGAP010872-PA-CDD.txt","HrpA, HrpA-like helicases")</f>
        <v>HrpA, HrpA-like helicases</v>
      </c>
      <c r="CC334" s="15">
        <v>8.9999999999999996E-12</v>
      </c>
      <c r="CD334" s="2">
        <v>5</v>
      </c>
      <c r="CE334" s="2" t="s">
        <v>1998</v>
      </c>
      <c r="CF334" s="2" t="s">
        <v>3641</v>
      </c>
      <c r="CG334" s="9" t="str">
        <f>HYPERLINK(".\links\KOG\AGAP010872-PA-KOG.txt","DEAH-box RNA helicase")</f>
        <v>DEAH-box RNA helicase</v>
      </c>
      <c r="CH334" s="15">
        <v>3.9999999999999998E-20</v>
      </c>
      <c r="CI334" s="2">
        <v>12.5</v>
      </c>
      <c r="CJ334" s="2" t="s">
        <v>3642</v>
      </c>
      <c r="CK334" s="2" t="s">
        <v>722</v>
      </c>
      <c r="CL334" s="9" t="str">
        <f>HYPERLINK(".\links\PFAM\AGAP010872-PA-PFAM.txt","ABC_tran, ABC transporter")</f>
        <v>ABC_tran, ABC transporter</v>
      </c>
      <c r="CM334" s="15">
        <v>1.2E-2</v>
      </c>
      <c r="CN334" s="2">
        <v>13.3</v>
      </c>
      <c r="CO334" s="2" t="s">
        <v>3643</v>
      </c>
      <c r="CP334" s="9" t="str">
        <f>HYPERLINK(".\links\SMART\AGAP010872-PA-SMART.txt","DEXDc, DEAD-like helicases superfamily")</f>
        <v>DEXDc, DEAD-like helicases superfamily</v>
      </c>
      <c r="CQ334" s="15">
        <v>4.0000000000000002E-4</v>
      </c>
      <c r="CR334" s="2">
        <v>21.9</v>
      </c>
      <c r="CS334" s="2" t="s">
        <v>429</v>
      </c>
      <c r="CT334" s="2" t="s">
        <v>3640</v>
      </c>
      <c r="CU334" s="2" t="s">
        <v>3640</v>
      </c>
      <c r="CV334" s="2" t="s">
        <v>3640</v>
      </c>
      <c r="CW334" s="2" t="str">
        <f>HYPERLINK(".\links\pep\AGAP010872-PA-pep.txt","AGAP010872-PA")</f>
        <v>AGAP010872-PA</v>
      </c>
      <c r="CX334" s="2" t="s">
        <v>95</v>
      </c>
      <c r="CY334" s="2">
        <v>90</v>
      </c>
      <c r="CZ334" s="2" t="s">
        <v>113</v>
      </c>
      <c r="DA334" s="2" t="s">
        <v>3644</v>
      </c>
      <c r="DB334" s="2">
        <v>0</v>
      </c>
      <c r="DC334" s="2">
        <v>0</v>
      </c>
      <c r="DD334" s="2" t="str">
        <f>HYPERLINK("https://www.kegg.jp/kegg-bin/search_pathway_text?map=aga&amp;keyword=AGAP010872&amp;mode=1&amp;viewImage=true","AGAP010872")</f>
        <v>AGAP010872</v>
      </c>
      <c r="DE334" s="2" t="s">
        <v>3637</v>
      </c>
      <c r="DF334" s="2" t="s">
        <v>3638</v>
      </c>
      <c r="DG334" s="2" t="s">
        <v>94</v>
      </c>
      <c r="DH334" s="2" t="str">
        <f>HYPERLINK("https://vectorbase.org/vectorbase/app/record/gene/AGAP010872","AGAP010872-RA")</f>
        <v>AGAP010872-RA</v>
      </c>
      <c r="DI334" s="2" t="s">
        <v>135</v>
      </c>
      <c r="DJ334" s="2">
        <v>4749</v>
      </c>
      <c r="DK334" s="2" t="str">
        <f>HYPERLINK(".\links\netoglyc\AGAP010872-PA-netoglyc.txt","1")</f>
        <v>1</v>
      </c>
      <c r="DL334" s="2">
        <v>13.3</v>
      </c>
      <c r="DM334" s="2">
        <v>3.3</v>
      </c>
      <c r="DN334" s="2">
        <v>5.6</v>
      </c>
      <c r="DO334" s="2" t="s">
        <v>104</v>
      </c>
      <c r="DP334" s="2" t="s">
        <v>102</v>
      </c>
      <c r="DQ334" s="2" t="str">
        <f>HYPERLINK(".\links\Sigp\AGAP010872-PA-SigP.txt","CYT")</f>
        <v>CYT</v>
      </c>
      <c r="DR334" s="2" t="s">
        <v>102</v>
      </c>
      <c r="DS334" s="2">
        <v>10.17</v>
      </c>
      <c r="DT334" s="2">
        <v>5.83</v>
      </c>
      <c r="DU334" s="2" t="s">
        <v>102</v>
      </c>
      <c r="DV334" s="2" t="s">
        <v>102</v>
      </c>
      <c r="DW334" s="2" t="s">
        <v>211</v>
      </c>
      <c r="DX334" s="2">
        <v>90</v>
      </c>
      <c r="DY334" s="12">
        <v>0</v>
      </c>
      <c r="DZ334" s="2" t="s">
        <v>102</v>
      </c>
      <c r="EA334" s="2" t="s">
        <v>102</v>
      </c>
      <c r="EB334" s="2" t="s">
        <v>102</v>
      </c>
      <c r="EC334" s="2" t="str">
        <f>HYPERLINK(".\links\gpi\AGAP010872-PA-gpi.txt","N")</f>
        <v>N</v>
      </c>
      <c r="ED334" s="2">
        <v>0.31</v>
      </c>
      <c r="EF334" s="2">
        <v>1</v>
      </c>
      <c r="EG334" s="2" t="s">
        <v>102</v>
      </c>
      <c r="EH334" s="2" t="s">
        <v>102</v>
      </c>
      <c r="EI334" s="2">
        <v>13.3333333333333</v>
      </c>
      <c r="EJ334" s="2">
        <v>5.5555555555555598</v>
      </c>
      <c r="EK334" s="2">
        <v>3.3333333333333299</v>
      </c>
      <c r="EL334" s="2">
        <v>8.8888888888888893</v>
      </c>
      <c r="EM334" s="2" t="s">
        <v>102</v>
      </c>
      <c r="EN334" s="2" t="s">
        <v>102</v>
      </c>
      <c r="EO334" s="2" t="s">
        <v>102</v>
      </c>
      <c r="EP334" s="2" t="s">
        <v>102</v>
      </c>
      <c r="EQ334" s="2" t="s">
        <v>102</v>
      </c>
      <c r="ER334" s="2" t="s">
        <v>102</v>
      </c>
      <c r="ES334" s="2" t="s">
        <v>102</v>
      </c>
      <c r="ET334" s="2" t="str">
        <f>HYPERLINK(".\links\REFSEQ-INVERTEBRATE\AGAP010872-PA-REFSEQ-INVERTEBRATE.txt","AGAP010872-PA, partial")</f>
        <v>AGAP010872-PA, partial</v>
      </c>
      <c r="EU334" s="2" t="str">
        <f>HYPERLINK("http://www.ncbi.nlm.nih.gov/sutils/blink.cgi?pid=XP_309832.4","2E-53")</f>
        <v>2E-53</v>
      </c>
      <c r="EV334" s="2" t="str">
        <f>HYPERLINK("http://www.ncbi.nlm.nih.gov/protein/XP_309832.4","XP_309832.4")</f>
        <v>XP_309832.4</v>
      </c>
      <c r="EW334" s="2">
        <v>97</v>
      </c>
      <c r="EX334" s="2">
        <v>100</v>
      </c>
      <c r="EY334" s="2">
        <v>12</v>
      </c>
      <c r="EZ334" s="2" t="s">
        <v>105</v>
      </c>
    </row>
    <row r="335" spans="1:156" x14ac:dyDescent="0.25">
      <c r="A335" s="2" t="s">
        <v>3645</v>
      </c>
      <c r="B335" s="2">
        <v>-0.253589560031943</v>
      </c>
      <c r="C335" s="2">
        <f t="shared" si="5"/>
        <v>0.83880678709276679</v>
      </c>
      <c r="D335" s="2">
        <v>6.8419499356114502</v>
      </c>
      <c r="E335" s="2">
        <v>10.966238631151599</v>
      </c>
      <c r="F335" s="2">
        <v>9.2786905524804399E-4</v>
      </c>
      <c r="G335" s="2">
        <v>3.11025494539778E-2</v>
      </c>
      <c r="H335" s="2" t="s">
        <v>3646</v>
      </c>
      <c r="I335" s="2" t="s">
        <v>102</v>
      </c>
      <c r="J335" s="2" t="str">
        <f>HYPERLINK("https://vectorbase.org/vectorbase/app/record/gene/AGAP029466","AGAP029466-RA")</f>
        <v>AGAP029466-RA</v>
      </c>
      <c r="K335" s="2" t="str">
        <f>HYPERLINK(".\links\pep\AGAP029466-PA-pep.txt","AGAP029466-PA")</f>
        <v>AGAP029466-PA</v>
      </c>
      <c r="L335" s="12" t="s">
        <v>95</v>
      </c>
      <c r="M335" s="2">
        <v>228</v>
      </c>
      <c r="N335" s="2">
        <v>0</v>
      </c>
      <c r="O335" s="2">
        <v>1</v>
      </c>
      <c r="P335" s="2" t="s">
        <v>3647</v>
      </c>
      <c r="Q335" s="9" t="s">
        <v>3648</v>
      </c>
      <c r="R335" s="2" t="s">
        <v>420</v>
      </c>
      <c r="S335" s="2" t="str">
        <f>HYPERLINK(".\links\PFAM\AGAP029466-PA-PFAM.txt","PFAM")</f>
        <v>PFAM</v>
      </c>
      <c r="T335" s="2">
        <v>6.9999999999999998E-71</v>
      </c>
      <c r="U335" s="2">
        <v>107.8</v>
      </c>
      <c r="V335" s="2" t="s">
        <v>3649</v>
      </c>
      <c r="W335" s="10" t="s">
        <v>3650</v>
      </c>
      <c r="X335" s="2" t="s">
        <v>420</v>
      </c>
      <c r="Y335" s="2" t="str">
        <f>HYPERLINK(".\links\REFSEQVERTEBRATE95\AGAP029466-PA-REFSEQVERTEBRATE95.txt","REFSEQVERTEBRATE95")</f>
        <v>REFSEQVERTEBRATE95</v>
      </c>
      <c r="Z335" s="15">
        <v>9.9999999999999994E-99</v>
      </c>
      <c r="AA335" s="2">
        <v>93</v>
      </c>
      <c r="AB335" s="13" t="str">
        <f>HYPERLINK(".\links\pep\AGAP029466-PA-sulf.txt","2")</f>
        <v>2</v>
      </c>
      <c r="AC335" s="13" t="str">
        <f>HYPERLINK(".\links\Sigp\AGAP029466-PA-SigP.txt","CYT")</f>
        <v>CYT</v>
      </c>
      <c r="AD335" s="2" t="s">
        <v>102</v>
      </c>
      <c r="AE335" s="2">
        <v>26.096</v>
      </c>
      <c r="AF335" s="2">
        <v>4.74</v>
      </c>
      <c r="AG335" s="2" t="s">
        <v>102</v>
      </c>
      <c r="AH335" s="2" t="s">
        <v>102</v>
      </c>
      <c r="AI335" s="2" t="s">
        <v>482</v>
      </c>
      <c r="AJ335" s="13">
        <v>0</v>
      </c>
      <c r="AK335" s="2" t="s">
        <v>102</v>
      </c>
      <c r="AL335" s="2" t="s">
        <v>102</v>
      </c>
      <c r="AM335" s="2" t="s">
        <v>102</v>
      </c>
      <c r="AN335" s="9" t="str">
        <f>HYPERLINK(".\links\gpi\AGAP029466-PA-gpi.txt","N")</f>
        <v>N</v>
      </c>
      <c r="AO335" s="14" t="str">
        <f>HYPERLINK(".\links\netoglyc\AGAP029466-PA-netoglyc.txt","1")</f>
        <v>1</v>
      </c>
      <c r="AP335" s="13">
        <v>16.2</v>
      </c>
      <c r="AQ335" s="2">
        <v>4.8</v>
      </c>
      <c r="AR335" s="2">
        <v>4.4000000000000004</v>
      </c>
      <c r="AS335" s="2" t="s">
        <v>104</v>
      </c>
      <c r="AT335" s="9" t="str">
        <f>HYPERLINK(".\links\NR-LIGHT\AGAP029466-PA-NR-LIGHT.txt","AGAP008411-PA-like protein")</f>
        <v>AGAP008411-PA-like protein</v>
      </c>
      <c r="AU335" s="2" t="str">
        <f>HYPERLINK("http://www.ncbi.nlm.nih.gov/sutils/blink.cgi?pid=KFB39115.1","1E-128")</f>
        <v>1E-128</v>
      </c>
      <c r="AV335" s="2" t="str">
        <f>HYPERLINK("http://www.ncbi.nlm.nih.gov/protein/KFB39115.1","KFB39115.1")</f>
        <v>KFB39115.1</v>
      </c>
      <c r="AW335" s="2">
        <v>96</v>
      </c>
      <c r="AX335" s="2">
        <v>98</v>
      </c>
      <c r="AY335" s="2">
        <v>100</v>
      </c>
      <c r="AZ335" s="2" t="s">
        <v>1522</v>
      </c>
      <c r="BA335" s="9" t="str">
        <f>HYPERLINK(".\links\REFSEQ-INVERTEBRATE\AGAP029466-PA-REFSEQ-INVERTEBRATE.txt","repressor of RNA polymerase III transcription MAF1 homolog")</f>
        <v>repressor of RNA polymerase III transcription MAF1 homolog</v>
      </c>
      <c r="BB335" s="2" t="str">
        <f>HYPERLINK("http://www.ncbi.nlm.nih.gov/sutils/blink.cgi?pid=XP_019561759.1","1E-120")</f>
        <v>1E-120</v>
      </c>
      <c r="BC335" s="2" t="str">
        <f>HYPERLINK("http://www.ncbi.nlm.nih.gov/protein/XP_019561759.1","XP_019561759.1")</f>
        <v>XP_019561759.1</v>
      </c>
      <c r="BD335" s="2">
        <v>91</v>
      </c>
      <c r="BE335" s="2">
        <v>94</v>
      </c>
      <c r="BF335" s="2">
        <v>100</v>
      </c>
      <c r="BG335" s="2" t="s">
        <v>361</v>
      </c>
      <c r="BH335" s="9" t="str">
        <f>HYPERLINK(".\links\REFSEQ-PROTOZOA\AGAP029466-PA-REFSEQ-PROTOZOA.txt","Maf1-pending-prov protein")</f>
        <v>Maf1-pending-prov protein</v>
      </c>
      <c r="BI335" s="2" t="str">
        <f>HYPERLINK("http://www.ncbi.nlm.nih.gov/sutils/blink.cgi?pid=XP_004344436.1","5E-043")</f>
        <v>5E-043</v>
      </c>
      <c r="BJ335" s="2" t="str">
        <f>HYPERLINK("http://www.ncbi.nlm.nih.gov/protein/XP_004344436.1","XP_004344436.1")</f>
        <v>XP_004344436.1</v>
      </c>
      <c r="BK335" s="2">
        <v>46</v>
      </c>
      <c r="BL335" s="2">
        <v>63</v>
      </c>
      <c r="BM335" s="2">
        <v>86</v>
      </c>
      <c r="BN335" s="2" t="s">
        <v>106</v>
      </c>
      <c r="BO335" s="9" t="str">
        <f>HYPERLINK(".\links\SWISSP\AGAP029466-PA-SWISSP.txt","Repressor of RNA polymerase III transcription MAF1 homolog")</f>
        <v>Repressor of RNA polymerase III transcription MAF1 homolog</v>
      </c>
      <c r="BP335" s="2" t="str">
        <f>HYPERLINK("http://www.uniprot.org/uniprot/Q7ZWL6","5E-072")</f>
        <v>5E-072</v>
      </c>
      <c r="BQ335" s="2" t="str">
        <f>HYPERLINK("http://www.uniprot.org/uniprot/Q7ZWL6#expression","Q7ZWL6")</f>
        <v>Q7ZWL6</v>
      </c>
      <c r="BR335" s="2">
        <v>57</v>
      </c>
      <c r="BS335" s="2">
        <v>74</v>
      </c>
      <c r="BT335" s="2">
        <v>93</v>
      </c>
      <c r="BU335" s="2" t="s">
        <v>625</v>
      </c>
      <c r="BV335" s="9" t="str">
        <f>HYPERLINK(".\links\FLYBASE\AGAP029466-PA-FLYBASE.txt","FBpp0311225")</f>
        <v>FBpp0311225</v>
      </c>
      <c r="BW335" s="2" t="str">
        <f>HYPERLINK("http://flybase.org/reports/FBgn0267861#alliance_summary_container","1E-118")</f>
        <v>1E-118</v>
      </c>
      <c r="BX335" s="2">
        <v>226</v>
      </c>
      <c r="BY335" s="2">
        <v>70</v>
      </c>
      <c r="BZ335" s="2">
        <v>82</v>
      </c>
      <c r="CA335" s="2">
        <v>100</v>
      </c>
      <c r="CB335" s="9" t="str">
        <f>HYPERLINK(".\links\CDD\AGAP029466-PA-CDD.txt","Maf1, Maf1 regulator")</f>
        <v>Maf1, Maf1 regulator</v>
      </c>
      <c r="CC335" s="15">
        <v>3.0000000000000001E-70</v>
      </c>
      <c r="CD335" s="2">
        <v>107.9</v>
      </c>
      <c r="CE335" s="2" t="s">
        <v>3651</v>
      </c>
      <c r="CF335" s="2" t="s">
        <v>3652</v>
      </c>
      <c r="CG335" s="9" t="str">
        <f>HYPERLINK(".\links\KOG\AGAP029466-PA-KOG.txt","Mod5 protein sorting/negative effector of RNA Pol III synthesis")</f>
        <v>Mod5 protein sorting/negative effector of RNA Pol III synthesis</v>
      </c>
      <c r="CH335" s="15">
        <v>2E-41</v>
      </c>
      <c r="CI335" s="2">
        <v>89</v>
      </c>
      <c r="CJ335" s="2" t="s">
        <v>3653</v>
      </c>
      <c r="CK335" s="2" t="s">
        <v>309</v>
      </c>
      <c r="CL335" s="9" t="str">
        <f>HYPERLINK(".\links\PFAM\AGAP029466-PA-PFAM.txt","Maf1, Maf1 regulator")</f>
        <v>Maf1, Maf1 regulator</v>
      </c>
      <c r="CM335" s="15">
        <v>6.9999999999999998E-71</v>
      </c>
      <c r="CN335" s="2">
        <v>107.9</v>
      </c>
      <c r="CO335" s="2" t="s">
        <v>3651</v>
      </c>
      <c r="CP335" s="9" t="str">
        <f>HYPERLINK(".\links\SMART\AGAP029466-PA-SMART.txt","PepX_N, X-Prolyl dipeptidyl aminopeptidase PepX, N-terminal")</f>
        <v>PepX_N, X-Prolyl dipeptidyl aminopeptidase PepX, N-terminal</v>
      </c>
      <c r="CQ335" s="15">
        <v>1.4</v>
      </c>
      <c r="CR335" s="2">
        <v>21.8</v>
      </c>
      <c r="CS335" s="2" t="s">
        <v>2775</v>
      </c>
      <c r="CT335" s="2" t="s">
        <v>3649</v>
      </c>
      <c r="CU335" s="2" t="s">
        <v>3649</v>
      </c>
      <c r="CV335" s="2" t="s">
        <v>3649</v>
      </c>
      <c r="CW335" s="2" t="str">
        <f>HYPERLINK(".\links\pep\AGAP029466-PA-pep.txt","AGAP029466-PA")</f>
        <v>AGAP029466-PA</v>
      </c>
      <c r="CX335" s="2" t="s">
        <v>95</v>
      </c>
      <c r="CY335" s="2">
        <v>228</v>
      </c>
      <c r="CZ335" s="2" t="s">
        <v>113</v>
      </c>
      <c r="DA335" s="2">
        <v>0</v>
      </c>
      <c r="DB335" s="2">
        <v>1</v>
      </c>
      <c r="DD335" s="2" t="str">
        <f>HYPERLINK("https://www.kegg.jp/kegg-bin/search_pathway_text?map=aga&amp;keyword=AGAP029466&amp;mode=1&amp;viewImage=true","AGAP029466")</f>
        <v>AGAP029466</v>
      </c>
      <c r="DE335" s="2" t="s">
        <v>3645</v>
      </c>
      <c r="DF335" s="2" t="s">
        <v>3646</v>
      </c>
      <c r="DG335" s="2" t="s">
        <v>102</v>
      </c>
      <c r="DH335" s="2" t="str">
        <f>HYPERLINK("https://vectorbase.org/vectorbase/app/record/gene/AGAP029466","AGAP029466-RA")</f>
        <v>AGAP029466-RA</v>
      </c>
      <c r="DI335" s="2" t="s">
        <v>118</v>
      </c>
      <c r="DJ335" s="2">
        <v>6896</v>
      </c>
      <c r="DK335" s="2" t="str">
        <f>HYPERLINK(".\links\netoglyc\AGAP029466-PA-netoglyc.txt","1")</f>
        <v>1</v>
      </c>
      <c r="DL335" s="2">
        <v>16.2</v>
      </c>
      <c r="DM335" s="2">
        <v>4.8</v>
      </c>
      <c r="DN335" s="2">
        <v>4.4000000000000004</v>
      </c>
      <c r="DO335" s="2" t="s">
        <v>104</v>
      </c>
      <c r="DP335" s="2" t="s">
        <v>102</v>
      </c>
      <c r="DQ335" s="2" t="str">
        <f>HYPERLINK(".\links\Sigp\AGAP029466-PA-SigP.txt","CYT")</f>
        <v>CYT</v>
      </c>
      <c r="DR335" s="2" t="s">
        <v>102</v>
      </c>
      <c r="DS335" s="2">
        <v>26.096</v>
      </c>
      <c r="DT335" s="2">
        <v>4.74</v>
      </c>
      <c r="DU335" s="2" t="s">
        <v>102</v>
      </c>
      <c r="DV335" s="2" t="s">
        <v>102</v>
      </c>
      <c r="DW335" s="2" t="s">
        <v>482</v>
      </c>
      <c r="DX335" s="2">
        <v>228</v>
      </c>
      <c r="DY335" s="12">
        <v>0</v>
      </c>
      <c r="DZ335" s="2" t="s">
        <v>102</v>
      </c>
      <c r="EA335" s="2" t="s">
        <v>102</v>
      </c>
      <c r="EB335" s="2" t="s">
        <v>102</v>
      </c>
      <c r="EC335" s="2" t="str">
        <f>HYPERLINK(".\links\gpi\AGAP029466-PA-gpi.txt","Y-NoSP")</f>
        <v>Y-NoSP</v>
      </c>
      <c r="ED335" s="2">
        <v>0.27</v>
      </c>
      <c r="EF335" s="2">
        <v>6</v>
      </c>
      <c r="EG335" s="2" t="str">
        <f>HYPERLINK(".\links\pep\AGAP029466-PA-sulf.txt","2")</f>
        <v>2</v>
      </c>
      <c r="EH335" s="2" t="s">
        <v>102</v>
      </c>
      <c r="EI335" s="2">
        <v>16.228070175438599</v>
      </c>
      <c r="EJ335" s="2">
        <v>4.3859649122807003</v>
      </c>
      <c r="EK335" s="2">
        <v>4.8245614035087696</v>
      </c>
      <c r="EL335" s="2">
        <v>9.2105263157894708</v>
      </c>
      <c r="EM335" s="2" t="s">
        <v>102</v>
      </c>
      <c r="EN335" s="2" t="s">
        <v>102</v>
      </c>
      <c r="EO335" s="2">
        <v>1</v>
      </c>
      <c r="EP335" s="2" t="s">
        <v>102</v>
      </c>
      <c r="EQ335" s="2" t="s">
        <v>102</v>
      </c>
      <c r="ER335" s="2" t="s">
        <v>102</v>
      </c>
      <c r="ES335" s="2" t="s">
        <v>102</v>
      </c>
      <c r="ET335" s="2" t="str">
        <f>HYPERLINK(".\links\REFSEQ-INVERTEBRATE\AGAP029466-PA-REFSEQ-INVERTEBRATE.txt","repressor of RNA polymerase III transcription MAF1 homolog")</f>
        <v>repressor of RNA polymerase III transcription MAF1 homolog</v>
      </c>
      <c r="EU335" s="2" t="str">
        <f>HYPERLINK("http://www.ncbi.nlm.nih.gov/sutils/blink.cgi?pid=XP_035913141.1","1E-169")</f>
        <v>1E-169</v>
      </c>
      <c r="EV335" s="2" t="str">
        <f>HYPERLINK("http://www.ncbi.nlm.nih.gov/protein/XP_035913141.1","XP_035913141.1")</f>
        <v>XP_035913141.1</v>
      </c>
      <c r="EW335" s="2">
        <v>98</v>
      </c>
      <c r="EX335" s="2">
        <v>99</v>
      </c>
      <c r="EY335" s="2">
        <v>100</v>
      </c>
      <c r="EZ335" s="2" t="s">
        <v>370</v>
      </c>
    </row>
    <row r="336" spans="1:156" x14ac:dyDescent="0.25">
      <c r="A336" s="2" t="s">
        <v>3654</v>
      </c>
      <c r="B336" s="2">
        <v>-0.25449354223941101</v>
      </c>
      <c r="C336" s="2">
        <f t="shared" si="5"/>
        <v>0.83828136149896104</v>
      </c>
      <c r="D336" s="2">
        <v>7.1484591799927797</v>
      </c>
      <c r="E336" s="2">
        <v>9.5940704929848106</v>
      </c>
      <c r="F336" s="2">
        <v>1.9520671697399101E-3</v>
      </c>
      <c r="G336" s="2">
        <v>4.2941120441488297E-2</v>
      </c>
      <c r="H336" s="2" t="s">
        <v>3655</v>
      </c>
      <c r="I336" s="2" t="s">
        <v>94</v>
      </c>
      <c r="J336" s="2" t="str">
        <f>HYPERLINK("https://vectorbase.org/vectorbase/app/record/gene/AGAP009333","AGAP009333-RB")</f>
        <v>AGAP009333-RB</v>
      </c>
      <c r="K336" s="2" t="str">
        <f>HYPERLINK(".\links\pep\AGAP009333-PB-pep.txt","AGAP009333-PB")</f>
        <v>AGAP009333-PB</v>
      </c>
      <c r="L336" s="12" t="s">
        <v>95</v>
      </c>
      <c r="M336" s="2">
        <v>392</v>
      </c>
      <c r="N336" s="2">
        <v>0</v>
      </c>
      <c r="O336" s="2">
        <v>0</v>
      </c>
      <c r="P336" s="2" t="s">
        <v>3656</v>
      </c>
      <c r="Q336" s="9" t="s">
        <v>3657</v>
      </c>
      <c r="R336" s="2" t="s">
        <v>447</v>
      </c>
      <c r="S336" s="2" t="str">
        <f>HYPERLINK(".\links\KOG\AGAP009333-PB-KOG.txt","KOG")</f>
        <v>KOG</v>
      </c>
      <c r="T336" s="2">
        <v>1.0000000000000001E-37</v>
      </c>
      <c r="U336" s="2">
        <v>89</v>
      </c>
      <c r="V336" s="2" t="s">
        <v>3658</v>
      </c>
      <c r="W336" s="10" t="s">
        <v>3659</v>
      </c>
      <c r="X336" s="2" t="s">
        <v>345</v>
      </c>
      <c r="Y336" s="2" t="str">
        <f>HYPERLINK(".\links\REFSEQVERTEBRATE95\AGAP009333-PB-REFSEQVERTEBRATE95.txt","REFSEQVERTEBRATE95")</f>
        <v>REFSEQVERTEBRATE95</v>
      </c>
      <c r="Z336" s="2">
        <v>0</v>
      </c>
      <c r="AA336" s="2">
        <v>123.2</v>
      </c>
      <c r="AB336" s="13" t="s">
        <v>102</v>
      </c>
      <c r="AC336" s="13" t="str">
        <f>HYPERLINK(".\links\Sigp\AGAP009333-PB-SigP.txt","CYT")</f>
        <v>CYT</v>
      </c>
      <c r="AD336" s="2" t="s">
        <v>102</v>
      </c>
      <c r="AE336" s="2">
        <v>42.066000000000003</v>
      </c>
      <c r="AF336" s="2">
        <v>9.91</v>
      </c>
      <c r="AG336" s="2" t="s">
        <v>102</v>
      </c>
      <c r="AH336" s="2" t="s">
        <v>102</v>
      </c>
      <c r="AI336" s="2" t="s">
        <v>3660</v>
      </c>
      <c r="AJ336" s="13">
        <v>0</v>
      </c>
      <c r="AK336" s="2" t="s">
        <v>102</v>
      </c>
      <c r="AL336" s="2" t="s">
        <v>102</v>
      </c>
      <c r="AM336" s="2" t="s">
        <v>102</v>
      </c>
      <c r="AN336" s="13" t="str">
        <f>HYPERLINK(".\links\gpi\AGAP009333-PB-gpi.txt","N")</f>
        <v>N</v>
      </c>
      <c r="AO336" s="14" t="str">
        <f>HYPERLINK(".\links\netoglyc\AGAP009333-PB-netoglyc.txt","1")</f>
        <v>1</v>
      </c>
      <c r="AP336" s="13">
        <v>17.899999999999999</v>
      </c>
      <c r="AQ336" s="2">
        <v>7.7</v>
      </c>
      <c r="AR336" s="2">
        <v>3.3</v>
      </c>
      <c r="AS336" s="2" t="s">
        <v>104</v>
      </c>
      <c r="AT336" s="9" t="str">
        <f>HYPERLINK(".\links\NR-LIGHT\AGAP009333-PB-NR-LIGHT.txt","AGAP009333-PA, partial")</f>
        <v>AGAP009333-PA, partial</v>
      </c>
      <c r="AU336" s="2" t="str">
        <f>HYPERLINK("http://www.ncbi.nlm.nih.gov/sutils/blink.cgi?pid=XP_310002.4","0.0")</f>
        <v>0.0</v>
      </c>
      <c r="AV336" s="2" t="str">
        <f>HYPERLINK("http://www.ncbi.nlm.nih.gov/protein/XP_310002.4","XP_310002.4")</f>
        <v>XP_310002.4</v>
      </c>
      <c r="AW336" s="2">
        <v>88</v>
      </c>
      <c r="AX336" s="2">
        <v>88</v>
      </c>
      <c r="AY336" s="2">
        <v>109</v>
      </c>
      <c r="AZ336" s="2" t="s">
        <v>105</v>
      </c>
      <c r="BA336" s="9" t="str">
        <f>HYPERLINK(".\links\REFSEQ-INVERTEBRATE\AGAP009333-PB-REFSEQ-INVERTEBRATE.txt","AGAP009333-PA, partial")</f>
        <v>AGAP009333-PA, partial</v>
      </c>
      <c r="BB336" s="2" t="str">
        <f>HYPERLINK("http://www.ncbi.nlm.nih.gov/sutils/blink.cgi?pid=XP_310002.4","0.0")</f>
        <v>0.0</v>
      </c>
      <c r="BC336" s="2" t="str">
        <f>HYPERLINK("http://www.ncbi.nlm.nih.gov/protein/XP_310002.4","XP_310002.4")</f>
        <v>XP_310002.4</v>
      </c>
      <c r="BD336" s="2">
        <v>88</v>
      </c>
      <c r="BE336" s="2">
        <v>88</v>
      </c>
      <c r="BF336" s="2">
        <v>109</v>
      </c>
      <c r="BG336" s="2" t="s">
        <v>105</v>
      </c>
      <c r="BH336" s="9" t="str">
        <f>HYPERLINK(".\links\REFSEQ-PROTOZOA\AGAP009333-PB-REFSEQ-PROTOZOA.txt","unnamed protein product")</f>
        <v>unnamed protein product</v>
      </c>
      <c r="BI336" s="2" t="str">
        <f>HYPERLINK("http://www.ncbi.nlm.nih.gov/sutils/blink.cgi?pid=XP_005711091.1","5E-050")</f>
        <v>5E-050</v>
      </c>
      <c r="BJ336" s="2" t="str">
        <f>HYPERLINK("http://www.ncbi.nlm.nih.gov/protein/XP_005711091.1","XP_005711091.1")</f>
        <v>XP_005711091.1</v>
      </c>
      <c r="BK336" s="2">
        <v>42</v>
      </c>
      <c r="BL336" s="2">
        <v>61</v>
      </c>
      <c r="BM336" s="2">
        <v>72</v>
      </c>
      <c r="BN336" s="2" t="s">
        <v>322</v>
      </c>
      <c r="BO336" s="9" t="str">
        <f>HYPERLINK(".\links\SWISSP\AGAP009333-PB-SWISSP.txt","Mitochondrial carrier protein Rim2")</f>
        <v>Mitochondrial carrier protein Rim2</v>
      </c>
      <c r="BP336" s="2" t="str">
        <f>HYPERLINK("http://www.uniprot.org/uniprot/Q9VQ37","1E-118")</f>
        <v>1E-118</v>
      </c>
      <c r="BQ336" s="2" t="str">
        <f>HYPERLINK("http://www.uniprot.org/uniprot/Q9VQ37#expression","Q9VQ37")</f>
        <v>Q9VQ37</v>
      </c>
      <c r="BR336" s="2">
        <v>59</v>
      </c>
      <c r="BS336" s="2">
        <v>69</v>
      </c>
      <c r="BT336" s="2">
        <v>107</v>
      </c>
      <c r="BU336" s="2" t="s">
        <v>107</v>
      </c>
      <c r="BV336" s="9" t="str">
        <f>HYPERLINK(".\links\FLYBASE\AGAP009333-PB-FLYBASE.txt","FBpp0294064")</f>
        <v>FBpp0294064</v>
      </c>
      <c r="BW336" s="2" t="str">
        <f>HYPERLINK("http://flybase.org/reports/FBgn0031359#alliance_summary_container","1E-157")</f>
        <v>1E-157</v>
      </c>
      <c r="BX336" s="2">
        <v>358</v>
      </c>
      <c r="BY336" s="2">
        <v>60</v>
      </c>
      <c r="BZ336" s="2">
        <v>70</v>
      </c>
      <c r="CA336" s="2">
        <v>107</v>
      </c>
      <c r="CB336" s="9" t="str">
        <f>HYPERLINK(".\links\CDD\AGAP009333-PB-CDD.txt","Mito_carr, Mitochondrial carrier protein")</f>
        <v>Mito_carr, Mitochondrial carrier protein</v>
      </c>
      <c r="CC336" s="15">
        <v>3.0000000000000001E-17</v>
      </c>
      <c r="CD336" s="2">
        <v>94.8</v>
      </c>
      <c r="CE336" s="2" t="s">
        <v>3661</v>
      </c>
      <c r="CF336" s="2" t="s">
        <v>3662</v>
      </c>
      <c r="CG336" s="9" t="str">
        <f>HYPERLINK(".\links\KOG\AGAP009333-PB-KOG.txt","Mitochondrial carrier protein - Rim2p/Mrs12p")</f>
        <v>Mitochondrial carrier protein - Rim2p/Mrs12p</v>
      </c>
      <c r="CH336" s="15">
        <v>9.9999999999999998E-114</v>
      </c>
      <c r="CI336" s="2">
        <v>119.7</v>
      </c>
      <c r="CJ336" s="2" t="s">
        <v>3663</v>
      </c>
      <c r="CK336" s="2" t="s">
        <v>1449</v>
      </c>
      <c r="CL336" s="9" t="str">
        <f>HYPERLINK(".\links\PFAM\AGAP009333-PB-PFAM.txt","Mito_carr, Mitochondrial carrier protein")</f>
        <v>Mito_carr, Mitochondrial carrier protein</v>
      </c>
      <c r="CM336" s="15">
        <v>5.9999999999999997E-18</v>
      </c>
      <c r="CN336" s="2">
        <v>94.8</v>
      </c>
      <c r="CO336" s="2" t="s">
        <v>3661</v>
      </c>
      <c r="CP336" s="9" t="str">
        <f>HYPERLINK(".\links\SMART\AGAP009333-PB-SMART.txt","HTH_ASNC, helix_turn_helix ASNC type")</f>
        <v>HTH_ASNC, helix_turn_helix ASNC type</v>
      </c>
      <c r="CQ336" s="15">
        <v>0.96</v>
      </c>
      <c r="CR336" s="2">
        <v>44.4</v>
      </c>
      <c r="CS336" s="2" t="s">
        <v>3664</v>
      </c>
      <c r="CT336" s="2" t="s">
        <v>3658</v>
      </c>
      <c r="CU336" s="2" t="s">
        <v>3658</v>
      </c>
      <c r="CV336" s="2" t="s">
        <v>3658</v>
      </c>
      <c r="CW336" s="2" t="str">
        <f>HYPERLINK(".\links\pep\AGAP009333-PB-pep.txt","AGAP009333-PB")</f>
        <v>AGAP009333-PB</v>
      </c>
      <c r="CX336" s="2" t="s">
        <v>95</v>
      </c>
      <c r="CY336" s="2">
        <v>392</v>
      </c>
      <c r="CZ336" s="2" t="s">
        <v>113</v>
      </c>
      <c r="DA336" s="2" t="s">
        <v>3665</v>
      </c>
      <c r="DB336" s="2">
        <v>0</v>
      </c>
      <c r="DC336" s="2">
        <v>0</v>
      </c>
      <c r="DD336" s="2" t="str">
        <f>HYPERLINK("https://www.kegg.jp/kegg-bin/search_pathway_text?map=aga&amp;keyword=AGAP009333&amp;mode=1&amp;viewImage=true","AGAP009333")</f>
        <v>AGAP009333</v>
      </c>
      <c r="DE336" s="2" t="s">
        <v>3654</v>
      </c>
      <c r="DF336" s="2" t="s">
        <v>3655</v>
      </c>
      <c r="DG336" s="2" t="s">
        <v>94</v>
      </c>
      <c r="DH336" s="2" t="str">
        <f>HYPERLINK("https://vectorbase.org/vectorbase/app/record/gene/AGAP009333","AGAP009333-RB")</f>
        <v>AGAP009333-RB</v>
      </c>
      <c r="DI336" s="2" t="s">
        <v>90</v>
      </c>
      <c r="DJ336" s="2">
        <v>5792</v>
      </c>
      <c r="DK336" s="2" t="str">
        <f>HYPERLINK(".\links\netoglyc\AGAP009333-PB-netoglyc.txt","1")</f>
        <v>1</v>
      </c>
      <c r="DL336" s="2">
        <v>17.899999999999999</v>
      </c>
      <c r="DM336" s="2">
        <v>7.7</v>
      </c>
      <c r="DN336" s="2">
        <v>3.3</v>
      </c>
      <c r="DO336" s="2" t="s">
        <v>104</v>
      </c>
      <c r="DP336" s="2" t="s">
        <v>102</v>
      </c>
      <c r="DQ336" s="2" t="str">
        <f>HYPERLINK(".\links\Sigp\AGAP009333-PB-SigP.txt","CYT")</f>
        <v>CYT</v>
      </c>
      <c r="DR336" s="2" t="s">
        <v>102</v>
      </c>
      <c r="DS336" s="2">
        <v>42.066000000000003</v>
      </c>
      <c r="DT336" s="2">
        <v>9.91</v>
      </c>
      <c r="DU336" s="2" t="s">
        <v>102</v>
      </c>
      <c r="DV336" s="2" t="s">
        <v>102</v>
      </c>
      <c r="DW336" s="2" t="s">
        <v>3660</v>
      </c>
      <c r="DX336" s="2">
        <v>392</v>
      </c>
      <c r="DY336" s="12">
        <v>0</v>
      </c>
      <c r="DZ336" s="2" t="s">
        <v>102</v>
      </c>
      <c r="EA336" s="2" t="s">
        <v>102</v>
      </c>
      <c r="EB336" s="2" t="s">
        <v>102</v>
      </c>
      <c r="EC336" s="2" t="str">
        <f>HYPERLINK(".\links\gpi\AGAP009333-PB-gpi.txt","Y-NoSP")</f>
        <v>Y-NoSP</v>
      </c>
      <c r="ED336" s="2">
        <v>0.28000000000000003</v>
      </c>
      <c r="EF336" s="2">
        <v>7</v>
      </c>
      <c r="EG336" s="2" t="s">
        <v>102</v>
      </c>
      <c r="EH336" s="2" t="s">
        <v>102</v>
      </c>
      <c r="EI336" s="2">
        <v>17.8571428571429</v>
      </c>
      <c r="EJ336" s="2">
        <v>3.31632653061224</v>
      </c>
      <c r="EK336" s="2">
        <v>7.6530612244898002</v>
      </c>
      <c r="EL336" s="2">
        <v>10.969387755102</v>
      </c>
      <c r="EM336" s="2" t="s">
        <v>102</v>
      </c>
      <c r="EN336" s="2">
        <v>2</v>
      </c>
      <c r="EO336" s="2">
        <v>2</v>
      </c>
      <c r="EP336" s="2" t="s">
        <v>102</v>
      </c>
      <c r="EQ336" s="2" t="s">
        <v>102</v>
      </c>
      <c r="ER336" s="2" t="s">
        <v>102</v>
      </c>
      <c r="ES336" s="2" t="s">
        <v>576</v>
      </c>
      <c r="ET336" s="2" t="str">
        <f>HYPERLINK(".\links\REFSEQ-INVERTEBRATE\AGAP009333-PB-REFSEQ-INVERTEBRATE.txt","mitochondrial carrier protein Rim2")</f>
        <v>mitochondrial carrier protein Rim2</v>
      </c>
      <c r="EU336" s="2" t="str">
        <f>HYPERLINK("http://www.ncbi.nlm.nih.gov/sutils/blink.cgi?pid=XP_035909071.1","0.0")</f>
        <v>0.0</v>
      </c>
      <c r="EV336" s="2" t="str">
        <f>HYPERLINK("http://www.ncbi.nlm.nih.gov/protein/XP_035909071.1","XP_035909071.1")</f>
        <v>XP_035909071.1</v>
      </c>
      <c r="EW336" s="2">
        <v>93</v>
      </c>
      <c r="EX336" s="2">
        <v>95</v>
      </c>
      <c r="EY336" s="2">
        <v>101</v>
      </c>
      <c r="EZ336" s="2" t="s">
        <v>370</v>
      </c>
    </row>
    <row r="337" spans="1:156" x14ac:dyDescent="0.25">
      <c r="A337" s="2" t="s">
        <v>3666</v>
      </c>
      <c r="B337" s="2">
        <v>-0.25703830259218402</v>
      </c>
      <c r="C337" s="2">
        <f t="shared" si="5"/>
        <v>0.83680402579908131</v>
      </c>
      <c r="D337" s="2">
        <v>5.7262532768401897</v>
      </c>
      <c r="E337" s="2">
        <v>9.3213887291222708</v>
      </c>
      <c r="F337" s="2">
        <v>2.2649426612587598E-3</v>
      </c>
      <c r="G337" s="2">
        <v>4.5460305349704903E-2</v>
      </c>
      <c r="H337" s="2" t="s">
        <v>93</v>
      </c>
      <c r="I337" s="2" t="s">
        <v>94</v>
      </c>
      <c r="J337" s="2" t="str">
        <f>HYPERLINK("https://vectorbase.org/vectorbase/app/record/gene/AGAP007325","AGAP007325-RB")</f>
        <v>AGAP007325-RB</v>
      </c>
      <c r="K337" s="2" t="str">
        <f>HYPERLINK(".\links\pep\AGAP007325-PB-pep.txt","AGAP007325-PB")</f>
        <v>AGAP007325-PB</v>
      </c>
      <c r="L337" s="12" t="s">
        <v>95</v>
      </c>
      <c r="M337" s="2">
        <v>124</v>
      </c>
      <c r="N337" s="2">
        <v>0</v>
      </c>
      <c r="O337" s="2">
        <v>0</v>
      </c>
      <c r="P337" s="2" t="s">
        <v>102</v>
      </c>
      <c r="Q337" s="9" t="s">
        <v>3667</v>
      </c>
      <c r="R337" s="2" t="s">
        <v>420</v>
      </c>
      <c r="S337" s="2" t="str">
        <f>HYPERLINK(".\links\REFSEQ-INVERTEBRATE\AGAP007325-PB-REFSEQ-INVERTEBRATE.txt","REFSEQ-INVERTEBRATE")</f>
        <v>REFSEQ-INVERTEBRATE</v>
      </c>
      <c r="T337" s="2">
        <v>4.0000000000000002E-62</v>
      </c>
      <c r="U337" s="2">
        <v>100</v>
      </c>
      <c r="V337" s="2" t="s">
        <v>3668</v>
      </c>
      <c r="W337" s="10" t="s">
        <v>3669</v>
      </c>
      <c r="X337" s="2" t="s">
        <v>420</v>
      </c>
      <c r="Y337" s="2" t="str">
        <f>HYPERLINK(".\links\KOG\AGAP007325-PB-KOG.txt","KOG")</f>
        <v>KOG</v>
      </c>
      <c r="Z337" s="15">
        <v>3.9999999999999997E-39</v>
      </c>
      <c r="AA337" s="2">
        <v>42.5</v>
      </c>
      <c r="AB337" s="13" t="s">
        <v>102</v>
      </c>
      <c r="AC337" s="13" t="str">
        <f>HYPERLINK(".\links\Sigp\AGAP007325-PB-SigP.txt","CYT")</f>
        <v>CYT</v>
      </c>
      <c r="AD337" s="2" t="s">
        <v>102</v>
      </c>
      <c r="AE337" s="2">
        <v>14.667</v>
      </c>
      <c r="AF337" s="2">
        <v>11.15</v>
      </c>
      <c r="AG337" s="2" t="s">
        <v>102</v>
      </c>
      <c r="AH337" s="2" t="s">
        <v>102</v>
      </c>
      <c r="AI337" s="2" t="s">
        <v>291</v>
      </c>
      <c r="AJ337" s="13">
        <v>0</v>
      </c>
      <c r="AK337" s="2" t="s">
        <v>102</v>
      </c>
      <c r="AL337" s="2" t="s">
        <v>102</v>
      </c>
      <c r="AM337" s="2" t="s">
        <v>102</v>
      </c>
      <c r="AN337" s="13" t="str">
        <f>HYPERLINK(".\links\gpi\AGAP007325-PB-gpi.txt","N")</f>
        <v>N</v>
      </c>
      <c r="AO337" s="14" t="str">
        <f>HYPERLINK(".\links\netoglyc\AGAP007325-PB-netoglyc.txt","1")</f>
        <v>1</v>
      </c>
      <c r="AP337" s="13">
        <v>15.3</v>
      </c>
      <c r="AQ337" s="2">
        <v>7.3</v>
      </c>
      <c r="AR337" s="2">
        <v>3.2</v>
      </c>
      <c r="AS337" s="2" t="s">
        <v>104</v>
      </c>
      <c r="AT337" s="9" t="str">
        <f>HYPERLINK(".\links\NR-LIGHT\AGAP007325-PB-NR-LIGHT.txt","AGAP007325-PB")</f>
        <v>AGAP007325-PB</v>
      </c>
      <c r="AU337" s="2" t="str">
        <f>HYPERLINK("http://www.ncbi.nlm.nih.gov/sutils/blink.cgi?pid=XP_001687957.1","6E-067")</f>
        <v>6E-067</v>
      </c>
      <c r="AV337" s="2" t="str">
        <f>HYPERLINK("http://www.ncbi.nlm.nih.gov/protein/XP_001687957.1","XP_001687957.1")</f>
        <v>XP_001687957.1</v>
      </c>
      <c r="AW337" s="2">
        <v>100</v>
      </c>
      <c r="AX337" s="2">
        <v>100</v>
      </c>
      <c r="AY337" s="2">
        <v>100</v>
      </c>
      <c r="AZ337" s="2" t="s">
        <v>105</v>
      </c>
      <c r="BA337" s="9" t="str">
        <f>HYPERLINK(".\links\REFSEQ-INVERTEBRATE\AGAP007325-PB-REFSEQ-INVERTEBRATE.txt","AGAP007325-PB")</f>
        <v>AGAP007325-PB</v>
      </c>
      <c r="BB337" s="2" t="str">
        <f>HYPERLINK("http://www.ncbi.nlm.nih.gov/sutils/blink.cgi?pid=XP_001687957.1","5E-067")</f>
        <v>5E-067</v>
      </c>
      <c r="BC337" s="2" t="str">
        <f>HYPERLINK("http://www.ncbi.nlm.nih.gov/protein/XP_001687957.1","XP_001687957.1")</f>
        <v>XP_001687957.1</v>
      </c>
      <c r="BD337" s="2">
        <v>100</v>
      </c>
      <c r="BE337" s="2">
        <v>100</v>
      </c>
      <c r="BF337" s="2">
        <v>100</v>
      </c>
      <c r="BG337" s="2" t="s">
        <v>105</v>
      </c>
      <c r="BH337" s="9" t="str">
        <f>HYPERLINK(".\links\REFSEQ-PROTOZOA\AGAP007325-PB-REFSEQ-PROTOZOA.txt","splicing factor, arginine/serine-rich 3")</f>
        <v>splicing factor, arginine/serine-rich 3</v>
      </c>
      <c r="BI337" s="2" t="str">
        <f>HYPERLINK("http://www.ncbi.nlm.nih.gov/sutils/blink.cgi?pid=XP_001610609.1","1E-024")</f>
        <v>1E-024</v>
      </c>
      <c r="BJ337" s="2" t="str">
        <f>HYPERLINK("http://www.ncbi.nlm.nih.gov/protein/XP_001610609.1","XP_001610609.1")</f>
        <v>XP_001610609.1</v>
      </c>
      <c r="BK337" s="2">
        <v>50</v>
      </c>
      <c r="BL337" s="2">
        <v>59</v>
      </c>
      <c r="BM337" s="2">
        <v>87</v>
      </c>
      <c r="BN337" s="2" t="s">
        <v>3670</v>
      </c>
      <c r="BO337" s="9" t="str">
        <f>HYPERLINK(".\links\SWISSP\AGAP007325-PB-SWISSP.txt","RNA-binding protein 1")</f>
        <v>RNA-binding protein 1</v>
      </c>
      <c r="BP337" s="2" t="str">
        <f>HYPERLINK("http://www.uniprot.org/uniprot/Q02427","3E-043")</f>
        <v>3E-043</v>
      </c>
      <c r="BQ337" s="2" t="str">
        <f>HYPERLINK("http://www.uniprot.org/uniprot/Q02427#expression","Q02427")</f>
        <v>Q02427</v>
      </c>
      <c r="BR337" s="2">
        <v>83</v>
      </c>
      <c r="BS337" s="2">
        <v>85</v>
      </c>
      <c r="BT337" s="2">
        <v>72</v>
      </c>
      <c r="BU337" s="2" t="s">
        <v>107</v>
      </c>
      <c r="BV337" s="9" t="str">
        <f>HYPERLINK(".\links\FLYBASE\AGAP007325-PB-FLYBASE.txt","FBpp0081754")</f>
        <v>FBpp0081754</v>
      </c>
      <c r="BW337" s="2" t="str">
        <f>HYPERLINK("http://flybase.org/reports/FBgn0260944#alliance_summary_container","2E-53")</f>
        <v>2E-53</v>
      </c>
      <c r="BX337" s="2">
        <v>144</v>
      </c>
      <c r="BY337" s="2">
        <v>91</v>
      </c>
      <c r="BZ337" s="2">
        <v>93</v>
      </c>
      <c r="CA337" s="2">
        <v>56</v>
      </c>
      <c r="CB337" s="9" t="str">
        <f>HYPERLINK(".\links\CDD\AGAP007325-PB-CDD.txt","RRM_SRSF3_like, RNA recognition motif in serine/arginine-rich splicing factor 3 (SRSF3) and similar proteins")</f>
        <v>RRM_SRSF3_like, RNA recognition motif in serine/arginine-rich splicing factor 3 (SRSF3) and similar proteins</v>
      </c>
      <c r="CC337" s="15">
        <v>2.0000000000000002E-30</v>
      </c>
      <c r="CD337" s="2">
        <v>100</v>
      </c>
      <c r="CE337" s="2" t="s">
        <v>3671</v>
      </c>
      <c r="CF337" s="2" t="s">
        <v>3672</v>
      </c>
      <c r="CG337" s="9" t="str">
        <f>HYPERLINK(".\links\KOG\AGAP007325-PB-KOG.txt","Alternative splicing factor SRp20/9G8 (RRM superfamily)")</f>
        <v>Alternative splicing factor SRp20/9G8 (RRM superfamily)</v>
      </c>
      <c r="CH337" s="15">
        <v>3.9999999999999999E-16</v>
      </c>
      <c r="CI337" s="2">
        <v>63.6</v>
      </c>
      <c r="CJ337" s="2" t="s">
        <v>3673</v>
      </c>
      <c r="CK337" s="2" t="s">
        <v>722</v>
      </c>
      <c r="CL337" s="9" t="str">
        <f>HYPERLINK(".\links\PFAM\AGAP007325-PB-PFAM.txt","RRM_1, RNA recognition motif")</f>
        <v>RRM_1, RNA recognition motif</v>
      </c>
      <c r="CM337" s="15">
        <v>3.9999999999999999E-16</v>
      </c>
      <c r="CN337" s="2">
        <v>100</v>
      </c>
      <c r="CO337" s="2" t="s">
        <v>1253</v>
      </c>
      <c r="CP337" s="9" t="str">
        <f>HYPERLINK(".\links\SMART\AGAP007325-PB-SMART.txt","RRM, RNA recognition motif")</f>
        <v>RRM, RNA recognition motif</v>
      </c>
      <c r="CQ337" s="15">
        <v>6.9999999999999997E-18</v>
      </c>
      <c r="CR337" s="2">
        <v>100</v>
      </c>
      <c r="CS337" s="2" t="s">
        <v>1254</v>
      </c>
      <c r="CT337" s="2" t="s">
        <v>3668</v>
      </c>
      <c r="CU337" s="2" t="s">
        <v>3668</v>
      </c>
      <c r="CV337" s="2" t="s">
        <v>3668</v>
      </c>
      <c r="CW337" s="2" t="str">
        <f>HYPERLINK(".\links\pep\AGAP007325-PB-pep.txt","AGAP007325-PB")</f>
        <v>AGAP007325-PB</v>
      </c>
      <c r="CX337" s="2" t="s">
        <v>95</v>
      </c>
      <c r="CY337" s="2">
        <v>124</v>
      </c>
      <c r="CZ337" s="2" t="s">
        <v>113</v>
      </c>
      <c r="DA337" s="2" t="s">
        <v>3674</v>
      </c>
      <c r="DB337" s="2">
        <v>0</v>
      </c>
      <c r="DC337" s="2">
        <v>0</v>
      </c>
      <c r="DD337" s="2" t="str">
        <f>HYPERLINK("https://www.kegg.jp/kegg-bin/search_pathway_text?map=aga&amp;keyword=AGAP007325&amp;mode=1&amp;viewImage=true","AGAP007325")</f>
        <v>AGAP007325</v>
      </c>
      <c r="DE337" s="2" t="s">
        <v>3666</v>
      </c>
      <c r="DF337" s="2" t="s">
        <v>93</v>
      </c>
      <c r="DG337" s="2" t="s">
        <v>94</v>
      </c>
      <c r="DH337" s="2" t="str">
        <f>HYPERLINK("https://vectorbase.org/vectorbase/app/record/gene/AGAP007325","AGAP007325-RB")</f>
        <v>AGAP007325-RB</v>
      </c>
      <c r="DI337" s="2" t="s">
        <v>118</v>
      </c>
      <c r="DJ337" s="2">
        <v>1080</v>
      </c>
      <c r="DK337" s="2" t="str">
        <f>HYPERLINK(".\links\netoglyc\AGAP007325-PB-netoglyc.txt","1")</f>
        <v>1</v>
      </c>
      <c r="DL337" s="2">
        <v>15.3</v>
      </c>
      <c r="DM337" s="2">
        <v>7.3</v>
      </c>
      <c r="DN337" s="2">
        <v>3.2</v>
      </c>
      <c r="DO337" s="2" t="s">
        <v>104</v>
      </c>
      <c r="DP337" s="2" t="s">
        <v>3675</v>
      </c>
      <c r="DQ337" s="2" t="str">
        <f>HYPERLINK(".\links\Sigp\AGAP007325-PB-SigP.txt","CYT")</f>
        <v>CYT</v>
      </c>
      <c r="DR337" s="2" t="s">
        <v>102</v>
      </c>
      <c r="DS337" s="2">
        <v>14.667</v>
      </c>
      <c r="DT337" s="2">
        <v>11.15</v>
      </c>
      <c r="DU337" s="2" t="s">
        <v>102</v>
      </c>
      <c r="DV337" s="2" t="s">
        <v>102</v>
      </c>
      <c r="DW337" s="2" t="s">
        <v>291</v>
      </c>
      <c r="DX337" s="2">
        <v>124</v>
      </c>
      <c r="DY337" s="12">
        <v>0</v>
      </c>
      <c r="DZ337" s="2" t="s">
        <v>102</v>
      </c>
      <c r="EA337" s="2" t="s">
        <v>102</v>
      </c>
      <c r="EB337" s="2" t="s">
        <v>102</v>
      </c>
      <c r="EC337" s="2" t="str">
        <f>HYPERLINK(".\links\gpi\AGAP007325-PB-gpi.txt","Y-NoSP")</f>
        <v>Y-NoSP</v>
      </c>
      <c r="ED337" s="2">
        <v>0.55000000000000004</v>
      </c>
      <c r="EE337" s="2" t="s">
        <v>3676</v>
      </c>
      <c r="EF337" s="2">
        <v>3</v>
      </c>
      <c r="EG337" s="2" t="s">
        <v>102</v>
      </c>
      <c r="EH337" s="2" t="s">
        <v>102</v>
      </c>
      <c r="EI337" s="2">
        <v>15.322580645161301</v>
      </c>
      <c r="EJ337" s="2">
        <v>3.2258064516128999</v>
      </c>
      <c r="EK337" s="2">
        <v>7.2580645161290303</v>
      </c>
      <c r="EL337" s="2">
        <v>10.4838709677419</v>
      </c>
      <c r="EM337" s="2">
        <v>1</v>
      </c>
      <c r="EN337" s="2" t="s">
        <v>102</v>
      </c>
      <c r="EO337" s="2">
        <v>1</v>
      </c>
      <c r="EP337" s="2" t="s">
        <v>102</v>
      </c>
      <c r="EQ337" s="2" t="s">
        <v>102</v>
      </c>
      <c r="ER337" s="2" t="s">
        <v>102</v>
      </c>
      <c r="ES337" s="2" t="s">
        <v>102</v>
      </c>
      <c r="ET337" s="2" t="str">
        <f>HYPERLINK(".\links\REFSEQ-INVERTEBRATE\AGAP007325-PB-REFSEQ-INVERTEBRATE.txt","AGAP007325-PB")</f>
        <v>AGAP007325-PB</v>
      </c>
      <c r="EU337" s="2" t="str">
        <f>HYPERLINK("http://www.ncbi.nlm.nih.gov/sutils/blink.cgi?pid=XP_001687957.1","6E-83")</f>
        <v>6E-83</v>
      </c>
      <c r="EV337" s="2" t="str">
        <f>HYPERLINK("http://www.ncbi.nlm.nih.gov/protein/XP_001687957.1","XP_001687957.1")</f>
        <v>XP_001687957.1</v>
      </c>
      <c r="EW337" s="2">
        <v>100</v>
      </c>
      <c r="EX337" s="2">
        <v>100</v>
      </c>
      <c r="EY337" s="2">
        <v>100</v>
      </c>
      <c r="EZ337" s="2" t="s">
        <v>105</v>
      </c>
    </row>
    <row r="338" spans="1:156" x14ac:dyDescent="0.25">
      <c r="A338" s="2" t="s">
        <v>3677</v>
      </c>
      <c r="B338" s="2">
        <v>-0.25999726553517499</v>
      </c>
      <c r="C338" s="2">
        <f t="shared" si="5"/>
        <v>0.83508950224430811</v>
      </c>
      <c r="D338" s="2">
        <v>6.8530393283520299</v>
      </c>
      <c r="E338" s="2">
        <v>11.6374721258452</v>
      </c>
      <c r="F338" s="2">
        <v>6.4636382342460102E-4</v>
      </c>
      <c r="G338" s="2">
        <v>2.79382257888133E-2</v>
      </c>
      <c r="H338" s="2" t="s">
        <v>3678</v>
      </c>
      <c r="I338" s="2" t="s">
        <v>94</v>
      </c>
      <c r="J338" s="2" t="str">
        <f>HYPERLINK("https://vectorbase.org/vectorbase/app/record/gene/AGAP004090","AGAP004090-RA")</f>
        <v>AGAP004090-RA</v>
      </c>
      <c r="K338" s="2" t="str">
        <f>HYPERLINK(".\links\pep\AGAP004090-PA-pep.txt","AGAP004090-PA")</f>
        <v>AGAP004090-PA</v>
      </c>
      <c r="L338" s="12" t="s">
        <v>95</v>
      </c>
      <c r="M338" s="2">
        <v>1042</v>
      </c>
      <c r="N338" s="2">
        <v>0</v>
      </c>
      <c r="O338" s="2">
        <v>6</v>
      </c>
      <c r="P338" s="2" t="s">
        <v>3679</v>
      </c>
      <c r="Q338" s="9" t="s">
        <v>3680</v>
      </c>
      <c r="R338" s="2" t="s">
        <v>388</v>
      </c>
      <c r="S338" s="2" t="str">
        <f>HYPERLINK(".\links\KOG\AGAP004090-PA-KOG.txt","KOG")</f>
        <v>KOG</v>
      </c>
      <c r="T338" s="2">
        <v>0</v>
      </c>
      <c r="U338" s="2">
        <v>50</v>
      </c>
      <c r="V338" s="2" t="s">
        <v>3681</v>
      </c>
      <c r="W338" s="10" t="s">
        <v>3682</v>
      </c>
      <c r="X338" s="2" t="s">
        <v>1221</v>
      </c>
      <c r="Y338" s="2" t="str">
        <f>HYPERLINK(".\links\COG\AGAP004090-PA-COG.txt","COG")</f>
        <v>COG</v>
      </c>
      <c r="Z338" s="15">
        <v>0</v>
      </c>
      <c r="AA338" s="2">
        <v>45.9</v>
      </c>
      <c r="AB338" s="13" t="str">
        <f>HYPERLINK(".\links\pep\AGAP004090-PA-sulf.txt","2")</f>
        <v>2</v>
      </c>
      <c r="AC338" s="13" t="str">
        <f>HYPERLINK(".\links\Sigp\AGAP004090-PA-SigP.txt","CYT")</f>
        <v>CYT</v>
      </c>
      <c r="AD338" s="2" t="s">
        <v>102</v>
      </c>
      <c r="AE338" s="2">
        <v>117.196</v>
      </c>
      <c r="AF338" s="2">
        <v>7.29</v>
      </c>
      <c r="AG338" s="2" t="s">
        <v>102</v>
      </c>
      <c r="AH338" s="2" t="s">
        <v>102</v>
      </c>
      <c r="AI338" s="2" t="s">
        <v>211</v>
      </c>
      <c r="AJ338" s="13">
        <v>0</v>
      </c>
      <c r="AK338" s="2" t="s">
        <v>102</v>
      </c>
      <c r="AL338" s="2" t="s">
        <v>102</v>
      </c>
      <c r="AM338" s="2" t="s">
        <v>102</v>
      </c>
      <c r="AN338" s="13" t="str">
        <f>HYPERLINK(".\links\gpi\AGAP004090-PA-gpi.txt","N")</f>
        <v>N</v>
      </c>
      <c r="AO338" s="14" t="str">
        <f>HYPERLINK(".\links\netoglyc\AGAP004090-PA-netoglyc.txt","4")</f>
        <v>4</v>
      </c>
      <c r="AP338" s="13">
        <v>8.1</v>
      </c>
      <c r="AQ338" s="2">
        <v>10.6</v>
      </c>
      <c r="AR338" s="2">
        <v>6.5</v>
      </c>
      <c r="AS338" s="2">
        <v>0.9</v>
      </c>
      <c r="AT338" s="9" t="str">
        <f>HYPERLINK(".\links\NR-LIGHT\AGAP004090-PA-NR-LIGHT.txt","AGAP004090-PA")</f>
        <v>AGAP004090-PA</v>
      </c>
      <c r="AU338" s="2" t="str">
        <f>HYPERLINK("http://www.ncbi.nlm.nih.gov/sutils/blink.cgi?pid=XP_309641.5","0.0")</f>
        <v>0.0</v>
      </c>
      <c r="AV338" s="2" t="str">
        <f>HYPERLINK("http://www.ncbi.nlm.nih.gov/protein/XP_309641.5","XP_309641.5")</f>
        <v>XP_309641.5</v>
      </c>
      <c r="AW338" s="2">
        <v>100</v>
      </c>
      <c r="AX338" s="2">
        <v>100</v>
      </c>
      <c r="AY338" s="2">
        <v>100</v>
      </c>
      <c r="AZ338" s="2" t="s">
        <v>105</v>
      </c>
      <c r="BA338" s="9" t="str">
        <f>HYPERLINK(".\links\REFSEQ-INVERTEBRATE\AGAP004090-PA-REFSEQ-INVERTEBRATE.txt","AGAP004090-PA")</f>
        <v>AGAP004090-PA</v>
      </c>
      <c r="BB338" s="2" t="str">
        <f>HYPERLINK("http://www.ncbi.nlm.nih.gov/sutils/blink.cgi?pid=XP_309641.5","0.0")</f>
        <v>0.0</v>
      </c>
      <c r="BC338" s="2" t="str">
        <f>HYPERLINK("http://www.ncbi.nlm.nih.gov/protein/XP_309641.5","XP_309641.5")</f>
        <v>XP_309641.5</v>
      </c>
      <c r="BD338" s="2">
        <v>100</v>
      </c>
      <c r="BE338" s="2">
        <v>100</v>
      </c>
      <c r="BF338" s="2">
        <v>100</v>
      </c>
      <c r="BG338" s="2" t="s">
        <v>105</v>
      </c>
      <c r="BH338" s="9" t="str">
        <f>HYPERLINK(".\links\REFSEQ-PROTOZOA\AGAP004090-PA-REFSEQ-PROTOZOA.txt","hypothetical protein SARC_00941")</f>
        <v>hypothetical protein SARC_00941</v>
      </c>
      <c r="BI338" s="2" t="str">
        <f>HYPERLINK("http://www.ncbi.nlm.nih.gov/sutils/blink.cgi?pid=XP_014160841.1","0.0")</f>
        <v>0.0</v>
      </c>
      <c r="BJ338" s="2" t="str">
        <f>HYPERLINK("http://www.ncbi.nlm.nih.gov/protein/XP_014160841.1","XP_014160841.1")</f>
        <v>XP_014160841.1</v>
      </c>
      <c r="BK338" s="2">
        <v>40</v>
      </c>
      <c r="BL338" s="2">
        <v>54</v>
      </c>
      <c r="BM338" s="2">
        <v>104</v>
      </c>
      <c r="BN338" s="2" t="s">
        <v>393</v>
      </c>
      <c r="BO338" s="9" t="str">
        <f>HYPERLINK(".\links\SWISSP\AGAP004090-PA-SWISSP.txt","5'-3' exoribonuclease 2 homolog")</f>
        <v>5'-3' exoribonuclease 2 homolog</v>
      </c>
      <c r="BP338" s="2" t="str">
        <f>HYPERLINK("http://www.uniprot.org/uniprot/Q9VM71","0.0")</f>
        <v>0.0</v>
      </c>
      <c r="BQ338" s="2" t="str">
        <f>HYPERLINK("http://www.uniprot.org/uniprot/Q9VM71#expression","Q9VM71")</f>
        <v>Q9VM71</v>
      </c>
      <c r="BR338" s="2">
        <v>57</v>
      </c>
      <c r="BS338" s="2">
        <v>67</v>
      </c>
      <c r="BT338" s="2">
        <v>109</v>
      </c>
      <c r="BU338" s="2" t="s">
        <v>107</v>
      </c>
      <c r="BV338" s="9" t="str">
        <f>HYPERLINK(".\links\FLYBASE\AGAP004090-PA-FLYBASE.txt","FBpp0304602")</f>
        <v>FBpp0304602</v>
      </c>
      <c r="BW338" s="2" t="str">
        <f>HYPERLINK("http://flybase.org/reports/FBgn0031868#alliance_summary_container","0.0")</f>
        <v>0.0</v>
      </c>
      <c r="BX338" s="2">
        <v>908</v>
      </c>
      <c r="BY338" s="2">
        <v>63</v>
      </c>
      <c r="BZ338" s="2">
        <v>74</v>
      </c>
      <c r="CA338" s="2">
        <v>91</v>
      </c>
      <c r="CB338" s="9" t="str">
        <f>HYPERLINK(".\links\CDD\AGAP004090-PA-CDD.txt","XRN1, 5'-3' exonuclease")</f>
        <v>XRN1, 5'-3' exonuclease</v>
      </c>
      <c r="CC338" s="15">
        <v>0</v>
      </c>
      <c r="CD338" s="2">
        <v>79.400000000000006</v>
      </c>
      <c r="CE338" s="2" t="s">
        <v>3683</v>
      </c>
      <c r="CF338" s="2" t="s">
        <v>3684</v>
      </c>
      <c r="CG338" s="9" t="str">
        <f>HYPERLINK(".\links\KOG\AGAP004090-PA-KOG.txt","5'-3' exonuclease HKE1/RAT1")</f>
        <v>5'-3' exonuclease HKE1/RAT1</v>
      </c>
      <c r="CH338" s="15">
        <v>0</v>
      </c>
      <c r="CI338" s="2">
        <v>109.6</v>
      </c>
      <c r="CJ338" s="2" t="s">
        <v>234</v>
      </c>
      <c r="CK338" s="2" t="s">
        <v>235</v>
      </c>
      <c r="CL338" s="9" t="str">
        <f>HYPERLINK(".\links\PFAM\AGAP004090-PA-PFAM.txt","XRN_N, XRN 5'-3' exonuclease N-terminus")</f>
        <v>XRN_N, XRN 5'-3' exonuclease N-terminus</v>
      </c>
      <c r="CM338" s="15">
        <v>1E-136</v>
      </c>
      <c r="CN338" s="2">
        <v>108.1</v>
      </c>
      <c r="CO338" s="2" t="s">
        <v>3685</v>
      </c>
      <c r="CP338" s="9" t="str">
        <f>HYPERLINK(".\links\SMART\AGAP004090-PA-SMART.txt","PRP, Major prion protein")</f>
        <v>PRP, Major prion protein</v>
      </c>
      <c r="CQ338" s="15">
        <v>1E-3</v>
      </c>
      <c r="CR338" s="2">
        <v>28.4</v>
      </c>
      <c r="CS338" s="2" t="s">
        <v>1331</v>
      </c>
      <c r="CT338" s="2" t="s">
        <v>3681</v>
      </c>
      <c r="CU338" s="2" t="s">
        <v>3681</v>
      </c>
      <c r="CV338" s="2" t="s">
        <v>3681</v>
      </c>
      <c r="CW338" s="2" t="str">
        <f>HYPERLINK(".\links\pep\AGAP004090-PA-pep.txt","AGAP004090-PA")</f>
        <v>AGAP004090-PA</v>
      </c>
      <c r="CX338" s="2" t="s">
        <v>95</v>
      </c>
      <c r="CY338" s="2">
        <v>1042</v>
      </c>
      <c r="CZ338" s="2" t="s">
        <v>113</v>
      </c>
      <c r="DA338" s="2" t="s">
        <v>3686</v>
      </c>
      <c r="DB338" s="2">
        <v>0</v>
      </c>
      <c r="DC338" s="2">
        <v>6</v>
      </c>
      <c r="DD338" s="2" t="str">
        <f>HYPERLINK("https://www.kegg.jp/kegg-bin/search_pathway_text?map=aga&amp;keyword=AGAP004090&amp;mode=1&amp;viewImage=true","AGAP004090")</f>
        <v>AGAP004090</v>
      </c>
      <c r="DE338" s="2" t="s">
        <v>3677</v>
      </c>
      <c r="DF338" s="2" t="s">
        <v>3678</v>
      </c>
      <c r="DG338" s="2" t="s">
        <v>94</v>
      </c>
      <c r="DH338" s="2" t="str">
        <f>HYPERLINK("https://vectorbase.org/vectorbase/app/record/gene/AGAP004090","AGAP004090-RA")</f>
        <v>AGAP004090-RA</v>
      </c>
      <c r="DI338" s="2" t="s">
        <v>90</v>
      </c>
      <c r="DJ338" s="2">
        <v>3789</v>
      </c>
      <c r="DK338" s="2" t="str">
        <f>HYPERLINK(".\links\netoglyc\AGAP004090-PA-netoglyc.txt","4")</f>
        <v>4</v>
      </c>
      <c r="DL338" s="2">
        <v>8.1</v>
      </c>
      <c r="DM338" s="2">
        <v>10.6</v>
      </c>
      <c r="DN338" s="2">
        <v>6.5</v>
      </c>
      <c r="DO338" s="2">
        <v>0.9</v>
      </c>
      <c r="DP338" s="2" t="s">
        <v>3687</v>
      </c>
      <c r="DQ338" s="2" t="str">
        <f>HYPERLINK(".\links\Sigp\AGAP004090-PA-SigP.txt","CYT")</f>
        <v>CYT</v>
      </c>
      <c r="DR338" s="2" t="s">
        <v>102</v>
      </c>
      <c r="DS338" s="2">
        <v>117.196</v>
      </c>
      <c r="DT338" s="2">
        <v>7.29</v>
      </c>
      <c r="DU338" s="2" t="s">
        <v>102</v>
      </c>
      <c r="DV338" s="2" t="s">
        <v>102</v>
      </c>
      <c r="DW338" s="2" t="s">
        <v>211</v>
      </c>
      <c r="DX338" s="2">
        <v>1042</v>
      </c>
      <c r="DY338" s="12">
        <v>0</v>
      </c>
      <c r="DZ338" s="2" t="s">
        <v>102</v>
      </c>
      <c r="EA338" s="2" t="s">
        <v>102</v>
      </c>
      <c r="EB338" s="2" t="s">
        <v>102</v>
      </c>
      <c r="EC338" s="2" t="str">
        <f>HYPERLINK(".\links\gpi\AGAP004090-PA-gpi.txt","Y-NoSP")</f>
        <v>Y-NoSP</v>
      </c>
      <c r="ED338" s="2">
        <v>0.3</v>
      </c>
      <c r="EF338" s="2">
        <v>13</v>
      </c>
      <c r="EG338" s="2" t="str">
        <f>HYPERLINK(".\links\pep\AGAP004090-PA-sulf.txt","2")</f>
        <v>2</v>
      </c>
      <c r="EH338" s="2" t="s">
        <v>102</v>
      </c>
      <c r="EI338" s="2">
        <v>8.0614203454894398</v>
      </c>
      <c r="EJ338" s="2">
        <v>6.5259117082533598</v>
      </c>
      <c r="EK338" s="2">
        <v>10.556621880998099</v>
      </c>
      <c r="EL338" s="2">
        <v>17.082533589251401</v>
      </c>
      <c r="EM338" s="2">
        <v>1</v>
      </c>
      <c r="EN338" s="2">
        <v>2</v>
      </c>
      <c r="EO338" s="2">
        <v>8</v>
      </c>
      <c r="EP338" s="2" t="s">
        <v>102</v>
      </c>
      <c r="EQ338" s="2" t="s">
        <v>102</v>
      </c>
      <c r="ER338" s="2" t="s">
        <v>102</v>
      </c>
      <c r="ES338" s="2" t="s">
        <v>102</v>
      </c>
      <c r="ET338" s="2" t="str">
        <f>HYPERLINK(".\links\REFSEQ-INVERTEBRATE\AGAP004090-PA-REFSEQ-INVERTEBRATE.txt","AGAP004090-PA")</f>
        <v>AGAP004090-PA</v>
      </c>
      <c r="EU338" s="2" t="str">
        <f>HYPERLINK("http://www.ncbi.nlm.nih.gov/sutils/blink.cgi?pid=XP_309641.5","0.0")</f>
        <v>0.0</v>
      </c>
      <c r="EV338" s="2" t="str">
        <f>HYPERLINK("http://www.ncbi.nlm.nih.gov/protein/XP_309641.5","XP_309641.5")</f>
        <v>XP_309641.5</v>
      </c>
      <c r="EW338" s="2">
        <v>100</v>
      </c>
      <c r="EX338" s="2">
        <v>100</v>
      </c>
      <c r="EY338" s="2">
        <v>100</v>
      </c>
      <c r="EZ338" s="2" t="s">
        <v>105</v>
      </c>
    </row>
    <row r="339" spans="1:156" x14ac:dyDescent="0.25">
      <c r="A339" s="2" t="s">
        <v>3688</v>
      </c>
      <c r="B339" s="2">
        <v>-0.26186941217106102</v>
      </c>
      <c r="C339" s="2">
        <f t="shared" si="5"/>
        <v>0.83400653183195395</v>
      </c>
      <c r="D339" s="2">
        <v>6.7171697187637696</v>
      </c>
      <c r="E339" s="2">
        <v>9.8340669171552992</v>
      </c>
      <c r="F339" s="2">
        <v>1.7130916067392701E-3</v>
      </c>
      <c r="G339" s="2">
        <v>4.0610247033373299E-2</v>
      </c>
      <c r="H339" s="2" t="s">
        <v>93</v>
      </c>
      <c r="I339" s="2" t="s">
        <v>94</v>
      </c>
      <c r="J339" s="2" t="str">
        <f>HYPERLINK("https://vectorbase.org/vectorbase/app/record/gene/AGAP029752","AGAP029752-RA")</f>
        <v>AGAP029752-RA</v>
      </c>
      <c r="K339" s="2" t="str">
        <f>HYPERLINK(".\links\pep\AGAP029752-PA-pep.txt","AGAP029752-PA")</f>
        <v>AGAP029752-PA</v>
      </c>
      <c r="L339" s="12" t="s">
        <v>95</v>
      </c>
      <c r="M339" s="2">
        <v>923</v>
      </c>
      <c r="N339" s="2">
        <v>0.75839650000000003</v>
      </c>
      <c r="O339" s="2">
        <v>2</v>
      </c>
      <c r="P339" s="2" t="s">
        <v>102</v>
      </c>
      <c r="Q339" s="9" t="s">
        <v>3689</v>
      </c>
      <c r="R339" s="2" t="s">
        <v>672</v>
      </c>
      <c r="S339" s="2" t="str">
        <f>HYPERLINK(".\links\KOG\AGAP029752-PA-KOG.txt","KOG")</f>
        <v>KOG</v>
      </c>
      <c r="T339" s="2">
        <v>2.0000000000000001E-37</v>
      </c>
      <c r="U339" s="2">
        <v>42.6</v>
      </c>
      <c r="V339" s="2" t="s">
        <v>3690</v>
      </c>
      <c r="W339" s="10" t="s">
        <v>3691</v>
      </c>
      <c r="X339" s="2" t="s">
        <v>1221</v>
      </c>
      <c r="Y339" s="2" t="str">
        <f>HYPERLINK(".\links\UNIPROTKB\AGAP029752-PA-UNIPROTKB.txt","UNIPROTKB")</f>
        <v>UNIPROTKB</v>
      </c>
      <c r="Z339" s="15">
        <v>1E-52</v>
      </c>
      <c r="AA339" s="2">
        <v>35.200000000000003</v>
      </c>
      <c r="AB339" s="13" t="s">
        <v>102</v>
      </c>
      <c r="AC339" s="13" t="str">
        <f>HYPERLINK(".\links\Sigp\AGAP029752-PA-SigP.txt","CYT")</f>
        <v>CYT</v>
      </c>
      <c r="AD339" s="2" t="s">
        <v>102</v>
      </c>
      <c r="AE339" s="2">
        <v>101.879</v>
      </c>
      <c r="AF339" s="2">
        <v>10.25</v>
      </c>
      <c r="AG339" s="2" t="s">
        <v>102</v>
      </c>
      <c r="AH339" s="2" t="s">
        <v>102</v>
      </c>
      <c r="AI339" s="2" t="s">
        <v>211</v>
      </c>
      <c r="AJ339" s="13">
        <v>0</v>
      </c>
      <c r="AK339" s="2" t="s">
        <v>102</v>
      </c>
      <c r="AL339" s="2" t="s">
        <v>102</v>
      </c>
      <c r="AM339" s="2" t="s">
        <v>102</v>
      </c>
      <c r="AN339" s="9" t="str">
        <f>HYPERLINK(".\links\gpi\AGAP029752-PA-gpi.txt","N")</f>
        <v>N</v>
      </c>
      <c r="AO339" s="14" t="str">
        <f>HYPERLINK(".\links\netoglyc\AGAP029752-PA-netoglyc.txt","1")</f>
        <v>1</v>
      </c>
      <c r="AP339" s="13">
        <v>6.2</v>
      </c>
      <c r="AQ339" s="2">
        <v>9.1999999999999993</v>
      </c>
      <c r="AR339" s="2">
        <v>8.1</v>
      </c>
      <c r="AS339" s="2" t="s">
        <v>104</v>
      </c>
      <c r="AT339" s="9" t="str">
        <f>HYPERLINK(".\links\NR-LIGHT\AGAP029752-PA-NR-LIGHT.txt","AGAP011537-PA, partial")</f>
        <v>AGAP011537-PA, partial</v>
      </c>
      <c r="AU339" s="2" t="str">
        <f>HYPERLINK("http://www.ncbi.nlm.nih.gov/sutils/blink.cgi?pid=XP_559969.3","0.0")</f>
        <v>0.0</v>
      </c>
      <c r="AV339" s="2" t="str">
        <f>HYPERLINK("http://www.ncbi.nlm.nih.gov/protein/XP_559969.3","XP_559969.3")</f>
        <v>XP_559969.3</v>
      </c>
      <c r="AW339" s="2">
        <v>98</v>
      </c>
      <c r="AX339" s="2">
        <v>99</v>
      </c>
      <c r="AY339" s="2">
        <v>45</v>
      </c>
      <c r="AZ339" s="2" t="s">
        <v>105</v>
      </c>
      <c r="BA339" s="9" t="str">
        <f>HYPERLINK(".\links\REFSEQ-INVERTEBRATE\AGAP029752-PA-REFSEQ-INVERTEBRATE.txt","AGAP011537-PA, partial")</f>
        <v>AGAP011537-PA, partial</v>
      </c>
      <c r="BB339" s="2" t="str">
        <f>HYPERLINK("http://www.ncbi.nlm.nih.gov/sutils/blink.cgi?pid=XP_559969.3","0.0")</f>
        <v>0.0</v>
      </c>
      <c r="BC339" s="2" t="str">
        <f>HYPERLINK("http://www.ncbi.nlm.nih.gov/protein/XP_559969.3","XP_559969.3")</f>
        <v>XP_559969.3</v>
      </c>
      <c r="BD339" s="2">
        <v>98</v>
      </c>
      <c r="BE339" s="2">
        <v>99</v>
      </c>
      <c r="BF339" s="2">
        <v>45</v>
      </c>
      <c r="BG339" s="2" t="s">
        <v>105</v>
      </c>
      <c r="BH339" s="9" t="str">
        <f>HYPERLINK(".\links\REFSEQ-PROTOZOA\AGAP029752-PA-REFSEQ-PROTOZOA.txt","hypothetical protein, conserved")</f>
        <v>hypothetical protein, conserved</v>
      </c>
      <c r="BI339" s="2" t="str">
        <f>HYPERLINK("http://www.ncbi.nlm.nih.gov/sutils/blink.cgi?pid=XP_013334310.1","4E-055")</f>
        <v>4E-055</v>
      </c>
      <c r="BJ339" s="2" t="str">
        <f>HYPERLINK("http://www.ncbi.nlm.nih.gov/protein/XP_013334310.1","XP_013334310.1")</f>
        <v>XP_013334310.1</v>
      </c>
      <c r="BK339" s="2">
        <v>67</v>
      </c>
      <c r="BL339" s="2">
        <v>76</v>
      </c>
      <c r="BM339" s="2">
        <v>9</v>
      </c>
      <c r="BN339" s="2" t="s">
        <v>3692</v>
      </c>
      <c r="BO339" s="9" t="str">
        <f>HYPERLINK(".\links\SWISSP\AGAP029752-PA-SWISSP.txt","Protein argonaute-2")</f>
        <v>Protein argonaute-2</v>
      </c>
      <c r="BP339" s="2" t="str">
        <f>HYPERLINK("http://www.uniprot.org/uniprot/Q9VUQ5","2E-077")</f>
        <v>2E-077</v>
      </c>
      <c r="BQ339" s="2" t="str">
        <f>HYPERLINK("http://www.uniprot.org/uniprot/Q9VUQ5#expression","Q9VUQ5")</f>
        <v>Q9VUQ5</v>
      </c>
      <c r="BR339" s="2">
        <v>36</v>
      </c>
      <c r="BS339" s="2">
        <v>52</v>
      </c>
      <c r="BT339" s="2">
        <v>49</v>
      </c>
      <c r="BU339" s="2" t="s">
        <v>107</v>
      </c>
      <c r="BV339" s="9" t="str">
        <f>HYPERLINK(".\links\FLYBASE\AGAP029752-PA-FLYBASE.txt","FBpp0304266")</f>
        <v>FBpp0304266</v>
      </c>
      <c r="BW339" s="2" t="str">
        <f>HYPERLINK("http://flybase.org/reports/FBgn0087035#alliance_summary_container","4E-56")</f>
        <v>4E-56</v>
      </c>
      <c r="BX339" s="2">
        <v>787</v>
      </c>
      <c r="BY339" s="2">
        <v>40</v>
      </c>
      <c r="BZ339" s="2">
        <v>62</v>
      </c>
      <c r="CA339" s="2">
        <v>38</v>
      </c>
      <c r="CB339" s="9" t="str">
        <f>HYPERLINK(".\links\CDD\AGAP029752-PA-CDD.txt","PAZ_argonaute_like, PAZ domain, argonaute_like subfamily")</f>
        <v>PAZ_argonaute_like, PAZ domain, argonaute_like subfamily</v>
      </c>
      <c r="CC339" s="15">
        <v>4.0000000000000002E-25</v>
      </c>
      <c r="CD339" s="2">
        <v>99.1</v>
      </c>
      <c r="CE339" s="2" t="s">
        <v>3693</v>
      </c>
      <c r="CF339" s="2" t="s">
        <v>3694</v>
      </c>
      <c r="CG339" s="9" t="str">
        <f>HYPERLINK(".\links\KOG\AGAP029752-PA-KOG.txt","Translation initiation factor 2C (eIF-2C) and related proteins")</f>
        <v>Translation initiation factor 2C (eIF-2C) and related proteins</v>
      </c>
      <c r="CH339" s="15">
        <v>2.0000000000000001E-37</v>
      </c>
      <c r="CI339" s="2">
        <v>42.7</v>
      </c>
      <c r="CJ339" s="2" t="s">
        <v>3587</v>
      </c>
      <c r="CK339" s="2" t="s">
        <v>678</v>
      </c>
      <c r="CL339" s="9" t="str">
        <f>HYPERLINK(".\links\PFAM\AGAP029752-PA-PFAM.txt","PAT1, Topoisomerase II-associated protein PAT1")</f>
        <v>PAT1, Topoisomerase II-associated protein PAT1</v>
      </c>
      <c r="CM339" s="15">
        <v>1.9999999999999998E-24</v>
      </c>
      <c r="CN339" s="2">
        <v>22.9</v>
      </c>
      <c r="CO339" s="2" t="s">
        <v>3695</v>
      </c>
      <c r="CP339" s="9" t="str">
        <f>HYPERLINK(".\links\SMART\AGAP029752-PA-SMART.txt","PAZ, This domain is named PAZ after the proteins Piwi Argonaut and Zwille")</f>
        <v>PAZ, This domain is named PAZ after the proteins Piwi Argonaut and Zwille</v>
      </c>
      <c r="CQ339" s="15">
        <v>4.0000000000000002E-9</v>
      </c>
      <c r="CR339" s="2">
        <v>86.2</v>
      </c>
      <c r="CS339" s="2" t="s">
        <v>3696</v>
      </c>
      <c r="CT339" s="2" t="s">
        <v>3690</v>
      </c>
      <c r="CU339" s="2" t="s">
        <v>3690</v>
      </c>
      <c r="CV339" s="2" t="s">
        <v>3690</v>
      </c>
      <c r="CW339" s="2" t="str">
        <f>HYPERLINK(".\links\pep\AGAP029752-PA-pep.txt","AGAP029752-PA")</f>
        <v>AGAP029752-PA</v>
      </c>
      <c r="CX339" s="2" t="s">
        <v>95</v>
      </c>
      <c r="CY339" s="2">
        <v>923</v>
      </c>
      <c r="CZ339" s="2" t="s">
        <v>113</v>
      </c>
      <c r="DA339" s="2" t="s">
        <v>3697</v>
      </c>
      <c r="DB339" s="2">
        <v>0.75839650000000003</v>
      </c>
      <c r="DC339" s="2">
        <v>2</v>
      </c>
      <c r="DD339" s="2" t="str">
        <f>HYPERLINK("https://www.kegg.jp/kegg-bin/search_pathway_text?map=aga&amp;keyword=AGAP029752&amp;mode=1&amp;viewImage=true","AGAP029752")</f>
        <v>AGAP029752</v>
      </c>
      <c r="DE339" s="2" t="s">
        <v>3688</v>
      </c>
      <c r="DF339" s="2" t="s">
        <v>93</v>
      </c>
      <c r="DG339" s="2" t="s">
        <v>94</v>
      </c>
      <c r="DH339" s="2" t="str">
        <f>HYPERLINK("https://vectorbase.org/vectorbase/app/record/gene/AGAP029752","AGAP029752-RA")</f>
        <v>AGAP029752-RA</v>
      </c>
      <c r="DI339" s="2" t="s">
        <v>135</v>
      </c>
      <c r="DJ339" s="2">
        <v>3509</v>
      </c>
      <c r="DK339" s="2" t="str">
        <f>HYPERLINK(".\links\netoglyc\AGAP029752-PA-netoglyc.txt","1")</f>
        <v>1</v>
      </c>
      <c r="DL339" s="2">
        <v>6.2</v>
      </c>
      <c r="DM339" s="2">
        <v>9.1999999999999993</v>
      </c>
      <c r="DN339" s="2">
        <v>8.1</v>
      </c>
      <c r="DO339" s="2" t="s">
        <v>104</v>
      </c>
      <c r="DP339" s="2" t="s">
        <v>3698</v>
      </c>
      <c r="DQ339" s="2" t="str">
        <f>HYPERLINK(".\links\Sigp\AGAP029752-PA-SigP.txt","CYT")</f>
        <v>CYT</v>
      </c>
      <c r="DR339" s="2" t="s">
        <v>102</v>
      </c>
      <c r="DS339" s="2">
        <v>101.879</v>
      </c>
      <c r="DT339" s="2">
        <v>10.25</v>
      </c>
      <c r="DU339" s="2" t="s">
        <v>102</v>
      </c>
      <c r="DV339" s="2" t="s">
        <v>102</v>
      </c>
      <c r="DW339" s="2" t="s">
        <v>211</v>
      </c>
      <c r="DX339" s="2">
        <v>923</v>
      </c>
      <c r="DY339" s="12">
        <v>0</v>
      </c>
      <c r="DZ339" s="2" t="s">
        <v>102</v>
      </c>
      <c r="EA339" s="2" t="s">
        <v>102</v>
      </c>
      <c r="EB339" s="2" t="s">
        <v>102</v>
      </c>
      <c r="EC339" s="2" t="str">
        <f>HYPERLINK(".\links\gpi\AGAP029752-PA-gpi.txt","Y-NoSP")</f>
        <v>Y-NoSP</v>
      </c>
      <c r="ED339" s="2">
        <v>0.51</v>
      </c>
      <c r="EE339" s="2" t="s">
        <v>3699</v>
      </c>
      <c r="EF339" s="2">
        <v>10</v>
      </c>
      <c r="EG339" s="2" t="s">
        <v>102</v>
      </c>
      <c r="EH339" s="2" t="s">
        <v>102</v>
      </c>
      <c r="EI339" s="2">
        <v>6.1755146262188498</v>
      </c>
      <c r="EJ339" s="2">
        <v>8.1256771397616507</v>
      </c>
      <c r="EK339" s="2">
        <v>9.2091007583965308</v>
      </c>
      <c r="EL339" s="2">
        <v>17.334777898158201</v>
      </c>
      <c r="EM339" s="2">
        <v>2</v>
      </c>
      <c r="EN339" s="2">
        <v>2</v>
      </c>
      <c r="EO339" s="2">
        <v>11</v>
      </c>
      <c r="EP339" s="2" t="s">
        <v>102</v>
      </c>
      <c r="EQ339" s="2" t="s">
        <v>102</v>
      </c>
      <c r="ER339" s="2" t="s">
        <v>102</v>
      </c>
      <c r="ES339" s="2" t="s">
        <v>102</v>
      </c>
      <c r="ET339" s="2" t="str">
        <f>HYPERLINK(".\links\REFSEQ-INVERTEBRATE\AGAP029752-PA-REFSEQ-INVERTEBRATE.txt","AGAP011537-PA, partial")</f>
        <v>AGAP011537-PA, partial</v>
      </c>
      <c r="EU339" s="2" t="str">
        <f>HYPERLINK("http://www.ncbi.nlm.nih.gov/sutils/blink.cgi?pid=XP_559969.3","0.0")</f>
        <v>0.0</v>
      </c>
      <c r="EV339" s="2" t="str">
        <f>HYPERLINK("http://www.ncbi.nlm.nih.gov/protein/XP_559969.3","XP_559969.3")</f>
        <v>XP_559969.3</v>
      </c>
      <c r="EW339" s="2">
        <v>98</v>
      </c>
      <c r="EX339" s="2">
        <v>99</v>
      </c>
      <c r="EY339" s="2">
        <v>45</v>
      </c>
      <c r="EZ339" s="2" t="s">
        <v>105</v>
      </c>
    </row>
    <row r="340" spans="1:156" x14ac:dyDescent="0.25">
      <c r="A340" s="2" t="s">
        <v>3700</v>
      </c>
      <c r="B340" s="2">
        <v>-0.26438090165341599</v>
      </c>
      <c r="C340" s="2">
        <f t="shared" si="5"/>
        <v>0.83255592968869274</v>
      </c>
      <c r="D340" s="2">
        <v>7.3649248372809204</v>
      </c>
      <c r="E340" s="2">
        <v>9.4975536103063405</v>
      </c>
      <c r="F340" s="2">
        <v>2.0574603528540499E-3</v>
      </c>
      <c r="G340" s="2">
        <v>4.4170089227744E-2</v>
      </c>
      <c r="H340" s="2" t="s">
        <v>3701</v>
      </c>
      <c r="I340" s="2" t="s">
        <v>94</v>
      </c>
      <c r="J340" s="2" t="str">
        <f>HYPERLINK("https://vectorbase.org/vectorbase/app/record/gene/AGAP000328","AGAP000328-RA")</f>
        <v>AGAP000328-RA</v>
      </c>
      <c r="K340" s="2" t="str">
        <f>HYPERLINK(".\links\pep\AGAP000328-PA-pep.txt","AGAP000328-PA")</f>
        <v>AGAP000328-PA</v>
      </c>
      <c r="L340" s="12" t="s">
        <v>95</v>
      </c>
      <c r="M340" s="2">
        <v>317</v>
      </c>
      <c r="N340" s="2">
        <v>0</v>
      </c>
      <c r="O340" s="2">
        <v>1</v>
      </c>
      <c r="P340" s="2" t="s">
        <v>3702</v>
      </c>
      <c r="Q340" s="9" t="s">
        <v>3703</v>
      </c>
      <c r="R340" s="2" t="s">
        <v>196</v>
      </c>
      <c r="S340" s="2" t="str">
        <f>HYPERLINK(".\links\REFSEQ-INVERTEBRATE\AGAP000328-PA-REFSEQ-INVERTEBRATE.txt","REFSEQ-INVERTEBRATE")</f>
        <v>REFSEQ-INVERTEBRATE</v>
      </c>
      <c r="T340" s="2">
        <v>0</v>
      </c>
      <c r="U340" s="2">
        <v>100</v>
      </c>
      <c r="V340" s="2" t="s">
        <v>3703</v>
      </c>
      <c r="W340" s="10" t="s">
        <v>3704</v>
      </c>
      <c r="X340" s="2" t="s">
        <v>196</v>
      </c>
      <c r="Y340" s="2" t="str">
        <f>HYPERLINK(".\links\FLYBASE\AGAP000328-PA-FLYBASE.txt","FLYBASE")</f>
        <v>FLYBASE</v>
      </c>
      <c r="Z340" s="2">
        <v>0</v>
      </c>
      <c r="AA340" s="2">
        <v>0.9</v>
      </c>
      <c r="AB340" s="13" t="str">
        <f>HYPERLINK(".\links\pep\AGAP000328-PA-sulf.txt","2")</f>
        <v>2</v>
      </c>
      <c r="AC340" s="13" t="str">
        <f>HYPERLINK(".\links\Sigp\AGAP000328-PA-SigP.txt","CYT")</f>
        <v>CYT</v>
      </c>
      <c r="AD340" s="2" t="s">
        <v>102</v>
      </c>
      <c r="AE340" s="2">
        <v>35.634999999999998</v>
      </c>
      <c r="AF340" s="2">
        <v>9</v>
      </c>
      <c r="AG340" s="2" t="s">
        <v>102</v>
      </c>
      <c r="AH340" s="2" t="s">
        <v>102</v>
      </c>
      <c r="AI340" s="2" t="s">
        <v>211</v>
      </c>
      <c r="AJ340" s="13">
        <v>0</v>
      </c>
      <c r="AK340" s="2" t="s">
        <v>102</v>
      </c>
      <c r="AL340" s="2" t="s">
        <v>102</v>
      </c>
      <c r="AM340" s="2" t="s">
        <v>102</v>
      </c>
      <c r="AN340" s="13" t="str">
        <f>HYPERLINK(".\links\gpi\AGAP000328-PA-gpi.txt","N")</f>
        <v>N</v>
      </c>
      <c r="AO340" s="14" t="str">
        <f>HYPERLINK(".\links\netoglyc\AGAP000328-PA-netoglyc.txt","0")</f>
        <v>0</v>
      </c>
      <c r="AP340" s="13">
        <v>18.600000000000001</v>
      </c>
      <c r="AQ340" s="2">
        <v>9.8000000000000007</v>
      </c>
      <c r="AR340" s="2">
        <v>2.8</v>
      </c>
      <c r="AS340" s="2">
        <v>0.9</v>
      </c>
      <c r="AT340" s="9" t="str">
        <f>HYPERLINK(".\links\NR-LIGHT\AGAP000328-PA-NR-LIGHT.txt","AGAP000328-PA")</f>
        <v>AGAP000328-PA</v>
      </c>
      <c r="AU340" s="2" t="str">
        <f>HYPERLINK("http://www.ncbi.nlm.nih.gov/sutils/blink.cgi?pid=XP_310788.4","0.0")</f>
        <v>0.0</v>
      </c>
      <c r="AV340" s="2" t="str">
        <f>HYPERLINK("http://www.ncbi.nlm.nih.gov/protein/XP_310788.4","XP_310788.4")</f>
        <v>XP_310788.4</v>
      </c>
      <c r="AW340" s="2">
        <v>100</v>
      </c>
      <c r="AX340" s="2">
        <v>100</v>
      </c>
      <c r="AY340" s="2">
        <v>100</v>
      </c>
      <c r="AZ340" s="2" t="s">
        <v>105</v>
      </c>
      <c r="BA340" s="9" t="str">
        <f>HYPERLINK(".\links\REFSEQ-INVERTEBRATE\AGAP000328-PA-REFSEQ-INVERTEBRATE.txt","AGAP000328-PA")</f>
        <v>AGAP000328-PA</v>
      </c>
      <c r="BB340" s="2" t="str">
        <f>HYPERLINK("http://www.ncbi.nlm.nih.gov/sutils/blink.cgi?pid=XP_310788.4","0.0")</f>
        <v>0.0</v>
      </c>
      <c r="BC340" s="2" t="str">
        <f>HYPERLINK("http://www.ncbi.nlm.nih.gov/protein/XP_310788.4","XP_310788.4")</f>
        <v>XP_310788.4</v>
      </c>
      <c r="BD340" s="2">
        <v>100</v>
      </c>
      <c r="BE340" s="2">
        <v>100</v>
      </c>
      <c r="BF340" s="2">
        <v>100</v>
      </c>
      <c r="BG340" s="2" t="s">
        <v>105</v>
      </c>
      <c r="BH340" s="9" t="str">
        <f>HYPERLINK(".\links\REFSEQ-PROTOZOA\AGAP000328-PA-REFSEQ-PROTOZOA.txt","hypothetical protein SARC_08791")</f>
        <v>hypothetical protein SARC_08791</v>
      </c>
      <c r="BI340" s="2" t="str">
        <f>HYPERLINK("http://www.ncbi.nlm.nih.gov/sutils/blink.cgi?pid=XP_014152691.1","2E-052")</f>
        <v>2E-052</v>
      </c>
      <c r="BJ340" s="2" t="str">
        <f>HYPERLINK("http://www.ncbi.nlm.nih.gov/protein/XP_014152691.1","XP_014152691.1")</f>
        <v>XP_014152691.1</v>
      </c>
      <c r="BK340" s="2">
        <v>51</v>
      </c>
      <c r="BL340" s="2">
        <v>68</v>
      </c>
      <c r="BM340" s="2">
        <v>89</v>
      </c>
      <c r="BN340" s="2" t="s">
        <v>393</v>
      </c>
      <c r="BO340" s="9" t="str">
        <f>HYPERLINK(".\links\SWISSP\AGAP000328-PA-SWISSP.txt","Uncharacterized protein CG5902")</f>
        <v>Uncharacterized protein CG5902</v>
      </c>
      <c r="BP340" s="2" t="str">
        <f>HYPERLINK("http://www.uniprot.org/uniprot/Q9VCF0","4E-085")</f>
        <v>4E-085</v>
      </c>
      <c r="BQ340" s="2" t="str">
        <f>HYPERLINK("http://www.uniprot.org/uniprot/Q9VCF0#expression","Q9VCF0")</f>
        <v>Q9VCF0</v>
      </c>
      <c r="BR340" s="2">
        <v>60</v>
      </c>
      <c r="BS340" s="2">
        <v>70</v>
      </c>
      <c r="BT340" s="2">
        <v>112</v>
      </c>
      <c r="BU340" s="2" t="s">
        <v>107</v>
      </c>
      <c r="BV340" s="9" t="str">
        <f>HYPERLINK(".\links\FLYBASE\AGAP000328-PA-FLYBASE.txt","FBpp0290388")</f>
        <v>FBpp0290388</v>
      </c>
      <c r="BW340" s="2" t="str">
        <f>HYPERLINK("http://flybase.org/reports/FBgn0039136#alliance_summary_container","1E-111")</f>
        <v>1E-111</v>
      </c>
      <c r="BX340" s="2">
        <v>243</v>
      </c>
      <c r="BY340" s="2">
        <v>70</v>
      </c>
      <c r="BZ340" s="2">
        <v>80</v>
      </c>
      <c r="CA340" s="2">
        <v>91</v>
      </c>
      <c r="CB340" s="9" t="str">
        <f>HYPERLINK(".\links\CDD\AGAP000328-PA-CDD.txt","AMMECR1, AMMECR1")</f>
        <v>AMMECR1, AMMECR1</v>
      </c>
      <c r="CC340" s="15">
        <v>1E-52</v>
      </c>
      <c r="CD340" s="2">
        <v>104.2</v>
      </c>
      <c r="CE340" s="2" t="s">
        <v>3705</v>
      </c>
      <c r="CF340" s="2" t="s">
        <v>3706</v>
      </c>
      <c r="CG340" s="9" t="str">
        <f>HYPERLINK(".\links\KOG\AGAP000328-PA-KOG.txt","AMMECR1")</f>
        <v>AMMECR1</v>
      </c>
      <c r="CH340" s="15">
        <v>4.0000000000000003E-86</v>
      </c>
      <c r="CI340" s="2">
        <v>93.8</v>
      </c>
      <c r="CJ340" s="2" t="s">
        <v>3707</v>
      </c>
      <c r="CK340" s="2" t="s">
        <v>284</v>
      </c>
      <c r="CL340" s="9" t="str">
        <f>HYPERLINK(".\links\PFAM\AGAP000328-PA-PFAM.txt","AMMECR1, AMMECR1")</f>
        <v>AMMECR1, AMMECR1</v>
      </c>
      <c r="CM340" s="15">
        <v>2.0000000000000001E-53</v>
      </c>
      <c r="CN340" s="2">
        <v>104.2</v>
      </c>
      <c r="CO340" s="2" t="s">
        <v>3705</v>
      </c>
      <c r="CP340" s="9" t="str">
        <f>HYPERLINK(".\links\SMART\AGAP000328-PA-SMART.txt","Amelogenin, Amelogenins, cell adhesion proteins, play a role in the biomineralisation of teeth")</f>
        <v>Amelogenin, Amelogenins, cell adhesion proteins, play a role in the biomineralisation of teeth</v>
      </c>
      <c r="CQ340" s="15">
        <v>0.55000000000000004</v>
      </c>
      <c r="CR340" s="2">
        <v>9.1</v>
      </c>
      <c r="CS340" s="2" t="s">
        <v>311</v>
      </c>
      <c r="CT340" s="2" t="s">
        <v>3703</v>
      </c>
      <c r="CU340" s="2" t="s">
        <v>3703</v>
      </c>
      <c r="CV340" s="2" t="s">
        <v>3703</v>
      </c>
      <c r="CW340" s="2" t="str">
        <f>HYPERLINK(".\links\pep\AGAP000328-PA-pep.txt","AGAP000328-PA")</f>
        <v>AGAP000328-PA</v>
      </c>
      <c r="CX340" s="2" t="s">
        <v>95</v>
      </c>
      <c r="CY340" s="2">
        <v>317</v>
      </c>
      <c r="CZ340" s="2" t="s">
        <v>113</v>
      </c>
      <c r="DA340" s="2" t="s">
        <v>3708</v>
      </c>
      <c r="DB340" s="2">
        <v>0</v>
      </c>
      <c r="DC340" s="2">
        <v>1</v>
      </c>
      <c r="DD340" s="2" t="str">
        <f>HYPERLINK("https://www.kegg.jp/kegg-bin/search_pathway_text?map=aga&amp;keyword=AGAP000328&amp;mode=1&amp;viewImage=true","AGAP000328")</f>
        <v>AGAP000328</v>
      </c>
      <c r="DE340" s="2" t="s">
        <v>3700</v>
      </c>
      <c r="DF340" s="2" t="s">
        <v>3701</v>
      </c>
      <c r="DG340" s="2" t="s">
        <v>94</v>
      </c>
      <c r="DH340" s="2" t="str">
        <f>HYPERLINK("https://vectorbase.org/vectorbase/app/record/gene/AGAP000328","AGAP000328-RA")</f>
        <v>AGAP000328-RA</v>
      </c>
      <c r="DI340" s="2" t="s">
        <v>90</v>
      </c>
      <c r="DJ340" s="2">
        <v>4250</v>
      </c>
      <c r="DK340" s="2" t="str">
        <f>HYPERLINK(".\links\netoglyc\AGAP000328-PA-netoglyc.txt","0")</f>
        <v>0</v>
      </c>
      <c r="DL340" s="2">
        <v>18.600000000000001</v>
      </c>
      <c r="DM340" s="2">
        <v>9.8000000000000007</v>
      </c>
      <c r="DN340" s="2">
        <v>2.8</v>
      </c>
      <c r="DO340" s="2">
        <v>0.9</v>
      </c>
      <c r="DP340" s="2" t="s">
        <v>102</v>
      </c>
      <c r="DQ340" s="2" t="str">
        <f>HYPERLINK(".\links\Sigp\AGAP000328-PA-SigP.txt","CYT")</f>
        <v>CYT</v>
      </c>
      <c r="DR340" s="2" t="s">
        <v>102</v>
      </c>
      <c r="DS340" s="2">
        <v>35.634999999999998</v>
      </c>
      <c r="DT340" s="2">
        <v>9</v>
      </c>
      <c r="DU340" s="2" t="s">
        <v>102</v>
      </c>
      <c r="DV340" s="2" t="s">
        <v>102</v>
      </c>
      <c r="DW340" s="2" t="s">
        <v>211</v>
      </c>
      <c r="DX340" s="2">
        <v>317</v>
      </c>
      <c r="DY340" s="12">
        <v>0</v>
      </c>
      <c r="DZ340" s="2" t="s">
        <v>102</v>
      </c>
      <c r="EA340" s="2" t="s">
        <v>102</v>
      </c>
      <c r="EB340" s="2" t="s">
        <v>102</v>
      </c>
      <c r="EC340" s="2" t="str">
        <f>HYPERLINK(".\links\gpi\AGAP000328-PA-gpi.txt","N")</f>
        <v>N</v>
      </c>
      <c r="ED340" s="2">
        <v>0.37</v>
      </c>
      <c r="EF340" s="2">
        <v>9</v>
      </c>
      <c r="EG340" s="2" t="str">
        <f>HYPERLINK(".\links\pep\AGAP000328-PA-sulf.txt","2")</f>
        <v>2</v>
      </c>
      <c r="EH340" s="2" t="s">
        <v>102</v>
      </c>
      <c r="EI340" s="2">
        <v>18.6119873817035</v>
      </c>
      <c r="EJ340" s="2">
        <v>2.8391167192429001</v>
      </c>
      <c r="EK340" s="2">
        <v>9.7791798107255499</v>
      </c>
      <c r="EL340" s="2">
        <v>12.6182965299685</v>
      </c>
      <c r="EM340" s="2" t="s">
        <v>102</v>
      </c>
      <c r="EN340" s="2">
        <v>1</v>
      </c>
      <c r="EO340" s="2">
        <v>1</v>
      </c>
      <c r="EP340" s="2" t="s">
        <v>102</v>
      </c>
      <c r="EQ340" s="2" t="s">
        <v>102</v>
      </c>
      <c r="ER340" s="2" t="s">
        <v>102</v>
      </c>
      <c r="ES340" s="2" t="s">
        <v>102</v>
      </c>
      <c r="ET340" s="2" t="str">
        <f>HYPERLINK(".\links\REFSEQ-INVERTEBRATE\AGAP000328-PA-REFSEQ-INVERTEBRATE.txt","AGAP000328-PA")</f>
        <v>AGAP000328-PA</v>
      </c>
      <c r="EU340" s="2" t="str">
        <f>HYPERLINK("http://www.ncbi.nlm.nih.gov/sutils/blink.cgi?pid=XP_310788.4","0.0")</f>
        <v>0.0</v>
      </c>
      <c r="EV340" s="2" t="str">
        <f>HYPERLINK("http://www.ncbi.nlm.nih.gov/protein/XP_310788.4","XP_310788.4")</f>
        <v>XP_310788.4</v>
      </c>
      <c r="EW340" s="2">
        <v>100</v>
      </c>
      <c r="EX340" s="2">
        <v>100</v>
      </c>
      <c r="EY340" s="2">
        <v>100</v>
      </c>
      <c r="EZ340" s="2" t="s">
        <v>105</v>
      </c>
    </row>
    <row r="341" spans="1:156" x14ac:dyDescent="0.25">
      <c r="A341" s="2" t="s">
        <v>3709</v>
      </c>
      <c r="B341" s="2">
        <v>-0.26538735164709099</v>
      </c>
      <c r="C341" s="2">
        <f t="shared" si="5"/>
        <v>0.83197532624978543</v>
      </c>
      <c r="D341" s="2">
        <v>6.9445432208787601</v>
      </c>
      <c r="E341" s="2">
        <v>9.7188214830972992</v>
      </c>
      <c r="F341" s="2">
        <v>1.8239043499383299E-3</v>
      </c>
      <c r="G341" s="2">
        <v>4.16786452667295E-2</v>
      </c>
      <c r="H341" s="2" t="s">
        <v>549</v>
      </c>
      <c r="I341" s="2" t="s">
        <v>88</v>
      </c>
      <c r="J341" s="8" t="s">
        <v>3710</v>
      </c>
      <c r="Q341" s="9"/>
      <c r="W341" s="10"/>
      <c r="AB341" s="9"/>
      <c r="AC341" s="9"/>
      <c r="AJ341" s="9"/>
      <c r="AN341" s="9"/>
      <c r="AO341" s="11"/>
      <c r="AP341" s="9"/>
      <c r="AT341" s="9"/>
      <c r="BA341" s="9"/>
      <c r="BH341" s="9"/>
      <c r="BO341" s="9"/>
      <c r="BV341" s="9"/>
      <c r="CB341" s="9"/>
      <c r="CG341" s="9"/>
      <c r="CL341" s="9"/>
      <c r="CP341" s="9"/>
      <c r="DE341" s="2" t="s">
        <v>3709</v>
      </c>
      <c r="DF341" s="2" t="s">
        <v>549</v>
      </c>
      <c r="DG341" s="2" t="s">
        <v>88</v>
      </c>
      <c r="DH341" s="8" t="s">
        <v>3710</v>
      </c>
      <c r="DI341" s="2" t="s">
        <v>90</v>
      </c>
      <c r="DJ341" s="2">
        <v>4124</v>
      </c>
      <c r="DQ341" s="2" t="s">
        <v>141</v>
      </c>
      <c r="DS341" s="2">
        <v>114605</v>
      </c>
      <c r="DT341" s="2">
        <v>9.14</v>
      </c>
      <c r="DX341" s="2">
        <v>1090</v>
      </c>
      <c r="DY341" s="12"/>
    </row>
    <row r="342" spans="1:156" x14ac:dyDescent="0.25">
      <c r="A342" s="2" t="s">
        <v>3711</v>
      </c>
      <c r="B342" s="2">
        <v>-0.26816272694395998</v>
      </c>
      <c r="C342" s="2">
        <f t="shared" si="5"/>
        <v>0.83037635756812667</v>
      </c>
      <c r="D342" s="2">
        <v>6.6660201706337503</v>
      </c>
      <c r="E342" s="2">
        <v>10.7997457067999</v>
      </c>
      <c r="F342" s="2">
        <v>1.0151403824656699E-3</v>
      </c>
      <c r="G342" s="2">
        <v>3.2271640223223097E-2</v>
      </c>
      <c r="H342" s="2" t="s">
        <v>3712</v>
      </c>
      <c r="I342" s="2" t="s">
        <v>88</v>
      </c>
      <c r="J342" s="8" t="s">
        <v>3713</v>
      </c>
      <c r="Q342" s="9"/>
      <c r="W342" s="10"/>
      <c r="AB342" s="9"/>
      <c r="AC342" s="9"/>
      <c r="AJ342" s="9"/>
      <c r="AN342" s="9"/>
      <c r="AO342" s="11"/>
      <c r="AP342" s="9"/>
      <c r="AT342" s="9"/>
      <c r="BA342" s="9"/>
      <c r="BH342" s="9"/>
      <c r="BO342" s="9"/>
      <c r="BV342" s="9"/>
      <c r="CB342" s="9"/>
      <c r="CG342" s="9"/>
      <c r="CL342" s="9"/>
      <c r="CP342" s="9"/>
      <c r="DE342" s="2" t="s">
        <v>3711</v>
      </c>
      <c r="DF342" s="2" t="s">
        <v>3712</v>
      </c>
      <c r="DG342" s="2" t="s">
        <v>88</v>
      </c>
      <c r="DH342" s="8" t="s">
        <v>3713</v>
      </c>
      <c r="DI342" s="2" t="s">
        <v>115</v>
      </c>
      <c r="DJ342" s="2">
        <v>2590</v>
      </c>
      <c r="DQ342" s="2" t="s">
        <v>141</v>
      </c>
      <c r="DS342" s="2">
        <v>77550</v>
      </c>
      <c r="DT342" s="2">
        <v>9.99</v>
      </c>
      <c r="DX342" s="2">
        <v>705</v>
      </c>
      <c r="DY342" s="12"/>
    </row>
    <row r="343" spans="1:156" x14ac:dyDescent="0.25">
      <c r="A343" s="2" t="s">
        <v>3714</v>
      </c>
      <c r="B343" s="2">
        <v>-0.26858123834520897</v>
      </c>
      <c r="C343" s="2">
        <f t="shared" si="5"/>
        <v>0.83013550862800323</v>
      </c>
      <c r="D343" s="2">
        <v>6.4375320813339103</v>
      </c>
      <c r="E343" s="2">
        <v>13.1136563084148</v>
      </c>
      <c r="F343" s="2">
        <v>2.93150991822023E-4</v>
      </c>
      <c r="G343" s="2">
        <v>1.92003530491149E-2</v>
      </c>
      <c r="H343" s="2" t="s">
        <v>93</v>
      </c>
      <c r="I343" s="2" t="s">
        <v>94</v>
      </c>
      <c r="J343" s="2" t="str">
        <f>HYPERLINK("https://vectorbase.org/vectorbase/app/record/gene/AGAP029508","AGAP029508-RC")</f>
        <v>AGAP029508-RC</v>
      </c>
      <c r="K343" s="2" t="str">
        <f>HYPERLINK(".\links\pep\AGAP029508-PC-pep.txt","AGAP029508-PC")</f>
        <v>AGAP029508-PC</v>
      </c>
      <c r="L343" s="12" t="s">
        <v>95</v>
      </c>
      <c r="M343" s="2">
        <v>2124</v>
      </c>
      <c r="N343" s="2">
        <v>0</v>
      </c>
      <c r="O343" s="2">
        <v>4</v>
      </c>
      <c r="P343" s="2" t="s">
        <v>102</v>
      </c>
      <c r="Q343" s="9" t="s">
        <v>3715</v>
      </c>
      <c r="R343" s="2" t="s">
        <v>196</v>
      </c>
      <c r="S343" s="2" t="str">
        <f>HYPERLINK(".\links\REFSEQ-INVERTEBRATE\AGAP029508-PC-REFSEQ-INVERTEBRATE.txt","REFSEQ-INVERTEBRATE")</f>
        <v>REFSEQ-INVERTEBRATE</v>
      </c>
      <c r="T343" s="2">
        <v>0</v>
      </c>
      <c r="U343" s="2">
        <v>83.2</v>
      </c>
      <c r="V343" s="2" t="s">
        <v>3716</v>
      </c>
      <c r="W343" s="10" t="s">
        <v>3717</v>
      </c>
      <c r="X343" s="2" t="s">
        <v>196</v>
      </c>
      <c r="Y343" s="2" t="str">
        <f>HYPERLINK(".\links\REFSEQVERTEBRATE95\AGAP029508-PC-REFSEQVERTEBRATE95.txt","REFSEQVERTEBRATE95")</f>
        <v>REFSEQVERTEBRATE95</v>
      </c>
      <c r="Z343" s="2">
        <v>0</v>
      </c>
      <c r="AA343" s="2">
        <v>0.5</v>
      </c>
      <c r="AB343" s="13" t="str">
        <f>HYPERLINK(".\links\pep\AGAP029508-PC-sulf.txt","4")</f>
        <v>4</v>
      </c>
      <c r="AC343" s="13" t="str">
        <f>HYPERLINK(".\links\Sigp\AGAP029508-PC-SigP.txt","CYT")</f>
        <v>CYT</v>
      </c>
      <c r="AD343" s="2" t="s">
        <v>102</v>
      </c>
      <c r="AE343" s="2">
        <v>231.08500000000001</v>
      </c>
      <c r="AF343" s="2">
        <v>5.63</v>
      </c>
      <c r="AG343" s="2" t="s">
        <v>102</v>
      </c>
      <c r="AH343" s="2" t="s">
        <v>102</v>
      </c>
      <c r="AI343" s="2" t="s">
        <v>211</v>
      </c>
      <c r="AJ343" s="13">
        <v>0</v>
      </c>
      <c r="AK343" s="2" t="s">
        <v>102</v>
      </c>
      <c r="AL343" s="2" t="s">
        <v>102</v>
      </c>
      <c r="AM343" s="2" t="s">
        <v>102</v>
      </c>
      <c r="AN343" s="9" t="str">
        <f>HYPERLINK(".\links\gpi\AGAP029508-PC-gpi.txt","N")</f>
        <v>N</v>
      </c>
      <c r="AO343" s="14" t="str">
        <f>HYPERLINK(".\links\netoglyc\AGAP029508-PC-netoglyc.txt","25")</f>
        <v>25</v>
      </c>
      <c r="AP343" s="13">
        <v>14</v>
      </c>
      <c r="AQ343" s="2">
        <v>7.6</v>
      </c>
      <c r="AR343" s="2">
        <v>8.6</v>
      </c>
      <c r="AS343" s="2" t="s">
        <v>104</v>
      </c>
      <c r="AT343" s="9" t="str">
        <f>HYPERLINK(".\links\NR-LIGHT\AGAP029508-PC-NR-LIGHT.txt","protein lap4 isoform X8")</f>
        <v>protein lap4 isoform X8</v>
      </c>
      <c r="AU343" s="2" t="str">
        <f>HYPERLINK("http://www.ncbi.nlm.nih.gov/sutils/blink.cgi?pid=XP_021694619.1","0.0")</f>
        <v>0.0</v>
      </c>
      <c r="AV343" s="2" t="str">
        <f>HYPERLINK("http://www.ncbi.nlm.nih.gov/protein/XP_021694619.1","XP_021694619.1")</f>
        <v>XP_021694619.1</v>
      </c>
      <c r="AW343" s="2">
        <v>59</v>
      </c>
      <c r="AX343" s="2">
        <v>68</v>
      </c>
      <c r="AY343" s="2">
        <v>83</v>
      </c>
      <c r="AZ343" s="2" t="s">
        <v>391</v>
      </c>
      <c r="BA343" s="9" t="str">
        <f>HYPERLINK(".\links\REFSEQ-INVERTEBRATE\AGAP029508-PC-REFSEQ-INVERTEBRATE.txt","protein lap4 isoform X8")</f>
        <v>protein lap4 isoform X8</v>
      </c>
      <c r="BB343" s="2" t="str">
        <f>HYPERLINK("http://www.ncbi.nlm.nih.gov/sutils/blink.cgi?pid=XP_021694619.1","0.0")</f>
        <v>0.0</v>
      </c>
      <c r="BC343" s="2" t="str">
        <f>HYPERLINK("http://www.ncbi.nlm.nih.gov/protein/XP_021694619.1","XP_021694619.1")</f>
        <v>XP_021694619.1</v>
      </c>
      <c r="BD343" s="2">
        <v>59</v>
      </c>
      <c r="BE343" s="2">
        <v>68</v>
      </c>
      <c r="BF343" s="2">
        <v>83</v>
      </c>
      <c r="BG343" s="2" t="s">
        <v>391</v>
      </c>
      <c r="BH343" s="9" t="str">
        <f>HYPERLINK(".\links\REFSEQ-PROTOZOA\AGAP029508-PC-REFSEQ-PROTOZOA.txt","hypothetical protein CAOG_07778")</f>
        <v>hypothetical protein CAOG_07778</v>
      </c>
      <c r="BI343" s="2" t="str">
        <f>HYPERLINK("http://www.ncbi.nlm.nih.gov/sutils/blink.cgi?pid=XP_004342851.2","6E-067")</f>
        <v>6E-067</v>
      </c>
      <c r="BJ343" s="2" t="str">
        <f>HYPERLINK("http://www.ncbi.nlm.nih.gov/protein/XP_004342851.2","XP_004342851.2")</f>
        <v>XP_004342851.2</v>
      </c>
      <c r="BK343" s="2">
        <v>36</v>
      </c>
      <c r="BL343" s="2">
        <v>55</v>
      </c>
      <c r="BM343" s="2">
        <v>61</v>
      </c>
      <c r="BN343" s="2" t="s">
        <v>106</v>
      </c>
      <c r="BO343" s="9" t="str">
        <f>HYPERLINK(".\links\SWISSP\AGAP029508-PC-SWISSP.txt","Protein lap4")</f>
        <v>Protein lap4</v>
      </c>
      <c r="BP343" s="2" t="str">
        <f>HYPERLINK("http://www.uniprot.org/uniprot/Q7KRY7","0.0")</f>
        <v>0.0</v>
      </c>
      <c r="BQ343" s="2" t="str">
        <f>HYPERLINK("http://www.uniprot.org/uniprot/Q7KRY7#expression","Q7KRY7")</f>
        <v>Q7KRY7</v>
      </c>
      <c r="BR343" s="2">
        <v>50</v>
      </c>
      <c r="BS343" s="2">
        <v>62</v>
      </c>
      <c r="BT343" s="2">
        <v>93</v>
      </c>
      <c r="BU343" s="2" t="s">
        <v>107</v>
      </c>
      <c r="BV343" s="9" t="str">
        <f>HYPERLINK(".\links\FLYBASE\AGAP029508-PC-FLYBASE.txt","FBpp0300848")</f>
        <v>FBpp0300848</v>
      </c>
      <c r="BW343" s="2" t="str">
        <f>HYPERLINK("http://flybase.org/reports/FBgn0263289#alliance_summary_container","0.0")</f>
        <v>0.0</v>
      </c>
      <c r="BX343" s="2">
        <v>1247</v>
      </c>
      <c r="BY343" s="2">
        <v>71</v>
      </c>
      <c r="BZ343" s="2">
        <v>83</v>
      </c>
      <c r="CA343" s="2">
        <v>40</v>
      </c>
      <c r="CB343" s="9" t="str">
        <f>HYPERLINK(".\links\CDD\AGAP029508-PC-CDD.txt","LRR_RI, leucine-rich repeats, ribonuclease inhibitor (RI)-like subfamily")</f>
        <v>LRR_RI, leucine-rich repeats, ribonuclease inhibitor (RI)-like subfamily</v>
      </c>
      <c r="CC343" s="15">
        <v>1.9999999999999999E-40</v>
      </c>
      <c r="CD343" s="2">
        <v>105.9</v>
      </c>
      <c r="CE343" s="2" t="s">
        <v>281</v>
      </c>
      <c r="CF343" s="2" t="s">
        <v>3718</v>
      </c>
      <c r="CG343" s="9" t="str">
        <f>HYPERLINK(".\links\KOG\AGAP029508-PC-KOG.txt","Leucine-rich repeat protein")</f>
        <v>Leucine-rich repeat protein</v>
      </c>
      <c r="CH343" s="15">
        <v>6.9999999999999995E-44</v>
      </c>
      <c r="CI343" s="2">
        <v>68.3</v>
      </c>
      <c r="CJ343" s="2" t="s">
        <v>283</v>
      </c>
      <c r="CK343" s="2" t="s">
        <v>284</v>
      </c>
      <c r="CL343" s="9" t="str">
        <f>HYPERLINK(".\links\PFAM\AGAP029508-PC-PFAM.txt","PDZ, PDZ domain (Also known as DHR or GLGF)")</f>
        <v>PDZ, PDZ domain (Also known as DHR or GLGF)</v>
      </c>
      <c r="CM343" s="15">
        <v>2.9999999999999998E-13</v>
      </c>
      <c r="CN343" s="2">
        <v>109.9</v>
      </c>
      <c r="CO343" s="2" t="s">
        <v>3719</v>
      </c>
      <c r="CP343" s="9" t="str">
        <f>HYPERLINK(".\links\SMART\AGAP029508-PC-SMART.txt","PDZ, Domain present in PSD-95, Dlg, and ZO-1/2")</f>
        <v>PDZ, Domain present in PSD-95, Dlg, and ZO-1/2</v>
      </c>
      <c r="CQ343" s="15">
        <v>7.0000000000000007E-21</v>
      </c>
      <c r="CR343" s="2">
        <v>104.7</v>
      </c>
      <c r="CS343" s="2" t="s">
        <v>3720</v>
      </c>
      <c r="CT343" s="2" t="s">
        <v>3716</v>
      </c>
      <c r="CU343" s="2" t="s">
        <v>3716</v>
      </c>
      <c r="CV343" s="2" t="s">
        <v>3716</v>
      </c>
      <c r="CW343" s="2" t="str">
        <f>HYPERLINK(".\links\pep\AGAP029508-PC-pep.txt","AGAP029508-PC")</f>
        <v>AGAP029508-PC</v>
      </c>
      <c r="CX343" s="2" t="s">
        <v>95</v>
      </c>
      <c r="CY343" s="2">
        <v>2124</v>
      </c>
      <c r="CZ343" s="2" t="s">
        <v>113</v>
      </c>
      <c r="DA343" s="2" t="s">
        <v>3721</v>
      </c>
      <c r="DB343" s="2">
        <v>0</v>
      </c>
      <c r="DC343" s="2">
        <v>4</v>
      </c>
      <c r="DD343" s="2" t="str">
        <f>HYPERLINK("https://www.kegg.jp/kegg-bin/search_pathway_text?map=aga&amp;keyword=AGAP029508&amp;mode=1&amp;viewImage=true","AGAP029508")</f>
        <v>AGAP029508</v>
      </c>
      <c r="DE343" s="2" t="s">
        <v>3714</v>
      </c>
      <c r="DF343" s="2" t="s">
        <v>93</v>
      </c>
      <c r="DG343" s="2" t="s">
        <v>94</v>
      </c>
      <c r="DH343" s="2" t="str">
        <f>HYPERLINK("https://vectorbase.org/vectorbase/app/record/gene/AGAP029508","AGAP029508-RC")</f>
        <v>AGAP029508-RC</v>
      </c>
      <c r="DI343" s="2" t="s">
        <v>135</v>
      </c>
      <c r="DJ343" s="2">
        <v>8725</v>
      </c>
      <c r="DK343" s="2" t="str">
        <f>HYPERLINK(".\links\netoglyc\AGAP029508-PC-netoglyc.txt","25")</f>
        <v>25</v>
      </c>
      <c r="DL343" s="2">
        <v>14</v>
      </c>
      <c r="DM343" s="2">
        <v>7.6</v>
      </c>
      <c r="DN343" s="2">
        <v>8.6</v>
      </c>
      <c r="DO343" s="2" t="s">
        <v>104</v>
      </c>
      <c r="DP343" s="2" t="s">
        <v>102</v>
      </c>
      <c r="DQ343" s="2" t="str">
        <f>HYPERLINK(".\links\Sigp\AGAP029508-PC-SigP.txt","CYT")</f>
        <v>CYT</v>
      </c>
      <c r="DR343" s="2" t="s">
        <v>102</v>
      </c>
      <c r="DS343" s="2">
        <v>231.08500000000001</v>
      </c>
      <c r="DT343" s="2">
        <v>5.63</v>
      </c>
      <c r="DU343" s="2" t="s">
        <v>102</v>
      </c>
      <c r="DV343" s="2" t="s">
        <v>102</v>
      </c>
      <c r="DW343" s="2" t="s">
        <v>211</v>
      </c>
      <c r="DX343" s="2">
        <v>2124</v>
      </c>
      <c r="DY343" s="12">
        <v>0</v>
      </c>
      <c r="DZ343" s="2" t="s">
        <v>102</v>
      </c>
      <c r="EA343" s="2" t="s">
        <v>102</v>
      </c>
      <c r="EB343" s="2" t="s">
        <v>102</v>
      </c>
      <c r="EC343" s="2" t="str">
        <f>HYPERLINK(".\links\gpi\AGAP029508-PC-gpi.txt","Y-NoSP")</f>
        <v>Y-NoSP</v>
      </c>
      <c r="ED343" s="2">
        <v>0.19</v>
      </c>
      <c r="EF343" s="2">
        <v>13</v>
      </c>
      <c r="EG343" s="2" t="str">
        <f>HYPERLINK(".\links\pep\AGAP029508-PC-sulf.txt","4")</f>
        <v>4</v>
      </c>
      <c r="EH343" s="2" t="s">
        <v>102</v>
      </c>
      <c r="EI343" s="2">
        <v>14.030131826742</v>
      </c>
      <c r="EJ343" s="2">
        <v>8.6158192090395502</v>
      </c>
      <c r="EK343" s="2">
        <v>7.58003766478343</v>
      </c>
      <c r="EL343" s="2">
        <v>16.195856873823001</v>
      </c>
      <c r="EM343" s="2">
        <v>2</v>
      </c>
      <c r="EN343" s="2">
        <v>9</v>
      </c>
      <c r="EO343" s="2">
        <v>12</v>
      </c>
      <c r="EP343" s="2" t="s">
        <v>102</v>
      </c>
      <c r="EQ343" s="2" t="s">
        <v>102</v>
      </c>
      <c r="ER343" s="2" t="s">
        <v>102</v>
      </c>
      <c r="ES343" s="2" t="s">
        <v>102</v>
      </c>
      <c r="ET343" s="2" t="str">
        <f>HYPERLINK(".\links\REFSEQ-INVERTEBRATE\AGAP029508-PC-REFSEQ-INVERTEBRATE.txt","protein lap4-like isoform X5")</f>
        <v>protein lap4-like isoform X5</v>
      </c>
      <c r="EU343" s="2" t="str">
        <f>HYPERLINK("http://www.ncbi.nlm.nih.gov/sutils/blink.cgi?pid=XP_035905931.1","0.0")</f>
        <v>0.0</v>
      </c>
      <c r="EV343" s="2" t="str">
        <f>HYPERLINK("http://www.ncbi.nlm.nih.gov/protein/XP_035905931.1","XP_035905931.1")</f>
        <v>XP_035905931.1</v>
      </c>
      <c r="EW343" s="2">
        <v>80</v>
      </c>
      <c r="EX343" s="2">
        <v>85</v>
      </c>
      <c r="EY343" s="2">
        <v>79</v>
      </c>
      <c r="EZ343" s="2" t="s">
        <v>370</v>
      </c>
    </row>
    <row r="344" spans="1:156" x14ac:dyDescent="0.25">
      <c r="A344" s="2" t="s">
        <v>3722</v>
      </c>
      <c r="B344" s="2">
        <v>-0.26938146480471797</v>
      </c>
      <c r="C344" s="2">
        <f t="shared" si="5"/>
        <v>0.82967518112980665</v>
      </c>
      <c r="D344" s="2">
        <v>8.1442246256408009</v>
      </c>
      <c r="E344" s="2">
        <v>10.323392449229599</v>
      </c>
      <c r="F344" s="2">
        <v>1.31354620657732E-3</v>
      </c>
      <c r="G344" s="2">
        <v>3.6362353555672799E-2</v>
      </c>
      <c r="H344" s="2" t="s">
        <v>3723</v>
      </c>
      <c r="I344" s="2" t="s">
        <v>94</v>
      </c>
      <c r="J344" s="2" t="str">
        <f>HYPERLINK("https://vectorbase.org/vectorbase/app/record/gene/AGAP028609","AGAP028609-RA")</f>
        <v>AGAP028609-RA</v>
      </c>
      <c r="K344" s="2" t="str">
        <f>HYPERLINK(".\links\pep\AGAP028609-PA-pep.txt","AGAP028609-PA")</f>
        <v>AGAP028609-PA</v>
      </c>
      <c r="L344" s="12" t="s">
        <v>95</v>
      </c>
      <c r="M344" s="2">
        <v>1503</v>
      </c>
      <c r="N344" s="2">
        <v>0</v>
      </c>
      <c r="O344" s="2">
        <v>4</v>
      </c>
      <c r="P344" s="2" t="s">
        <v>3724</v>
      </c>
      <c r="Q344" s="9" t="s">
        <v>3725</v>
      </c>
      <c r="R344" s="2" t="s">
        <v>388</v>
      </c>
      <c r="S344" s="2" t="str">
        <f>HYPERLINK(".\links\KOG\AGAP028609-PA-KOG.txt","KOG")</f>
        <v>KOG</v>
      </c>
      <c r="T344" s="2">
        <v>1E-54</v>
      </c>
      <c r="U344" s="2">
        <v>71.5</v>
      </c>
      <c r="V344" s="2" t="s">
        <v>3726</v>
      </c>
      <c r="W344" s="10" t="s">
        <v>3727</v>
      </c>
      <c r="X344" s="2" t="s">
        <v>420</v>
      </c>
      <c r="Y344" s="2" t="str">
        <f>HYPERLINK(".\links\REFSEQVERTEBRATE95\AGAP028609-PA-REFSEQVERTEBRATE95.txt","REFSEQVERTEBRATE95")</f>
        <v>REFSEQVERTEBRATE95</v>
      </c>
      <c r="Z344" s="15">
        <v>0</v>
      </c>
      <c r="AA344" s="2">
        <v>49.5</v>
      </c>
      <c r="AB344" s="13" t="str">
        <f>HYPERLINK(".\links\pep\AGAP028609-PA-sulf.txt","2")</f>
        <v>2</v>
      </c>
      <c r="AC344" s="13" t="str">
        <f>HYPERLINK(".\links\Sigp\AGAP028609-PA-SigP.txt","CYT")</f>
        <v>CYT</v>
      </c>
      <c r="AD344" s="2" t="s">
        <v>102</v>
      </c>
      <c r="AE344" s="2">
        <v>168.846</v>
      </c>
      <c r="AF344" s="2">
        <v>6.14</v>
      </c>
      <c r="AG344" s="2" t="s">
        <v>102</v>
      </c>
      <c r="AH344" s="2" t="s">
        <v>102</v>
      </c>
      <c r="AI344" s="2" t="s">
        <v>611</v>
      </c>
      <c r="AJ344" s="13">
        <v>0</v>
      </c>
      <c r="AK344" s="2" t="s">
        <v>102</v>
      </c>
      <c r="AL344" s="2" t="s">
        <v>102</v>
      </c>
      <c r="AM344" s="2" t="s">
        <v>102</v>
      </c>
      <c r="AN344" s="13" t="str">
        <f>HYPERLINK(".\links\gpi\AGAP028609-PA-gpi.txt","N")</f>
        <v>N</v>
      </c>
      <c r="AO344" s="14" t="str">
        <f>HYPERLINK(".\links\netoglyc\AGAP028609-PA-netoglyc.txt","3")</f>
        <v>3</v>
      </c>
      <c r="AP344" s="13">
        <v>15</v>
      </c>
      <c r="AQ344" s="2">
        <v>6</v>
      </c>
      <c r="AR344" s="2">
        <v>5</v>
      </c>
      <c r="AS344" s="2" t="s">
        <v>104</v>
      </c>
      <c r="AT344" s="9" t="str">
        <f>HYPERLINK(".\links\NR-LIGHT\AGAP028609-PA-NR-LIGHT.txt","AGAP002490-PA")</f>
        <v>AGAP002490-PA</v>
      </c>
      <c r="AU344" s="2" t="str">
        <f>HYPERLINK("http://www.ncbi.nlm.nih.gov/sutils/blink.cgi?pid=XP_312449.4","0.0")</f>
        <v>0.0</v>
      </c>
      <c r="AV344" s="2" t="str">
        <f>HYPERLINK("http://www.ncbi.nlm.nih.gov/protein/XP_312449.4","XP_312449.4")</f>
        <v>XP_312449.4</v>
      </c>
      <c r="AW344" s="2">
        <v>100</v>
      </c>
      <c r="AX344" s="2">
        <v>100</v>
      </c>
      <c r="AY344" s="2">
        <v>100</v>
      </c>
      <c r="AZ344" s="2" t="s">
        <v>105</v>
      </c>
      <c r="BA344" s="9" t="str">
        <f>HYPERLINK(".\links\REFSEQ-INVERTEBRATE\AGAP028609-PA-REFSEQ-INVERTEBRATE.txt","AGAP002490-PA")</f>
        <v>AGAP002490-PA</v>
      </c>
      <c r="BB344" s="2" t="str">
        <f>HYPERLINK("http://www.ncbi.nlm.nih.gov/sutils/blink.cgi?pid=XP_312449.4","0.0")</f>
        <v>0.0</v>
      </c>
      <c r="BC344" s="2" t="str">
        <f>HYPERLINK("http://www.ncbi.nlm.nih.gov/protein/XP_312449.4","XP_312449.4")</f>
        <v>XP_312449.4</v>
      </c>
      <c r="BD344" s="2">
        <v>100</v>
      </c>
      <c r="BE344" s="2">
        <v>100</v>
      </c>
      <c r="BF344" s="2">
        <v>100</v>
      </c>
      <c r="BG344" s="2" t="s">
        <v>105</v>
      </c>
      <c r="BH344" s="9" t="str">
        <f>HYPERLINK(".\links\REFSEQ-PROTOZOA\AGAP028609-PA-REFSEQ-PROTOZOA.txt","hypothetical protein GUITHDRAFT_161847")</f>
        <v>hypothetical protein GUITHDRAFT_161847</v>
      </c>
      <c r="BI344" s="2" t="str">
        <f>HYPERLINK("http://www.ncbi.nlm.nih.gov/sutils/blink.cgi?pid=XP_005837616.1","1E-142")</f>
        <v>1E-142</v>
      </c>
      <c r="BJ344" s="2" t="str">
        <f>HYPERLINK("http://www.ncbi.nlm.nih.gov/protein/XP_005837616.1","XP_005837616.1")</f>
        <v>XP_005837616.1</v>
      </c>
      <c r="BK344" s="2">
        <v>30</v>
      </c>
      <c r="BL344" s="2">
        <v>46</v>
      </c>
      <c r="BM344" s="2">
        <v>94</v>
      </c>
      <c r="BN344" s="2" t="s">
        <v>279</v>
      </c>
      <c r="BO344" s="9" t="str">
        <f>HYPERLINK(".\links\SWISSP\AGAP028609-PA-SWISSP.txt","Transcriptional regulator ATRX homolog")</f>
        <v>Transcriptional regulator ATRX homolog</v>
      </c>
      <c r="BP344" s="2" t="str">
        <f>HYPERLINK("http://www.uniprot.org/uniprot/Q9GQN5","0.0")</f>
        <v>0.0</v>
      </c>
      <c r="BQ344" s="2" t="str">
        <f>HYPERLINK("http://www.uniprot.org/uniprot/Q9GQN5#expression","Q9GQN5")</f>
        <v>Q9GQN5</v>
      </c>
      <c r="BR344" s="2">
        <v>46</v>
      </c>
      <c r="BS344" s="2">
        <v>60</v>
      </c>
      <c r="BT344" s="2">
        <v>101</v>
      </c>
      <c r="BU344" s="2" t="s">
        <v>107</v>
      </c>
      <c r="BV344" s="9" t="str">
        <f>HYPERLINK(".\links\FLYBASE\AGAP028609-PA-FLYBASE.txt","FBpp0084213")</f>
        <v>FBpp0084213</v>
      </c>
      <c r="BW344" s="2" t="str">
        <f>HYPERLINK("http://flybase.org/reports/FBgn0039338#alliance_summary_container","0.0")</f>
        <v>0.0</v>
      </c>
      <c r="BX344" s="2">
        <v>1311</v>
      </c>
      <c r="BY344" s="2">
        <v>55</v>
      </c>
      <c r="BZ344" s="2">
        <v>70</v>
      </c>
      <c r="CA344" s="2">
        <v>72</v>
      </c>
      <c r="CB344" s="9" t="str">
        <f>HYPERLINK(".\links\CDD\AGAP028609-PA-CDD.txt","SNF2_N, SNF2 family N-terminal domain")</f>
        <v>SNF2_N, SNF2 family N-terminal domain</v>
      </c>
      <c r="CC344" s="15">
        <v>5.0000000000000002E-62</v>
      </c>
      <c r="CD344" s="2">
        <v>111.8</v>
      </c>
      <c r="CE344" s="2" t="s">
        <v>3351</v>
      </c>
      <c r="CF344" s="2" t="s">
        <v>3728</v>
      </c>
      <c r="CG344" s="9" t="str">
        <f>HYPERLINK(".\links\KOG\AGAP028609-PA-KOG.txt","DEAD-box superfamily")</f>
        <v>DEAD-box superfamily</v>
      </c>
      <c r="CH344" s="15">
        <v>0</v>
      </c>
      <c r="CI344" s="2">
        <v>78.7</v>
      </c>
      <c r="CJ344" s="2" t="s">
        <v>3729</v>
      </c>
      <c r="CK344" s="2" t="s">
        <v>309</v>
      </c>
      <c r="CL344" s="9" t="str">
        <f>HYPERLINK(".\links\PFAM\AGAP028609-PA-PFAM.txt","SNF2_N, SNF2 family N-terminal domain")</f>
        <v>SNF2_N, SNF2 family N-terminal domain</v>
      </c>
      <c r="CM344" s="15">
        <v>8.9999999999999999E-63</v>
      </c>
      <c r="CN344" s="2">
        <v>111.8</v>
      </c>
      <c r="CO344" s="2" t="s">
        <v>3351</v>
      </c>
      <c r="CP344" s="9" t="str">
        <f>HYPERLINK(".\links\SMART\AGAP028609-PA-SMART.txt","DEXDc, DEAD-like helicases superfamily")</f>
        <v>DEXDc, DEAD-like helicases superfamily</v>
      </c>
      <c r="CQ344" s="15">
        <v>2.0000000000000001E-18</v>
      </c>
      <c r="CR344" s="2">
        <v>112.4</v>
      </c>
      <c r="CS344" s="2" t="s">
        <v>429</v>
      </c>
      <c r="CT344" s="2" t="s">
        <v>3726</v>
      </c>
      <c r="CU344" s="2" t="s">
        <v>3726</v>
      </c>
      <c r="CV344" s="2" t="s">
        <v>3726</v>
      </c>
      <c r="CW344" s="2" t="str">
        <f>HYPERLINK(".\links\pep\AGAP028609-PA-pep.txt","AGAP028609-PA")</f>
        <v>AGAP028609-PA</v>
      </c>
      <c r="CX344" s="2" t="s">
        <v>95</v>
      </c>
      <c r="CY344" s="2">
        <v>1503</v>
      </c>
      <c r="CZ344" s="2" t="s">
        <v>113</v>
      </c>
      <c r="DA344" s="2" t="s">
        <v>3730</v>
      </c>
      <c r="DB344" s="2">
        <v>0</v>
      </c>
      <c r="DC344" s="2">
        <v>4</v>
      </c>
      <c r="DD344" s="2" t="str">
        <f>HYPERLINK("https://www.kegg.jp/kegg-bin/search_pathway_text?map=aga&amp;keyword=AGAP028609&amp;mode=1&amp;viewImage=true","AGAP028609")</f>
        <v>AGAP028609</v>
      </c>
      <c r="DE344" s="2" t="s">
        <v>3722</v>
      </c>
      <c r="DF344" s="2" t="s">
        <v>3723</v>
      </c>
      <c r="DG344" s="2" t="s">
        <v>94</v>
      </c>
      <c r="DH344" s="2" t="str">
        <f>HYPERLINK("https://vectorbase.org/vectorbase/app/record/gene/AGAP028609","AGAP028609-RA")</f>
        <v>AGAP028609-RA</v>
      </c>
      <c r="DI344" s="2" t="s">
        <v>135</v>
      </c>
      <c r="DJ344" s="2">
        <v>5189</v>
      </c>
      <c r="DK344" s="2" t="str">
        <f>HYPERLINK(".\links\netoglyc\AGAP028609-PA-netoglyc.txt","3")</f>
        <v>3</v>
      </c>
      <c r="DL344" s="2">
        <v>15</v>
      </c>
      <c r="DM344" s="2">
        <v>6</v>
      </c>
      <c r="DN344" s="2">
        <v>5</v>
      </c>
      <c r="DO344" s="2" t="s">
        <v>104</v>
      </c>
      <c r="DP344" s="2" t="s">
        <v>3731</v>
      </c>
      <c r="DQ344" s="2" t="str">
        <f>HYPERLINK(".\links\Sigp\AGAP028609-PA-SigP.txt","CYT")</f>
        <v>CYT</v>
      </c>
      <c r="DR344" s="2" t="s">
        <v>102</v>
      </c>
      <c r="DS344" s="2">
        <v>168.846</v>
      </c>
      <c r="DT344" s="2">
        <v>6.14</v>
      </c>
      <c r="DU344" s="2" t="s">
        <v>102</v>
      </c>
      <c r="DV344" s="2" t="s">
        <v>102</v>
      </c>
      <c r="DW344" s="2" t="s">
        <v>611</v>
      </c>
      <c r="DX344" s="2">
        <v>1503</v>
      </c>
      <c r="DY344" s="12">
        <v>0</v>
      </c>
      <c r="DZ344" s="2" t="s">
        <v>102</v>
      </c>
      <c r="EA344" s="2" t="s">
        <v>102</v>
      </c>
      <c r="EB344" s="2" t="s">
        <v>102</v>
      </c>
      <c r="EC344" s="2" t="str">
        <f>HYPERLINK(".\links\gpi\AGAP028609-PA-gpi.txt","Y-NoSP")</f>
        <v>Y-NoSP</v>
      </c>
      <c r="ED344" s="2">
        <v>0.2</v>
      </c>
      <c r="EF344" s="2">
        <v>12</v>
      </c>
      <c r="EG344" s="2" t="str">
        <f>HYPERLINK(".\links\pep\AGAP028609-PA-sulf.txt","2")</f>
        <v>2</v>
      </c>
      <c r="EH344" s="2" t="s">
        <v>102</v>
      </c>
      <c r="EI344" s="2">
        <v>15.0365934797073</v>
      </c>
      <c r="EJ344" s="2">
        <v>4.9900199600798398</v>
      </c>
      <c r="EK344" s="2">
        <v>5.9880239520958103</v>
      </c>
      <c r="EL344" s="2">
        <v>10.9780439121756</v>
      </c>
      <c r="EM344" s="2" t="s">
        <v>102</v>
      </c>
      <c r="EN344" s="2">
        <v>4</v>
      </c>
      <c r="EO344" s="2">
        <v>8</v>
      </c>
      <c r="EP344" s="2" t="s">
        <v>102</v>
      </c>
      <c r="EQ344" s="2" t="s">
        <v>102</v>
      </c>
      <c r="ER344" s="2" t="s">
        <v>102</v>
      </c>
      <c r="ES344" s="2" t="s">
        <v>102</v>
      </c>
      <c r="ET344" s="2" t="str">
        <f>HYPERLINK(".\links\REFSEQ-INVERTEBRATE\AGAP028609-PA-REFSEQ-INVERTEBRATE.txt","transcriptional regulator ATRX homolog isoform X1")</f>
        <v>transcriptional regulator ATRX homolog isoform X1</v>
      </c>
      <c r="EU344" s="2" t="str">
        <f>HYPERLINK("http://www.ncbi.nlm.nih.gov/sutils/blink.cgi?pid=XP_035897869.1","0.0")</f>
        <v>0.0</v>
      </c>
      <c r="EV344" s="2" t="str">
        <f>HYPERLINK("http://www.ncbi.nlm.nih.gov/protein/XP_035897869.1","XP_035897869.1")</f>
        <v>XP_035897869.1</v>
      </c>
      <c r="EW344" s="2">
        <v>71</v>
      </c>
      <c r="EX344" s="2">
        <v>79</v>
      </c>
      <c r="EY344" s="2">
        <v>104</v>
      </c>
      <c r="EZ344" s="2" t="s">
        <v>370</v>
      </c>
    </row>
    <row r="345" spans="1:156" x14ac:dyDescent="0.25">
      <c r="A345" s="2" t="s">
        <v>3732</v>
      </c>
      <c r="B345" s="2">
        <v>-0.27224720341680197</v>
      </c>
      <c r="C345" s="2">
        <f t="shared" si="5"/>
        <v>0.82802876781402135</v>
      </c>
      <c r="D345" s="2">
        <v>6.2987989729873197</v>
      </c>
      <c r="E345" s="2">
        <v>10.5663942483621</v>
      </c>
      <c r="F345" s="2">
        <v>1.151621407205E-3</v>
      </c>
      <c r="G345" s="2">
        <v>3.4090553191424698E-2</v>
      </c>
      <c r="H345" s="2" t="s">
        <v>549</v>
      </c>
      <c r="I345" s="2" t="s">
        <v>88</v>
      </c>
      <c r="J345" s="8" t="s">
        <v>3733</v>
      </c>
      <c r="Q345" s="9"/>
      <c r="W345" s="10"/>
      <c r="AB345" s="9"/>
      <c r="AC345" s="9"/>
      <c r="AJ345" s="9"/>
      <c r="AN345" s="9"/>
      <c r="AO345" s="11"/>
      <c r="AP345" s="9"/>
      <c r="AT345" s="9"/>
      <c r="BA345" s="9"/>
      <c r="BH345" s="9"/>
      <c r="BO345" s="9"/>
      <c r="BV345" s="9"/>
      <c r="CB345" s="9"/>
      <c r="CG345" s="9"/>
      <c r="CL345" s="9"/>
      <c r="CP345" s="9"/>
      <c r="DE345" s="2" t="s">
        <v>3732</v>
      </c>
      <c r="DF345" s="2" t="s">
        <v>549</v>
      </c>
      <c r="DG345" s="2" t="s">
        <v>88</v>
      </c>
      <c r="DH345" s="8" t="s">
        <v>3733</v>
      </c>
      <c r="DI345" s="2" t="s">
        <v>90</v>
      </c>
      <c r="DJ345" s="2">
        <v>2233</v>
      </c>
      <c r="DQ345" s="2" t="s">
        <v>141</v>
      </c>
      <c r="DS345" s="2">
        <v>51666</v>
      </c>
      <c r="DT345" s="2">
        <v>12.86</v>
      </c>
      <c r="DX345" s="2">
        <v>481</v>
      </c>
      <c r="DY345" s="12"/>
    </row>
    <row r="346" spans="1:156" x14ac:dyDescent="0.25">
      <c r="A346" s="2" t="s">
        <v>3734</v>
      </c>
      <c r="B346" s="2">
        <v>-0.27364557275071499</v>
      </c>
      <c r="C346" s="2">
        <f t="shared" si="5"/>
        <v>0.82722656843882703</v>
      </c>
      <c r="D346" s="2">
        <v>8.5123181756607398</v>
      </c>
      <c r="E346" s="2">
        <v>9.39791396367308</v>
      </c>
      <c r="F346" s="2">
        <v>2.17232464096708E-3</v>
      </c>
      <c r="G346" s="2">
        <v>4.4881046827527402E-2</v>
      </c>
      <c r="H346" s="2" t="s">
        <v>3735</v>
      </c>
      <c r="I346" s="2" t="s">
        <v>94</v>
      </c>
      <c r="J346" s="2" t="str">
        <f>HYPERLINK("https://vectorbase.org/vectorbase/app/record/gene/AGAP012154","AGAP012154-RA")</f>
        <v>AGAP012154-RA</v>
      </c>
      <c r="K346" s="2" t="str">
        <f>HYPERLINK(".\links\pep\AGAP012154-PA-pep.txt","AGAP012154-PA")</f>
        <v>AGAP012154-PA</v>
      </c>
      <c r="L346" s="12" t="s">
        <v>95</v>
      </c>
      <c r="M346" s="2">
        <v>725</v>
      </c>
      <c r="N346" s="2">
        <v>0</v>
      </c>
      <c r="O346" s="2">
        <v>1</v>
      </c>
      <c r="P346" s="2" t="s">
        <v>3736</v>
      </c>
      <c r="Q346" s="9" t="s">
        <v>3737</v>
      </c>
      <c r="R346" s="2" t="s">
        <v>167</v>
      </c>
      <c r="S346" s="2" t="str">
        <f>HYPERLINK(".\links\CDD\AGAP012154-PA-CDD.txt","CDD")</f>
        <v>CDD</v>
      </c>
      <c r="T346" s="2">
        <v>0</v>
      </c>
      <c r="U346" s="2">
        <v>101.2</v>
      </c>
      <c r="V346" s="2" t="s">
        <v>3738</v>
      </c>
      <c r="W346" s="10" t="s">
        <v>3739</v>
      </c>
      <c r="X346" s="2" t="s">
        <v>495</v>
      </c>
      <c r="Y346" s="2" t="str">
        <f>HYPERLINK(".\links\COG\AGAP012154-PA-COG.txt","COG")</f>
        <v>COG</v>
      </c>
      <c r="Z346" s="15">
        <v>2.9999999999999998E-31</v>
      </c>
      <c r="AA346" s="2">
        <v>77.7</v>
      </c>
      <c r="AB346" s="13" t="s">
        <v>102</v>
      </c>
      <c r="AC346" s="13" t="str">
        <f>HYPERLINK(".\links\Sigp\AGAP012154-PA-SigP.txt","CYT")</f>
        <v>CYT</v>
      </c>
      <c r="AD346" s="2" t="s">
        <v>102</v>
      </c>
      <c r="AE346" s="2">
        <v>79.790000000000006</v>
      </c>
      <c r="AF346" s="2">
        <v>6.41</v>
      </c>
      <c r="AG346" s="2" t="s">
        <v>102</v>
      </c>
      <c r="AH346" s="2" t="s">
        <v>102</v>
      </c>
      <c r="AI346" s="2" t="s">
        <v>3740</v>
      </c>
      <c r="AJ346" s="13" t="str">
        <f>HYPERLINK(".\links\tmhmm\AGAP012154-PA-tmhmm.txt","11")</f>
        <v>11</v>
      </c>
      <c r="AK346" s="2">
        <v>31.7</v>
      </c>
      <c r="AL346" s="2">
        <v>46.1</v>
      </c>
      <c r="AM346" s="2">
        <v>22.2</v>
      </c>
      <c r="AN346" s="13" t="str">
        <f>HYPERLINK(".\links\gpi\AGAP012154-PA-gpi.txt","N")</f>
        <v>N</v>
      </c>
      <c r="AO346" s="14" t="str">
        <f>HYPERLINK(".\links\netoglyc\AGAP012154-PA-netoglyc.txt","1")</f>
        <v>1</v>
      </c>
      <c r="AP346" s="13">
        <v>14.1</v>
      </c>
      <c r="AQ346" s="2">
        <v>7.3</v>
      </c>
      <c r="AR346" s="2">
        <v>4.5999999999999996</v>
      </c>
      <c r="AS346" s="2" t="s">
        <v>104</v>
      </c>
      <c r="AT346" s="9" t="str">
        <f>HYPERLINK(".\links\NR-LIGHT\AGAP012154-PA-NR-LIGHT.txt","AGAP012154-PA, partial")</f>
        <v>AGAP012154-PA, partial</v>
      </c>
      <c r="AU346" s="2" t="str">
        <f>HYPERLINK("http://www.ncbi.nlm.nih.gov/sutils/blink.cgi?pid=XP_320378.4","0.0")</f>
        <v>0.0</v>
      </c>
      <c r="AV346" s="2" t="str">
        <f>HYPERLINK("http://www.ncbi.nlm.nih.gov/protein/XP_320378.4","XP_320378.4")</f>
        <v>XP_320378.4</v>
      </c>
      <c r="AW346" s="2">
        <v>100</v>
      </c>
      <c r="AX346" s="2">
        <v>100</v>
      </c>
      <c r="AY346" s="2">
        <v>100</v>
      </c>
      <c r="AZ346" s="2" t="s">
        <v>105</v>
      </c>
      <c r="BA346" s="9" t="str">
        <f>HYPERLINK(".\links\REFSEQ-INVERTEBRATE\AGAP012154-PA-REFSEQ-INVERTEBRATE.txt","AGAP012154-PA, partial")</f>
        <v>AGAP012154-PA, partial</v>
      </c>
      <c r="BB346" s="2" t="str">
        <f>HYPERLINK("http://www.ncbi.nlm.nih.gov/sutils/blink.cgi?pid=XP_320378.4","0.0")</f>
        <v>0.0</v>
      </c>
      <c r="BC346" s="2" t="str">
        <f>HYPERLINK("http://www.ncbi.nlm.nih.gov/protein/XP_320378.4","XP_320378.4")</f>
        <v>XP_320378.4</v>
      </c>
      <c r="BD346" s="2">
        <v>100</v>
      </c>
      <c r="BE346" s="2">
        <v>100</v>
      </c>
      <c r="BF346" s="2">
        <v>100</v>
      </c>
      <c r="BG346" s="2" t="s">
        <v>105</v>
      </c>
      <c r="BH346" s="9" t="str">
        <f>HYPERLINK(".\links\REFSEQ-PROTOZOA\AGAP012154-PA-REFSEQ-PROTOZOA.txt","hypothetical protein CAOG_08746")</f>
        <v>hypothetical protein CAOG_08746</v>
      </c>
      <c r="BI346" s="2" t="str">
        <f>HYPERLINK("http://www.ncbi.nlm.nih.gov/sutils/blink.cgi?pid=XP_011270376.1","1E-124")</f>
        <v>1E-124</v>
      </c>
      <c r="BJ346" s="2" t="str">
        <f>HYPERLINK("http://www.ncbi.nlm.nih.gov/protein/XP_011270376.1","XP_011270376.1")</f>
        <v>XP_011270376.1</v>
      </c>
      <c r="BK346" s="2">
        <v>38</v>
      </c>
      <c r="BL346" s="2">
        <v>57</v>
      </c>
      <c r="BM346" s="2">
        <v>86</v>
      </c>
      <c r="BN346" s="2" t="s">
        <v>106</v>
      </c>
      <c r="BO346" s="9" t="str">
        <f>HYPERLINK(".\links\SWISSP\AGAP012154-PA-SWISSP.txt","Peptide transporter family 1")</f>
        <v>Peptide transporter family 1</v>
      </c>
      <c r="BP346" s="2" t="str">
        <f>HYPERLINK("http://www.uniprot.org/uniprot/P91679","1E-179")</f>
        <v>1E-179</v>
      </c>
      <c r="BQ346" s="2" t="str">
        <f>HYPERLINK("http://www.uniprot.org/uniprot/P91679#expression","P91679")</f>
        <v>P91679</v>
      </c>
      <c r="BR346" s="2">
        <v>47</v>
      </c>
      <c r="BS346" s="2">
        <v>63</v>
      </c>
      <c r="BT346" s="2">
        <v>98</v>
      </c>
      <c r="BU346" s="2" t="s">
        <v>107</v>
      </c>
      <c r="BV346" s="9" t="str">
        <f>HYPERLINK(".\links\FLYBASE\AGAP012154-PA-FLYBASE.txt","FBpp0309176")</f>
        <v>FBpp0309176</v>
      </c>
      <c r="BW346" s="2" t="str">
        <f>HYPERLINK("http://flybase.org/reports/FBgn0028491#alliance_summary_container","0.0")</f>
        <v>0.0</v>
      </c>
      <c r="BX346" s="2">
        <v>815</v>
      </c>
      <c r="BY346" s="2">
        <v>54</v>
      </c>
      <c r="BZ346" s="2">
        <v>68</v>
      </c>
      <c r="CA346" s="2">
        <v>85</v>
      </c>
      <c r="CB346" s="9" t="str">
        <f>HYPERLINK(".\links\CDD\AGAP012154-PA-CDD.txt","Peptide_transporter_family_1, Peptide:H+ symporter (also transports b-lactam antibiotics, the antitumor agent, bestatin, and various protease inhibitors)")</f>
        <v>Peptide_transporter_family_1, Peptide:H+ symporter (also transports b-lactam antibiotics, the antitumor agent, bestatin, and various protease inhibitors)</v>
      </c>
      <c r="CC346" s="15">
        <v>9.9999999999999992E-164</v>
      </c>
      <c r="CD346" s="2">
        <v>101.2</v>
      </c>
      <c r="CE346" s="2" t="s">
        <v>3741</v>
      </c>
      <c r="CF346" s="2" t="s">
        <v>3742</v>
      </c>
      <c r="CG346" s="9" t="str">
        <f>HYPERLINK(".\links\KOG\AGAP012154-PA-KOG.txt","H+/oligopeptide symporter")</f>
        <v>H+/oligopeptide symporter</v>
      </c>
      <c r="CH346" s="15">
        <v>4.9999999999999998E-58</v>
      </c>
      <c r="CI346" s="2">
        <v>72</v>
      </c>
      <c r="CJ346" s="2" t="s">
        <v>3743</v>
      </c>
      <c r="CK346" s="2" t="s">
        <v>267</v>
      </c>
      <c r="CL346" s="9" t="str">
        <f>HYPERLINK(".\links\PFAM\AGAP012154-PA-PFAM.txt","PTR2, POT family")</f>
        <v>PTR2, POT family</v>
      </c>
      <c r="CM346" s="15">
        <v>2E-79</v>
      </c>
      <c r="CN346" s="2">
        <v>84.9</v>
      </c>
      <c r="CO346" s="2" t="s">
        <v>3744</v>
      </c>
      <c r="CP346" s="9" t="str">
        <f>HYPERLINK(".\links\SMART\AGAP012154-PA-SMART.txt","CUB, Domain first found in C1r, C1s, uEGF, and bone morphogenetic protein")</f>
        <v>CUB, Domain first found in C1r, C1s, uEGF, and bone morphogenetic protein</v>
      </c>
      <c r="CQ346" s="15">
        <v>3.3</v>
      </c>
      <c r="CR346" s="2">
        <v>42.2</v>
      </c>
      <c r="CS346" s="2" t="s">
        <v>3745</v>
      </c>
      <c r="CT346" s="2" t="s">
        <v>3738</v>
      </c>
      <c r="CU346" s="2" t="s">
        <v>3738</v>
      </c>
      <c r="CV346" s="2" t="s">
        <v>3738</v>
      </c>
      <c r="CW346" s="2" t="str">
        <f>HYPERLINK(".\links\pep\AGAP012154-PA-pep.txt","AGAP012154-PA")</f>
        <v>AGAP012154-PA</v>
      </c>
      <c r="CX346" s="2" t="s">
        <v>95</v>
      </c>
      <c r="CY346" s="2">
        <v>725</v>
      </c>
      <c r="CZ346" s="2" t="s">
        <v>113</v>
      </c>
      <c r="DA346" s="2" t="s">
        <v>3746</v>
      </c>
      <c r="DB346" s="2">
        <v>0</v>
      </c>
      <c r="DC346" s="2">
        <v>1</v>
      </c>
      <c r="DD346" s="2" t="str">
        <f>HYPERLINK("https://www.kegg.jp/kegg-bin/search_pathway_text?map=aga&amp;keyword=AGAP012154&amp;mode=1&amp;viewImage=true","AGAP012154")</f>
        <v>AGAP012154</v>
      </c>
      <c r="DE346" s="2" t="s">
        <v>3734</v>
      </c>
      <c r="DF346" s="2" t="s">
        <v>3735</v>
      </c>
      <c r="DG346" s="2" t="s">
        <v>94</v>
      </c>
      <c r="DH346" s="2" t="str">
        <f>HYPERLINK("https://vectorbase.org/vectorbase/app/record/gene/AGAP012154","AGAP012154-RA")</f>
        <v>AGAP012154-RA</v>
      </c>
      <c r="DI346" s="2" t="s">
        <v>118</v>
      </c>
      <c r="DJ346" s="2">
        <v>2947</v>
      </c>
      <c r="DK346" s="2" t="str">
        <f>HYPERLINK(".\links\netoglyc\AGAP012154-PA-netoglyc.txt","1")</f>
        <v>1</v>
      </c>
      <c r="DL346" s="2">
        <v>14.1</v>
      </c>
      <c r="DM346" s="2">
        <v>7.3</v>
      </c>
      <c r="DN346" s="2">
        <v>4.5999999999999996</v>
      </c>
      <c r="DO346" s="2" t="s">
        <v>104</v>
      </c>
      <c r="DP346" s="2" t="s">
        <v>3747</v>
      </c>
      <c r="DQ346" s="2" t="str">
        <f>HYPERLINK(".\links\Sigp\AGAP012154-PA-SigP.txt","CYT")</f>
        <v>CYT</v>
      </c>
      <c r="DR346" s="2" t="s">
        <v>102</v>
      </c>
      <c r="DS346" s="2">
        <v>79.790000000000006</v>
      </c>
      <c r="DT346" s="2">
        <v>6.41</v>
      </c>
      <c r="DU346" s="2" t="s">
        <v>102</v>
      </c>
      <c r="DV346" s="2" t="s">
        <v>102</v>
      </c>
      <c r="DW346" s="2" t="s">
        <v>3740</v>
      </c>
      <c r="DX346" s="2">
        <v>725</v>
      </c>
      <c r="DY346" s="12" t="str">
        <f>HYPERLINK(".\links\tmhmm\AGAP012154-PA-tmhmm.txt","11")</f>
        <v>11</v>
      </c>
      <c r="DZ346" s="2">
        <v>31.7</v>
      </c>
      <c r="EA346" s="2">
        <v>46.1</v>
      </c>
      <c r="EB346" s="2">
        <v>22.2</v>
      </c>
      <c r="EC346" s="2" t="str">
        <f>HYPERLINK(".\links\gpi\AGAP012154-PA-gpi.txt","N")</f>
        <v>N</v>
      </c>
      <c r="ED346" s="2">
        <v>0.25</v>
      </c>
      <c r="EF346" s="2">
        <v>8</v>
      </c>
      <c r="EG346" s="2" t="s">
        <v>102</v>
      </c>
      <c r="EH346" s="2" t="s">
        <v>102</v>
      </c>
      <c r="EI346" s="2">
        <v>14.0689655172414</v>
      </c>
      <c r="EJ346" s="2">
        <v>4.5517241379310303</v>
      </c>
      <c r="EK346" s="2">
        <v>7.31034482758621</v>
      </c>
      <c r="EL346" s="2">
        <v>11.862068965517199</v>
      </c>
      <c r="EM346" s="2">
        <v>1</v>
      </c>
      <c r="EN346" s="2">
        <v>2</v>
      </c>
      <c r="EO346" s="2">
        <v>3</v>
      </c>
      <c r="EP346" s="2" t="s">
        <v>102</v>
      </c>
      <c r="EQ346" s="2" t="s">
        <v>102</v>
      </c>
      <c r="ER346" s="2" t="s">
        <v>102</v>
      </c>
      <c r="ES346" s="2" t="s">
        <v>102</v>
      </c>
      <c r="ET346" s="2" t="str">
        <f>HYPERLINK(".\links\REFSEQ-INVERTEBRATE\AGAP012154-PA-REFSEQ-INVERTEBRATE.txt","AGAP012154-PA, partial")</f>
        <v>AGAP012154-PA, partial</v>
      </c>
      <c r="EU346" s="2" t="str">
        <f>HYPERLINK("http://www.ncbi.nlm.nih.gov/sutils/blink.cgi?pid=XP_320378.4","0.0")</f>
        <v>0.0</v>
      </c>
      <c r="EV346" s="2" t="str">
        <f>HYPERLINK("http://www.ncbi.nlm.nih.gov/protein/XP_320378.4","XP_320378.4")</f>
        <v>XP_320378.4</v>
      </c>
      <c r="EW346" s="2">
        <v>100</v>
      </c>
      <c r="EX346" s="2">
        <v>100</v>
      </c>
      <c r="EY346" s="2">
        <v>100</v>
      </c>
      <c r="EZ346" s="2" t="s">
        <v>105</v>
      </c>
    </row>
    <row r="347" spans="1:156" x14ac:dyDescent="0.25">
      <c r="A347" s="2" t="s">
        <v>3748</v>
      </c>
      <c r="B347" s="2">
        <v>-0.27397070627248199</v>
      </c>
      <c r="C347" s="2">
        <f t="shared" si="5"/>
        <v>0.82704016121130053</v>
      </c>
      <c r="D347" s="2">
        <v>6.0594025091174304</v>
      </c>
      <c r="E347" s="2">
        <v>13.2196662317196</v>
      </c>
      <c r="F347" s="2">
        <v>2.7702694583089298E-4</v>
      </c>
      <c r="G347" s="2">
        <v>1.8699318843585298E-2</v>
      </c>
      <c r="H347" s="2" t="s">
        <v>93</v>
      </c>
      <c r="I347" s="2" t="s">
        <v>94</v>
      </c>
      <c r="J347" s="2" t="str">
        <f>HYPERLINK("https://vectorbase.org/vectorbase/app/record/gene/AGAP001225","AGAP001225-RA")</f>
        <v>AGAP001225-RA</v>
      </c>
      <c r="K347" s="2" t="str">
        <f>HYPERLINK(".\links\pep\AGAP001225-PA-pep.txt","AGAP001225-PA")</f>
        <v>AGAP001225-PA</v>
      </c>
      <c r="L347" s="12" t="s">
        <v>95</v>
      </c>
      <c r="M347" s="2">
        <v>1150</v>
      </c>
      <c r="N347" s="2">
        <v>0</v>
      </c>
      <c r="O347" s="2">
        <v>5</v>
      </c>
      <c r="P347" s="2" t="s">
        <v>102</v>
      </c>
      <c r="Q347" s="9" t="s">
        <v>3749</v>
      </c>
      <c r="R347" s="2" t="s">
        <v>196</v>
      </c>
      <c r="S347" s="2" t="str">
        <f>HYPERLINK(".\links\REFSEQ-INVERTEBRATE\AGAP001225-PA-REFSEQ-INVERTEBRATE.txt","REFSEQ-INVERTEBRATE")</f>
        <v>REFSEQ-INVERTEBRATE</v>
      </c>
      <c r="T347" s="2">
        <v>0</v>
      </c>
      <c r="U347" s="2">
        <v>100</v>
      </c>
      <c r="V347" s="2" t="s">
        <v>3750</v>
      </c>
      <c r="W347" s="10" t="s">
        <v>3751</v>
      </c>
      <c r="X347" s="2" t="s">
        <v>196</v>
      </c>
      <c r="Y347" s="2" t="str">
        <f>HYPERLINK(".\links\ARTHORPODA\AGAP001225-PA-ARTHORPODA.txt","ARTHORPODA")</f>
        <v>ARTHORPODA</v>
      </c>
      <c r="Z347" s="2">
        <v>0</v>
      </c>
      <c r="AA347" s="2">
        <v>99.8</v>
      </c>
      <c r="AB347" s="13" t="str">
        <f>HYPERLINK(".\links\pep\AGAP001225-PA-sulf.txt","4")</f>
        <v>4</v>
      </c>
      <c r="AC347" s="13" t="str">
        <f>HYPERLINK(".\links\Sigp\AGAP001225-PA-SigP.txt","CYT")</f>
        <v>CYT</v>
      </c>
      <c r="AD347" s="2" t="s">
        <v>102</v>
      </c>
      <c r="AE347" s="2">
        <v>122.322</v>
      </c>
      <c r="AF347" s="2">
        <v>5.81</v>
      </c>
      <c r="AG347" s="2" t="s">
        <v>102</v>
      </c>
      <c r="AH347" s="2" t="s">
        <v>102</v>
      </c>
      <c r="AI347" s="2" t="s">
        <v>611</v>
      </c>
      <c r="AJ347" s="13">
        <v>0</v>
      </c>
      <c r="AK347" s="2" t="s">
        <v>102</v>
      </c>
      <c r="AL347" s="2" t="s">
        <v>102</v>
      </c>
      <c r="AM347" s="2" t="s">
        <v>102</v>
      </c>
      <c r="AN347" s="13" t="str">
        <f>HYPERLINK(".\links\gpi\AGAP001225-PA-gpi.txt","N")</f>
        <v>N</v>
      </c>
      <c r="AO347" s="14" t="str">
        <f>HYPERLINK(".\links\netoglyc\AGAP001225-PA-netoglyc.txt","14")</f>
        <v>14</v>
      </c>
      <c r="AP347" s="13">
        <v>19.600000000000001</v>
      </c>
      <c r="AQ347" s="2">
        <v>7</v>
      </c>
      <c r="AR347" s="2">
        <v>7.6</v>
      </c>
      <c r="AS347" s="2" t="s">
        <v>104</v>
      </c>
      <c r="AT347" s="9" t="str">
        <f>HYPERLINK(".\links\NR-LIGHT\AGAP001225-PA-NR-LIGHT.txt","AGAP001225-PA")</f>
        <v>AGAP001225-PA</v>
      </c>
      <c r="AU347" s="2" t="str">
        <f>HYPERLINK("http://www.ncbi.nlm.nih.gov/sutils/blink.cgi?pid=XP_321932.5","0.0")</f>
        <v>0.0</v>
      </c>
      <c r="AV347" s="2" t="str">
        <f>HYPERLINK("http://www.ncbi.nlm.nih.gov/protein/XP_321932.5","XP_321932.5")</f>
        <v>XP_321932.5</v>
      </c>
      <c r="AW347" s="2">
        <v>100</v>
      </c>
      <c r="AX347" s="2">
        <v>100</v>
      </c>
      <c r="AY347" s="2">
        <v>100</v>
      </c>
      <c r="AZ347" s="2" t="s">
        <v>105</v>
      </c>
      <c r="BA347" s="9" t="str">
        <f>HYPERLINK(".\links\REFSEQ-INVERTEBRATE\AGAP001225-PA-REFSEQ-INVERTEBRATE.txt","AGAP001225-PA")</f>
        <v>AGAP001225-PA</v>
      </c>
      <c r="BB347" s="2" t="str">
        <f>HYPERLINK("http://www.ncbi.nlm.nih.gov/sutils/blink.cgi?pid=XP_321932.5","0.0")</f>
        <v>0.0</v>
      </c>
      <c r="BC347" s="2" t="str">
        <f>HYPERLINK("http://www.ncbi.nlm.nih.gov/protein/XP_321932.5","XP_321932.5")</f>
        <v>XP_321932.5</v>
      </c>
      <c r="BD347" s="2">
        <v>100</v>
      </c>
      <c r="BE347" s="2">
        <v>100</v>
      </c>
      <c r="BF347" s="2">
        <v>100</v>
      </c>
      <c r="BG347" s="2" t="s">
        <v>105</v>
      </c>
      <c r="BH347" s="9" t="str">
        <f>HYPERLINK(".\links\REFSEQ-PROTOZOA\AGAP001225-PA-REFSEQ-PROTOZOA.txt","proteophosphoglycan ppg1")</f>
        <v>proteophosphoglycan ppg1</v>
      </c>
      <c r="BI347" s="2" t="str">
        <f>HYPERLINK("http://www.ncbi.nlm.nih.gov/sutils/blink.cgi?pid=XP_003879053.1","8E-013")</f>
        <v>8E-013</v>
      </c>
      <c r="BJ347" s="2" t="str">
        <f>HYPERLINK("http://www.ncbi.nlm.nih.gov/protein/XP_003879053.1","XP_003879053.1")</f>
        <v>XP_003879053.1</v>
      </c>
      <c r="BK347" s="2">
        <v>17</v>
      </c>
      <c r="BL347" s="2">
        <v>33</v>
      </c>
      <c r="BM347" s="2">
        <v>56</v>
      </c>
      <c r="BN347" s="2" t="s">
        <v>448</v>
      </c>
      <c r="BO347" s="9" t="str">
        <f>HYPERLINK(".\links\SWISSP\AGAP001225-PA-SWISSP.txt","Serine-rich adhesin for platelets")</f>
        <v>Serine-rich adhesin for platelets</v>
      </c>
      <c r="BP347" s="2" t="str">
        <f>HYPERLINK("http://www.uniprot.org/uniprot/Q4L9P0","1E-007")</f>
        <v>1E-007</v>
      </c>
      <c r="BQ347" s="2" t="str">
        <f>HYPERLINK("http://www.uniprot.org/uniprot/Q4L9P0#expression","Q4L9P0")</f>
        <v>Q4L9P0</v>
      </c>
      <c r="BR347" s="2">
        <v>16</v>
      </c>
      <c r="BS347" s="2">
        <v>34</v>
      </c>
      <c r="BT347" s="2">
        <v>32</v>
      </c>
      <c r="BU347" s="2" t="s">
        <v>3752</v>
      </c>
      <c r="BV347" s="9" t="str">
        <f>HYPERLINK(".\links\FLYBASE\AGAP001225-PA-FLYBASE.txt","FBpp0309286")</f>
        <v>FBpp0309286</v>
      </c>
      <c r="BW347" s="2" t="str">
        <f>HYPERLINK("http://flybase.org/reports/FBgn0015772#alliance_summary_container","4E-43")</f>
        <v>4E-43</v>
      </c>
      <c r="BX347" s="2">
        <v>1488</v>
      </c>
      <c r="BY347" s="2">
        <v>30</v>
      </c>
      <c r="BZ347" s="2">
        <v>41</v>
      </c>
      <c r="CA347" s="2">
        <v>44</v>
      </c>
      <c r="CB347" s="9" t="str">
        <f>HYPERLINK(".\links\CDD\AGAP001225-PA-CDD.txt","PRK07994, DNA polymerase III subunits gamma and tau")</f>
        <v>PRK07994, DNA polymerase III subunits gamma and tau</v>
      </c>
      <c r="CC347" s="15">
        <v>4.7E-2</v>
      </c>
      <c r="CD347" s="2">
        <v>15.9</v>
      </c>
      <c r="CE347" s="2" t="s">
        <v>3753</v>
      </c>
      <c r="CF347" s="2" t="s">
        <v>3754</v>
      </c>
      <c r="CG347" s="9" t="str">
        <f>HYPERLINK(".\links\KOG\AGAP001225-PA-KOG.txt","ARK protein kinase family")</f>
        <v>ARK protein kinase family</v>
      </c>
      <c r="CH347" s="15">
        <v>2.0000000000000001E-4</v>
      </c>
      <c r="CI347" s="2">
        <v>29</v>
      </c>
      <c r="CJ347" s="2" t="s">
        <v>3755</v>
      </c>
      <c r="CK347" s="2" t="s">
        <v>173</v>
      </c>
      <c r="CL347" s="9" t="str">
        <f>HYPERLINK(".\links\PFAM\AGAP001225-PA-PFAM.txt","PARM, PARM")</f>
        <v>PARM, PARM</v>
      </c>
      <c r="CM347" s="15">
        <v>0.35</v>
      </c>
      <c r="CN347" s="2">
        <v>44.6</v>
      </c>
      <c r="CO347" s="2" t="s">
        <v>3756</v>
      </c>
      <c r="CP347" s="9" t="str">
        <f>HYPERLINK(".\links\SMART\AGAP001225-PA-SMART.txt","SF_P, Pulmonary surfactant proteins")</f>
        <v>SF_P, Pulmonary surfactant proteins</v>
      </c>
      <c r="CQ347" s="15">
        <v>2.8</v>
      </c>
      <c r="CR347" s="2">
        <v>26.7</v>
      </c>
      <c r="CS347" s="2" t="s">
        <v>3757</v>
      </c>
      <c r="CT347" s="2" t="s">
        <v>3750</v>
      </c>
      <c r="CU347" s="2" t="s">
        <v>3750</v>
      </c>
      <c r="CV347" s="2" t="s">
        <v>3750</v>
      </c>
      <c r="CW347" s="2" t="str">
        <f>HYPERLINK(".\links\pep\AGAP001225-PA-pep.txt","AGAP001225-PA")</f>
        <v>AGAP001225-PA</v>
      </c>
      <c r="CX347" s="2" t="s">
        <v>95</v>
      </c>
      <c r="CY347" s="2">
        <v>1150</v>
      </c>
      <c r="CZ347" s="2" t="s">
        <v>113</v>
      </c>
      <c r="DA347" s="2" t="s">
        <v>3758</v>
      </c>
      <c r="DB347" s="2">
        <v>0</v>
      </c>
      <c r="DC347" s="2">
        <v>5</v>
      </c>
      <c r="DD347" s="2" t="str">
        <f>HYPERLINK("https://www.kegg.jp/kegg-bin/search_pathway_text?map=aga&amp;keyword=AGAP001225&amp;mode=1&amp;viewImage=true","AGAP001225")</f>
        <v>AGAP001225</v>
      </c>
      <c r="DE347" s="2" t="s">
        <v>3748</v>
      </c>
      <c r="DF347" s="2" t="s">
        <v>93</v>
      </c>
      <c r="DG347" s="2" t="s">
        <v>94</v>
      </c>
      <c r="DH347" s="2" t="str">
        <f>HYPERLINK("https://vectorbase.org/vectorbase/app/record/gene/AGAP001225","AGAP001225-RA")</f>
        <v>AGAP001225-RA</v>
      </c>
      <c r="DI347" s="2" t="s">
        <v>90</v>
      </c>
      <c r="DJ347" s="2">
        <v>4434</v>
      </c>
      <c r="DK347" s="2" t="str">
        <f>HYPERLINK(".\links\netoglyc\AGAP001225-PA-netoglyc.txt","14")</f>
        <v>14</v>
      </c>
      <c r="DL347" s="2">
        <v>19.600000000000001</v>
      </c>
      <c r="DM347" s="2">
        <v>7</v>
      </c>
      <c r="DN347" s="2">
        <v>7.6</v>
      </c>
      <c r="DO347" s="2" t="s">
        <v>104</v>
      </c>
      <c r="DP347" s="2" t="s">
        <v>102</v>
      </c>
      <c r="DQ347" s="2" t="str">
        <f>HYPERLINK(".\links\Sigp\AGAP001225-PA-SigP.txt","CYT")</f>
        <v>CYT</v>
      </c>
      <c r="DR347" s="2" t="s">
        <v>102</v>
      </c>
      <c r="DS347" s="2">
        <v>122.322</v>
      </c>
      <c r="DT347" s="2">
        <v>5.81</v>
      </c>
      <c r="DU347" s="2" t="s">
        <v>102</v>
      </c>
      <c r="DV347" s="2" t="s">
        <v>102</v>
      </c>
      <c r="DW347" s="2" t="s">
        <v>611</v>
      </c>
      <c r="DX347" s="2">
        <v>1150</v>
      </c>
      <c r="DY347" s="12">
        <v>0</v>
      </c>
      <c r="DZ347" s="2" t="s">
        <v>102</v>
      </c>
      <c r="EA347" s="2" t="s">
        <v>102</v>
      </c>
      <c r="EB347" s="2" t="s">
        <v>102</v>
      </c>
      <c r="EC347" s="2" t="str">
        <f>HYPERLINK(".\links\gpi\AGAP001225-PA-gpi.txt","Y-NoSP")</f>
        <v>Y-NoSP</v>
      </c>
      <c r="ED347" s="2">
        <v>0.23</v>
      </c>
      <c r="EF347" s="2">
        <v>12</v>
      </c>
      <c r="EG347" s="2" t="str">
        <f>HYPERLINK(".\links\pep\AGAP001225-PA-sulf.txt","4")</f>
        <v>4</v>
      </c>
      <c r="EH347" s="2" t="s">
        <v>102</v>
      </c>
      <c r="EI347" s="2">
        <v>19.565217391304301</v>
      </c>
      <c r="EJ347" s="2">
        <v>7.5652173913043503</v>
      </c>
      <c r="EK347" s="2">
        <v>7.0434782608695699</v>
      </c>
      <c r="EL347" s="2">
        <v>14.6086956521739</v>
      </c>
      <c r="EM347" s="2" t="s">
        <v>102</v>
      </c>
      <c r="EN347" s="2">
        <v>5</v>
      </c>
      <c r="EO347" s="2">
        <v>5</v>
      </c>
      <c r="EP347" s="2" t="s">
        <v>102</v>
      </c>
      <c r="EQ347" s="2" t="s">
        <v>102</v>
      </c>
      <c r="ER347" s="2" t="s">
        <v>102</v>
      </c>
      <c r="ES347" s="2" t="s">
        <v>102</v>
      </c>
      <c r="ET347" s="2" t="str">
        <f>HYPERLINK(".\links\REFSEQ-INVERTEBRATE\AGAP001225-PA-REFSEQ-INVERTEBRATE.txt","AGAP001225-PA")</f>
        <v>AGAP001225-PA</v>
      </c>
      <c r="EU347" s="2" t="str">
        <f>HYPERLINK("http://www.ncbi.nlm.nih.gov/sutils/blink.cgi?pid=XP_321932.5","0.0")</f>
        <v>0.0</v>
      </c>
      <c r="EV347" s="2" t="str">
        <f>HYPERLINK("http://www.ncbi.nlm.nih.gov/protein/XP_321932.5","XP_321932.5")</f>
        <v>XP_321932.5</v>
      </c>
      <c r="EW347" s="2">
        <v>100</v>
      </c>
      <c r="EX347" s="2">
        <v>100</v>
      </c>
      <c r="EY347" s="2">
        <v>100</v>
      </c>
      <c r="EZ347" s="2" t="s">
        <v>105</v>
      </c>
    </row>
    <row r="348" spans="1:156" x14ac:dyDescent="0.25">
      <c r="A348" s="2" t="s">
        <v>3759</v>
      </c>
      <c r="B348" s="2">
        <v>-0.27554634262389699</v>
      </c>
      <c r="C348" s="2">
        <f t="shared" si="5"/>
        <v>0.8261374041023789</v>
      </c>
      <c r="D348" s="2">
        <v>7.17770892289405</v>
      </c>
      <c r="E348" s="2">
        <v>9.1702985980702891</v>
      </c>
      <c r="F348" s="2">
        <v>2.4597443325961601E-3</v>
      </c>
      <c r="G348" s="2">
        <v>4.6616885380259897E-2</v>
      </c>
      <c r="H348" s="2" t="s">
        <v>93</v>
      </c>
      <c r="I348" s="2" t="s">
        <v>94</v>
      </c>
      <c r="J348" s="2" t="str">
        <f>HYPERLINK("https://vectorbase.org/vectorbase/app/record/gene/AGAP011517","AGAP011517-RA")</f>
        <v>AGAP011517-RA</v>
      </c>
      <c r="K348" s="2" t="str">
        <f>HYPERLINK(".\links\pep\AGAP011517-PA-pep.txt","AGAP011517-PA")</f>
        <v>AGAP011517-PA</v>
      </c>
      <c r="L348" s="12" t="s">
        <v>95</v>
      </c>
      <c r="M348" s="2">
        <v>885</v>
      </c>
      <c r="N348" s="2">
        <v>0</v>
      </c>
      <c r="O348" s="2">
        <v>1</v>
      </c>
      <c r="P348" s="2" t="s">
        <v>102</v>
      </c>
      <c r="Q348" s="9" t="s">
        <v>3760</v>
      </c>
      <c r="R348" s="2" t="s">
        <v>3761</v>
      </c>
      <c r="S348" s="2" t="str">
        <f>HYPERLINK(".\links\REFSEQ-INVERTEBRATE\AGAP011517-PA-REFSEQ-INVERTEBRATE.txt","REFSEQ-INVERTEBRATE")</f>
        <v>REFSEQ-INVERTEBRATE</v>
      </c>
      <c r="T348" s="2">
        <v>0</v>
      </c>
      <c r="U348" s="2">
        <v>117.6</v>
      </c>
      <c r="V348" s="2" t="s">
        <v>3762</v>
      </c>
      <c r="W348" s="10" t="s">
        <v>3763</v>
      </c>
      <c r="X348" s="2" t="s">
        <v>3764</v>
      </c>
      <c r="Y348" s="2" t="str">
        <f>HYPERLINK(".\links\REFSEQ-INVERTEBRATE\AGAP011517-PA-REFSEQ-INVERTEBRATE.txt","REFSEQ-INVERTEBRATE")</f>
        <v>REFSEQ-INVERTEBRATE</v>
      </c>
      <c r="Z348" s="2">
        <v>0</v>
      </c>
      <c r="AA348" s="2">
        <v>105</v>
      </c>
      <c r="AB348" s="13" t="str">
        <f>HYPERLINK(".\links\pep\AGAP011517-PA-sulf.txt","3")</f>
        <v>3</v>
      </c>
      <c r="AC348" s="13" t="str">
        <f>HYPERLINK(".\links\Sigp\AGAP011517-PA-SigP.txt","BL")</f>
        <v>BL</v>
      </c>
      <c r="AD348" s="2" t="s">
        <v>3765</v>
      </c>
      <c r="AE348" s="2">
        <v>95.724999999999994</v>
      </c>
      <c r="AF348" s="2">
        <v>5.0999999999999996</v>
      </c>
      <c r="AG348" s="2">
        <v>85.417000000000002</v>
      </c>
      <c r="AH348" s="2">
        <v>4.76</v>
      </c>
      <c r="AI348" s="2" t="s">
        <v>3766</v>
      </c>
      <c r="AJ348" s="13" t="str">
        <f>HYPERLINK(".\links\tmhmm\AGAP011517-PA-tmhmm.txt","1")</f>
        <v>1</v>
      </c>
      <c r="AK348" s="2">
        <v>2.5</v>
      </c>
      <c r="AL348" s="2">
        <v>89.5</v>
      </c>
      <c r="AM348" s="2">
        <v>8</v>
      </c>
      <c r="AN348" s="13" t="str">
        <f>HYPERLINK(".\links\gpi\AGAP011517-PA-gpi.txt","N")</f>
        <v>N</v>
      </c>
      <c r="AO348" s="14" t="str">
        <f>HYPERLINK(".\links\netoglyc\AGAP011517-PA-netoglyc.txt","33")</f>
        <v>33</v>
      </c>
      <c r="AP348" s="13">
        <v>23.2</v>
      </c>
      <c r="AQ348" s="2">
        <v>5</v>
      </c>
      <c r="AR348" s="2">
        <v>8.1</v>
      </c>
      <c r="AS348" s="2" t="s">
        <v>104</v>
      </c>
      <c r="AT348" s="9" t="str">
        <f>HYPERLINK(".\links\NR-LIGHT\AGAP011517-PA-NR-LIGHT.txt","AGAP011517-PA, partial")</f>
        <v>AGAP011517-PA, partial</v>
      </c>
      <c r="AU348" s="2" t="str">
        <f>HYPERLINK("http://www.ncbi.nlm.nih.gov/sutils/blink.cgi?pid=XP_001688625.1","0.0")</f>
        <v>0.0</v>
      </c>
      <c r="AV348" s="2" t="str">
        <f>HYPERLINK("http://www.ncbi.nlm.nih.gov/protein/XP_001688625.1","XP_001688625.1")</f>
        <v>XP_001688625.1</v>
      </c>
      <c r="AW348" s="2">
        <v>89</v>
      </c>
      <c r="AX348" s="2">
        <v>89</v>
      </c>
      <c r="AY348" s="2">
        <v>111</v>
      </c>
      <c r="AZ348" s="2" t="s">
        <v>105</v>
      </c>
      <c r="BA348" s="9" t="str">
        <f>HYPERLINK(".\links\REFSEQ-INVERTEBRATE\AGAP011517-PA-REFSEQ-INVERTEBRATE.txt","AGAP011517-PA, partial")</f>
        <v>AGAP011517-PA, partial</v>
      </c>
      <c r="BB348" s="2" t="str">
        <f>HYPERLINK("http://www.ncbi.nlm.nih.gov/sutils/blink.cgi?pid=XP_001688625.1","0.0")</f>
        <v>0.0</v>
      </c>
      <c r="BC348" s="2" t="str">
        <f>HYPERLINK("http://www.ncbi.nlm.nih.gov/protein/XP_001688625.1","XP_001688625.1")</f>
        <v>XP_001688625.1</v>
      </c>
      <c r="BD348" s="2">
        <v>89</v>
      </c>
      <c r="BE348" s="2">
        <v>89</v>
      </c>
      <c r="BF348" s="2">
        <v>111</v>
      </c>
      <c r="BG348" s="2" t="s">
        <v>105</v>
      </c>
      <c r="BH348" s="9" t="str">
        <f>HYPERLINK(".\links\REFSEQ-PROTOZOA\AGAP011517-PA-REFSEQ-PROTOZOA.txt","flocculin")</f>
        <v>flocculin</v>
      </c>
      <c r="BI348" s="2" t="str">
        <f>HYPERLINK("http://www.ncbi.nlm.nih.gov/sutils/blink.cgi?pid=XP_001308251.1","3E-016")</f>
        <v>3E-016</v>
      </c>
      <c r="BJ348" s="2" t="str">
        <f>HYPERLINK("http://www.ncbi.nlm.nih.gov/protein/XP_001308251.1","XP_001308251.1")</f>
        <v>XP_001308251.1</v>
      </c>
      <c r="BK348" s="2">
        <v>19</v>
      </c>
      <c r="BL348" s="2">
        <v>35</v>
      </c>
      <c r="BM348" s="2">
        <v>34</v>
      </c>
      <c r="BN348" s="2" t="s">
        <v>292</v>
      </c>
      <c r="BO348" s="9" t="str">
        <f>HYPERLINK(".\links\SWISSP\AGAP011517-PA-SWISSP.txt","Eukaryotic translation initiation factor 4 gamma")</f>
        <v>Eukaryotic translation initiation factor 4 gamma</v>
      </c>
      <c r="BP348" s="2" t="str">
        <f>HYPERLINK("http://www.uniprot.org/uniprot/Q553R3","7E-015")</f>
        <v>7E-015</v>
      </c>
      <c r="BQ348" s="2" t="str">
        <f>HYPERLINK("http://www.uniprot.org/uniprot/Q553R3#expression","Q553R3")</f>
        <v>Q553R3</v>
      </c>
      <c r="BR348" s="2">
        <v>22</v>
      </c>
      <c r="BS348" s="2">
        <v>37</v>
      </c>
      <c r="BT348" s="2">
        <v>39</v>
      </c>
      <c r="BU348" s="2" t="s">
        <v>1919</v>
      </c>
      <c r="BV348" s="9" t="str">
        <f>HYPERLINK(".\links\FLYBASE\AGAP011517-PA-FLYBASE.txt","FBpp0305384")</f>
        <v>FBpp0305384</v>
      </c>
      <c r="BW348" s="2" t="str">
        <f>HYPERLINK("http://flybase.org/reports/FBgn0000719#alliance_summary_container","1E-08")</f>
        <v>1E-08</v>
      </c>
      <c r="BX348" s="2">
        <v>730</v>
      </c>
      <c r="BY348" s="2">
        <v>33</v>
      </c>
      <c r="BZ348" s="2">
        <v>47</v>
      </c>
      <c r="CA348" s="2">
        <v>18</v>
      </c>
      <c r="CB348" s="9" t="str">
        <f>HYPERLINK(".\links\CDD\AGAP011517-PA-CDD.txt","FOG_N, Folded gastrulation N-terminus")</f>
        <v>FOG_N, Folded gastrulation N-terminus</v>
      </c>
      <c r="CC348" s="15">
        <v>1.0000000000000001E-32</v>
      </c>
      <c r="CD348" s="2">
        <v>90.2</v>
      </c>
      <c r="CE348" s="2" t="s">
        <v>3767</v>
      </c>
      <c r="CF348" s="2" t="s">
        <v>3768</v>
      </c>
      <c r="CG348" s="9" t="str">
        <f>HYPERLINK(".\links\KOG\AGAP011517-PA-KOG.txt","Neurexin III-alpha")</f>
        <v>Neurexin III-alpha</v>
      </c>
      <c r="CH348" s="15">
        <v>1E-4</v>
      </c>
      <c r="CI348" s="2">
        <v>18.2</v>
      </c>
      <c r="CJ348" s="2" t="s">
        <v>3769</v>
      </c>
      <c r="CK348" s="2" t="s">
        <v>173</v>
      </c>
      <c r="CL348" s="9" t="str">
        <f>HYPERLINK(".\links\PFAM\AGAP011517-PA-PFAM.txt","FOG_N, Folded gastrulation N-terminus")</f>
        <v>FOG_N, Folded gastrulation N-terminus</v>
      </c>
      <c r="CM348" s="15">
        <v>2.0000000000000001E-33</v>
      </c>
      <c r="CN348" s="2">
        <v>90.2</v>
      </c>
      <c r="CO348" s="2" t="s">
        <v>3767</v>
      </c>
      <c r="CP348" s="9" t="str">
        <f>HYPERLINK(".\links\SMART\AGAP011517-PA-SMART.txt","CPW_WPC, This group of sequences is defined by a domain of about 61 residues in length with six well-conserved cysteine residues and six well-conserved aromatic sites")</f>
        <v>CPW_WPC, This group of sequences is defined by a domain of about 61 residues in length with six well-conserved cysteine residues and six well-conserved aromatic sites</v>
      </c>
      <c r="CQ348" s="15">
        <v>0.34</v>
      </c>
      <c r="CR348" s="2">
        <v>48.3</v>
      </c>
      <c r="CS348" s="2" t="s">
        <v>3770</v>
      </c>
      <c r="CT348" s="2" t="s">
        <v>3762</v>
      </c>
      <c r="CU348" s="2" t="s">
        <v>3762</v>
      </c>
      <c r="CV348" s="2" t="s">
        <v>3762</v>
      </c>
      <c r="CW348" s="2" t="str">
        <f>HYPERLINK(".\links\pep\AGAP011517-PA-pep.txt","AGAP011517-PA")</f>
        <v>AGAP011517-PA</v>
      </c>
      <c r="CX348" s="2" t="s">
        <v>95</v>
      </c>
      <c r="CY348" s="2">
        <v>885</v>
      </c>
      <c r="CZ348" s="2" t="s">
        <v>113</v>
      </c>
      <c r="DA348" s="2" t="s">
        <v>3771</v>
      </c>
      <c r="DB348" s="2">
        <v>0</v>
      </c>
      <c r="DC348" s="2">
        <v>1</v>
      </c>
      <c r="DD348" s="2" t="str">
        <f>HYPERLINK("https://www.kegg.jp/kegg-bin/search_pathway_text?map=aga&amp;keyword=AGAP011517&amp;mode=1&amp;viewImage=true","AGAP011517")</f>
        <v>AGAP011517</v>
      </c>
      <c r="DE348" s="2" t="s">
        <v>3759</v>
      </c>
      <c r="DF348" s="2" t="s">
        <v>93</v>
      </c>
      <c r="DG348" s="2" t="s">
        <v>94</v>
      </c>
      <c r="DH348" s="2" t="str">
        <f>HYPERLINK("https://vectorbase.org/vectorbase/app/record/gene/AGAP011517","AGAP011517-RA")</f>
        <v>AGAP011517-RA</v>
      </c>
      <c r="DI348" s="2" t="s">
        <v>90</v>
      </c>
      <c r="DJ348" s="2">
        <v>7632</v>
      </c>
      <c r="DK348" s="2" t="str">
        <f>HYPERLINK(".\links\netoglyc\AGAP011517-PA-netoglyc.txt","33")</f>
        <v>33</v>
      </c>
      <c r="DL348" s="2">
        <v>23.2</v>
      </c>
      <c r="DM348" s="2">
        <v>5</v>
      </c>
      <c r="DN348" s="2">
        <v>8.1</v>
      </c>
      <c r="DO348" s="2" t="s">
        <v>104</v>
      </c>
      <c r="DP348" s="2" t="s">
        <v>102</v>
      </c>
      <c r="DQ348" s="2" t="str">
        <f>HYPERLINK(".\links\Sigp\AGAP011517-PA-SigP.txt","BL")</f>
        <v>BL</v>
      </c>
      <c r="DR348" s="2" t="s">
        <v>3765</v>
      </c>
      <c r="DS348" s="2">
        <v>95.724999999999994</v>
      </c>
      <c r="DT348" s="2">
        <v>5.0999999999999996</v>
      </c>
      <c r="DU348" s="2">
        <v>85.417000000000002</v>
      </c>
      <c r="DV348" s="2">
        <v>4.76</v>
      </c>
      <c r="DW348" s="2" t="s">
        <v>3766</v>
      </c>
      <c r="DX348" s="2">
        <v>885</v>
      </c>
      <c r="DY348" s="12" t="str">
        <f>HYPERLINK(".\links\tmhmm\AGAP011517-PA-tmhmm.txt","1")</f>
        <v>1</v>
      </c>
      <c r="DZ348" s="2">
        <v>2.5</v>
      </c>
      <c r="EA348" s="2">
        <v>89.5</v>
      </c>
      <c r="EB348" s="2">
        <v>8</v>
      </c>
      <c r="EC348" s="2" t="str">
        <f>HYPERLINK(".\links\gpi\AGAP011517-PA-gpi.txt","N")</f>
        <v>N</v>
      </c>
      <c r="ED348" s="2">
        <v>0.3</v>
      </c>
      <c r="EF348" s="2">
        <v>9</v>
      </c>
      <c r="EG348" s="2" t="str">
        <f>HYPERLINK(".\links\pep\AGAP011517-PA-sulf.txt","3")</f>
        <v>3</v>
      </c>
      <c r="EH348" s="2" t="s">
        <v>102</v>
      </c>
      <c r="EI348" s="2">
        <v>23.163841807909598</v>
      </c>
      <c r="EJ348" s="2">
        <v>8.1355932203389791</v>
      </c>
      <c r="EK348" s="2">
        <v>4.9717514124293798</v>
      </c>
      <c r="EL348" s="2">
        <v>13.107344632768401</v>
      </c>
      <c r="EM348" s="2" t="s">
        <v>102</v>
      </c>
      <c r="EN348" s="2">
        <v>2</v>
      </c>
      <c r="EO348" s="2">
        <v>4</v>
      </c>
      <c r="EP348" s="2" t="s">
        <v>102</v>
      </c>
      <c r="EQ348" s="2" t="s">
        <v>102</v>
      </c>
      <c r="ER348" s="2" t="s">
        <v>102</v>
      </c>
      <c r="ES348" s="2" t="s">
        <v>102</v>
      </c>
      <c r="ET348" s="2" t="str">
        <f>HYPERLINK(".\links\REFSEQ-INVERTEBRATE\AGAP011517-PA-REFSEQ-INVERTEBRATE.txt","mucin-17 isoform X1")</f>
        <v>mucin-17 isoform X1</v>
      </c>
      <c r="EU348" s="2" t="str">
        <f>HYPERLINK("http://www.ncbi.nlm.nih.gov/sutils/blink.cgi?pid=XP_035898000.1","0.0")</f>
        <v>0.0</v>
      </c>
      <c r="EV348" s="2" t="str">
        <f>HYPERLINK("http://www.ncbi.nlm.nih.gov/protein/XP_035898000.1","XP_035898000.1")</f>
        <v>XP_035898000.1</v>
      </c>
      <c r="EW348" s="2">
        <v>73</v>
      </c>
      <c r="EX348" s="2">
        <v>80</v>
      </c>
      <c r="EY348" s="2">
        <v>105</v>
      </c>
      <c r="EZ348" s="2" t="s">
        <v>370</v>
      </c>
    </row>
    <row r="349" spans="1:156" x14ac:dyDescent="0.25">
      <c r="A349" s="2" t="s">
        <v>3772</v>
      </c>
      <c r="B349" s="2">
        <v>-0.27598578201528801</v>
      </c>
      <c r="C349" s="2">
        <f t="shared" si="5"/>
        <v>0.82588580412906476</v>
      </c>
      <c r="D349" s="2">
        <v>5.9628278564458297</v>
      </c>
      <c r="E349" s="2">
        <v>10.3135529232444</v>
      </c>
      <c r="F349" s="2">
        <v>1.32056801851794E-3</v>
      </c>
      <c r="G349" s="2">
        <v>3.6454335637238898E-2</v>
      </c>
      <c r="H349" s="2" t="s">
        <v>3773</v>
      </c>
      <c r="I349" s="2" t="s">
        <v>94</v>
      </c>
      <c r="J349" s="2" t="str">
        <f>HYPERLINK("https://vectorbase.org/vectorbase/app/record/gene/AGAP004946","AGAP004946-RA")</f>
        <v>AGAP004946-RA</v>
      </c>
      <c r="K349" s="2" t="str">
        <f>HYPERLINK(".\links\pep\AGAP004946-PA-pep.txt","AGAP004946-PA")</f>
        <v>AGAP004946-PA</v>
      </c>
      <c r="L349" s="12" t="s">
        <v>95</v>
      </c>
      <c r="M349" s="2">
        <v>1121</v>
      </c>
      <c r="N349" s="2">
        <v>0</v>
      </c>
      <c r="O349" s="2">
        <v>2</v>
      </c>
      <c r="P349" s="2" t="s">
        <v>3774</v>
      </c>
      <c r="Q349" s="9" t="s">
        <v>3775</v>
      </c>
      <c r="R349" s="2" t="s">
        <v>355</v>
      </c>
      <c r="S349" s="2" t="str">
        <f>HYPERLINK(".\links\KOG\AGAP004946-PA-KOG.txt","KOG")</f>
        <v>KOG</v>
      </c>
      <c r="T349" s="2">
        <v>0</v>
      </c>
      <c r="U349" s="2">
        <v>100.3</v>
      </c>
      <c r="V349" s="2" t="s">
        <v>3776</v>
      </c>
      <c r="W349" s="10" t="s">
        <v>3777</v>
      </c>
      <c r="X349" s="2" t="s">
        <v>2783</v>
      </c>
      <c r="Y349" s="2" t="str">
        <f>HYPERLINK(".\links\CDD\AGAP004946-PA-CDD.txt","CDD")</f>
        <v>CDD</v>
      </c>
      <c r="Z349" s="2">
        <v>0</v>
      </c>
      <c r="AA349" s="2">
        <v>100</v>
      </c>
      <c r="AB349" s="13" t="s">
        <v>102</v>
      </c>
      <c r="AC349" s="13" t="str">
        <f>HYPERLINK(".\links\Sigp\AGAP004946-PA-SigP.txt","CYT")</f>
        <v>CYT</v>
      </c>
      <c r="AD349" s="2" t="s">
        <v>102</v>
      </c>
      <c r="AE349" s="2">
        <v>128.971</v>
      </c>
      <c r="AF349" s="2">
        <v>6.31</v>
      </c>
      <c r="AG349" s="2" t="s">
        <v>102</v>
      </c>
      <c r="AH349" s="2" t="s">
        <v>102</v>
      </c>
      <c r="AI349" s="2" t="s">
        <v>2192</v>
      </c>
      <c r="AJ349" s="13">
        <v>0</v>
      </c>
      <c r="AK349" s="2" t="s">
        <v>102</v>
      </c>
      <c r="AL349" s="2" t="s">
        <v>102</v>
      </c>
      <c r="AM349" s="2" t="s">
        <v>102</v>
      </c>
      <c r="AN349" s="13" t="str">
        <f>HYPERLINK(".\links\gpi\AGAP004946-PA-gpi.txt","N")</f>
        <v>N</v>
      </c>
      <c r="AO349" s="14" t="str">
        <f>HYPERLINK(".\links\netoglyc\AGAP004946-PA-netoglyc.txt","1")</f>
        <v>1</v>
      </c>
      <c r="AP349" s="13">
        <v>11.3</v>
      </c>
      <c r="AQ349" s="2">
        <v>3</v>
      </c>
      <c r="AR349" s="2">
        <v>3.3</v>
      </c>
      <c r="AS349" s="2" t="s">
        <v>104</v>
      </c>
      <c r="AT349" s="9" t="str">
        <f>HYPERLINK(".\links\NR-LIGHT\AGAP004946-PA-NR-LIGHT.txt","AGAP004946-PA")</f>
        <v>AGAP004946-PA</v>
      </c>
      <c r="AU349" s="2" t="str">
        <f>HYPERLINK("http://www.ncbi.nlm.nih.gov/sutils/blink.cgi?pid=XP_315044.2","0.0")</f>
        <v>0.0</v>
      </c>
      <c r="AV349" s="2" t="str">
        <f>HYPERLINK("http://www.ncbi.nlm.nih.gov/protein/XP_315044.2","XP_315044.2")</f>
        <v>XP_315044.2</v>
      </c>
      <c r="AW349" s="2">
        <v>100</v>
      </c>
      <c r="AX349" s="2">
        <v>100</v>
      </c>
      <c r="AY349" s="2">
        <v>100</v>
      </c>
      <c r="AZ349" s="2" t="s">
        <v>105</v>
      </c>
      <c r="BA349" s="9" t="str">
        <f>HYPERLINK(".\links\REFSEQ-INVERTEBRATE\AGAP004946-PA-REFSEQ-INVERTEBRATE.txt","AGAP004946-PA")</f>
        <v>AGAP004946-PA</v>
      </c>
      <c r="BB349" s="2" t="str">
        <f>HYPERLINK("http://www.ncbi.nlm.nih.gov/sutils/blink.cgi?pid=XP_315044.2","0.0")</f>
        <v>0.0</v>
      </c>
      <c r="BC349" s="2" t="str">
        <f>HYPERLINK("http://www.ncbi.nlm.nih.gov/protein/XP_315044.2","XP_315044.2")</f>
        <v>XP_315044.2</v>
      </c>
      <c r="BD349" s="2">
        <v>100</v>
      </c>
      <c r="BE349" s="2">
        <v>100</v>
      </c>
      <c r="BF349" s="2">
        <v>100</v>
      </c>
      <c r="BG349" s="2" t="s">
        <v>105</v>
      </c>
      <c r="BH349" s="9" t="str">
        <f>HYPERLINK(".\links\REFSEQ-PROTOZOA\AGAP004946-PA-REFSEQ-PROTOZOA.txt","hypothetical protein CAOG_00229")</f>
        <v>hypothetical protein CAOG_00229</v>
      </c>
      <c r="BI349" s="2" t="str">
        <f>HYPERLINK("http://www.ncbi.nlm.nih.gov/sutils/blink.cgi?pid=XP_004365100.1","0.0")</f>
        <v>0.0</v>
      </c>
      <c r="BJ349" s="2" t="str">
        <f>HYPERLINK("http://www.ncbi.nlm.nih.gov/protein/XP_004365100.1","XP_004365100.1")</f>
        <v>XP_004365100.1</v>
      </c>
      <c r="BK349" s="2">
        <v>35</v>
      </c>
      <c r="BL349" s="2">
        <v>56</v>
      </c>
      <c r="BM349" s="2">
        <v>100</v>
      </c>
      <c r="BN349" s="2" t="s">
        <v>106</v>
      </c>
      <c r="BO349" s="9" t="str">
        <f>HYPERLINK(".\links\SWISSP\AGAP004946-PA-SWISSP.txt","Membrane-associated protein Hem")</f>
        <v>Membrane-associated protein Hem</v>
      </c>
      <c r="BP349" s="2" t="str">
        <f>HYPERLINK("http://www.uniprot.org/uniprot/P55162","0.0")</f>
        <v>0.0</v>
      </c>
      <c r="BQ349" s="2" t="str">
        <f>HYPERLINK("http://www.uniprot.org/uniprot/P55162#expression","P55162")</f>
        <v>P55162</v>
      </c>
      <c r="BR349" s="2">
        <v>81</v>
      </c>
      <c r="BS349" s="2">
        <v>91</v>
      </c>
      <c r="BT349" s="2">
        <v>100</v>
      </c>
      <c r="BU349" s="2" t="s">
        <v>107</v>
      </c>
      <c r="BV349" s="9" t="str">
        <f>HYPERLINK(".\links\FLYBASE\AGAP004946-PA-FLYBASE.txt","FBpp0078162")</f>
        <v>FBpp0078162</v>
      </c>
      <c r="BW349" s="2" t="str">
        <f>HYPERLINK("http://flybase.org/reports/FBgn0011771#alliance_summary_container","0.0")</f>
        <v>0.0</v>
      </c>
      <c r="BX349" s="2">
        <v>1126</v>
      </c>
      <c r="BY349" s="2">
        <v>81</v>
      </c>
      <c r="BZ349" s="2">
        <v>91</v>
      </c>
      <c r="CA349" s="2">
        <v>100</v>
      </c>
      <c r="CB349" s="9" t="str">
        <f>HYPERLINK(".\links\CDD\AGAP004946-PA-CDD.txt","Nckap1, Membrane-associated apoptosis protein")</f>
        <v>Nckap1, Membrane-associated apoptosis protein</v>
      </c>
      <c r="CC349" s="15">
        <v>0</v>
      </c>
      <c r="CD349" s="2">
        <v>100.2</v>
      </c>
      <c r="CE349" s="2" t="s">
        <v>3778</v>
      </c>
      <c r="CF349" s="2" t="s">
        <v>3779</v>
      </c>
      <c r="CG349" s="9" t="str">
        <f>HYPERLINK(".\links\KOG\AGAP004946-PA-KOG.txt","Membrane-associated hematopoietic protein")</f>
        <v>Membrane-associated hematopoietic protein</v>
      </c>
      <c r="CH349" s="15">
        <v>0</v>
      </c>
      <c r="CI349" s="2">
        <v>100.4</v>
      </c>
      <c r="CJ349" s="2" t="s">
        <v>3780</v>
      </c>
      <c r="CK349" s="2" t="s">
        <v>191</v>
      </c>
      <c r="CL349" s="9" t="str">
        <f>HYPERLINK(".\links\PFAM\AGAP004946-PA-PFAM.txt","Nckap1, Membrane-associated apoptosis protein")</f>
        <v>Nckap1, Membrane-associated apoptosis protein</v>
      </c>
      <c r="CM349" s="15">
        <v>0</v>
      </c>
      <c r="CN349" s="2">
        <v>100.2</v>
      </c>
      <c r="CO349" s="2" t="s">
        <v>3778</v>
      </c>
      <c r="CP349" s="9" t="str">
        <f>HYPERLINK(".\links\SMART\AGAP004946-PA-SMART.txt","Elp3, Elongator protein 3, MiaB family, Radical SAM")</f>
        <v>Elp3, Elongator protein 3, MiaB family, Radical SAM</v>
      </c>
      <c r="CQ349" s="15">
        <v>0.42</v>
      </c>
      <c r="CR349" s="2">
        <v>45.4</v>
      </c>
      <c r="CS349" s="2" t="s">
        <v>3781</v>
      </c>
      <c r="CT349" s="2" t="s">
        <v>3776</v>
      </c>
      <c r="CU349" s="2" t="s">
        <v>3776</v>
      </c>
      <c r="CV349" s="2" t="s">
        <v>3776</v>
      </c>
      <c r="CW349" s="2" t="str">
        <f>HYPERLINK(".\links\pep\AGAP004946-PA-pep.txt","AGAP004946-PA")</f>
        <v>AGAP004946-PA</v>
      </c>
      <c r="CX349" s="2" t="s">
        <v>95</v>
      </c>
      <c r="CY349" s="2">
        <v>1121</v>
      </c>
      <c r="CZ349" s="2" t="s">
        <v>113</v>
      </c>
      <c r="DA349" s="2" t="s">
        <v>3782</v>
      </c>
      <c r="DB349" s="2">
        <v>0</v>
      </c>
      <c r="DC349" s="2">
        <v>2</v>
      </c>
      <c r="DD349" s="2" t="str">
        <f>HYPERLINK("https://www.kegg.jp/kegg-bin/search_pathway_text?map=aga&amp;keyword=AGAP004946&amp;mode=1&amp;viewImage=true","AGAP004946")</f>
        <v>AGAP004946</v>
      </c>
      <c r="DE349" s="2" t="s">
        <v>3772</v>
      </c>
      <c r="DF349" s="2" t="s">
        <v>3773</v>
      </c>
      <c r="DG349" s="2" t="s">
        <v>94</v>
      </c>
      <c r="DH349" s="2" t="str">
        <f>HYPERLINK("https://vectorbase.org/vectorbase/app/record/gene/AGAP004946","AGAP004946-RA")</f>
        <v>AGAP004946-RA</v>
      </c>
      <c r="DI349" s="2" t="s">
        <v>90</v>
      </c>
      <c r="DJ349" s="2">
        <v>4244</v>
      </c>
      <c r="DK349" s="2" t="str">
        <f>HYPERLINK(".\links\netoglyc\AGAP004946-PA-netoglyc.txt","1")</f>
        <v>1</v>
      </c>
      <c r="DL349" s="2">
        <v>11.3</v>
      </c>
      <c r="DM349" s="2">
        <v>3</v>
      </c>
      <c r="DN349" s="2">
        <v>3.3</v>
      </c>
      <c r="DO349" s="2" t="s">
        <v>104</v>
      </c>
      <c r="DP349" s="2" t="s">
        <v>3783</v>
      </c>
      <c r="DQ349" s="2" t="str">
        <f>HYPERLINK(".\links\Sigp\AGAP004946-PA-SigP.txt","CYT")</f>
        <v>CYT</v>
      </c>
      <c r="DR349" s="2" t="s">
        <v>102</v>
      </c>
      <c r="DS349" s="2">
        <v>128.971</v>
      </c>
      <c r="DT349" s="2">
        <v>6.31</v>
      </c>
      <c r="DU349" s="2" t="s">
        <v>102</v>
      </c>
      <c r="DV349" s="2" t="s">
        <v>102</v>
      </c>
      <c r="DW349" s="2" t="s">
        <v>2192</v>
      </c>
      <c r="DX349" s="2">
        <v>1121</v>
      </c>
      <c r="DY349" s="12">
        <v>0</v>
      </c>
      <c r="DZ349" s="2" t="s">
        <v>102</v>
      </c>
      <c r="EA349" s="2" t="s">
        <v>102</v>
      </c>
      <c r="EB349" s="2" t="s">
        <v>102</v>
      </c>
      <c r="EC349" s="2" t="str">
        <f>HYPERLINK(".\links\gpi\AGAP004946-PA-gpi.txt","N")</f>
        <v>N</v>
      </c>
      <c r="ED349" s="2">
        <v>0.22</v>
      </c>
      <c r="EF349" s="2">
        <v>23</v>
      </c>
      <c r="EG349" s="2" t="s">
        <v>102</v>
      </c>
      <c r="EH349" s="2" t="s">
        <v>102</v>
      </c>
      <c r="EI349" s="2">
        <v>11.329170383586099</v>
      </c>
      <c r="EJ349" s="2">
        <v>3.3006244424620901</v>
      </c>
      <c r="EK349" s="2">
        <v>3.03300624442462</v>
      </c>
      <c r="EL349" s="2">
        <v>6.3336306868867096</v>
      </c>
      <c r="EM349" s="2" t="s">
        <v>102</v>
      </c>
      <c r="EN349" s="2">
        <v>3</v>
      </c>
      <c r="EO349" s="2">
        <v>5</v>
      </c>
      <c r="EP349" s="2" t="s">
        <v>102</v>
      </c>
      <c r="EQ349" s="2" t="s">
        <v>102</v>
      </c>
      <c r="ER349" s="2" t="s">
        <v>102</v>
      </c>
      <c r="ES349" s="2" t="s">
        <v>102</v>
      </c>
      <c r="ET349" s="2" t="str">
        <f>HYPERLINK(".\links\REFSEQ-INVERTEBRATE\AGAP004946-PA-REFSEQ-INVERTEBRATE.txt","AGAP004946-PA")</f>
        <v>AGAP004946-PA</v>
      </c>
      <c r="EU349" s="2" t="str">
        <f>HYPERLINK("http://www.ncbi.nlm.nih.gov/sutils/blink.cgi?pid=XP_315044.2","0.0")</f>
        <v>0.0</v>
      </c>
      <c r="EV349" s="2" t="str">
        <f>HYPERLINK("http://www.ncbi.nlm.nih.gov/protein/XP_315044.2","XP_315044.2")</f>
        <v>XP_315044.2</v>
      </c>
      <c r="EW349" s="2">
        <v>100</v>
      </c>
      <c r="EX349" s="2">
        <v>100</v>
      </c>
      <c r="EY349" s="2">
        <v>100</v>
      </c>
      <c r="EZ349" s="2" t="s">
        <v>105</v>
      </c>
    </row>
    <row r="350" spans="1:156" x14ac:dyDescent="0.25">
      <c r="A350" s="2" t="s">
        <v>3784</v>
      </c>
      <c r="B350" s="2">
        <v>-0.27717278857322097</v>
      </c>
      <c r="C350" s="2">
        <f t="shared" si="5"/>
        <v>0.82520656932581904</v>
      </c>
      <c r="D350" s="2">
        <v>6.3978274933341304</v>
      </c>
      <c r="E350" s="2">
        <v>12.033494518184099</v>
      </c>
      <c r="F350" s="2">
        <v>5.2253020773747295E-4</v>
      </c>
      <c r="G350" s="2">
        <v>2.6273138761493901E-2</v>
      </c>
      <c r="H350" s="2" t="s">
        <v>93</v>
      </c>
      <c r="I350" s="2" t="s">
        <v>94</v>
      </c>
      <c r="J350" s="2" t="str">
        <f>HYPERLINK("https://vectorbase.org/vectorbase/app/record/gene/AGAP002336","AGAP002336-RA")</f>
        <v>AGAP002336-RA</v>
      </c>
      <c r="K350" s="2" t="str">
        <f>HYPERLINK(".\links\pep\AGAP002336-PA-pep.txt","AGAP002336-PA")</f>
        <v>AGAP002336-PA</v>
      </c>
      <c r="L350" s="12" t="s">
        <v>95</v>
      </c>
      <c r="M350" s="2">
        <v>912</v>
      </c>
      <c r="N350" s="2">
        <v>0</v>
      </c>
      <c r="O350" s="2">
        <v>1</v>
      </c>
      <c r="P350" s="2" t="s">
        <v>102</v>
      </c>
      <c r="Q350" s="9" t="s">
        <v>854</v>
      </c>
      <c r="R350" s="2" t="s">
        <v>98</v>
      </c>
      <c r="S350" s="2" t="str">
        <f>HYPERLINK(".\links\CDD\AGAP002336-PA-CDD.txt","CDD")</f>
        <v>CDD</v>
      </c>
      <c r="T350" s="2">
        <v>0</v>
      </c>
      <c r="U350" s="2">
        <v>100</v>
      </c>
      <c r="V350" s="2" t="s">
        <v>3785</v>
      </c>
      <c r="W350" s="10" t="s">
        <v>3786</v>
      </c>
      <c r="X350" s="2" t="s">
        <v>3764</v>
      </c>
      <c r="Y350" s="2" t="str">
        <f>HYPERLINK(".\links\MEROPS\AGAP002336-PA-MEROPS.txt","MEROPS")</f>
        <v>MEROPS</v>
      </c>
      <c r="Z350" s="15">
        <v>2.0000000000000001E-68</v>
      </c>
      <c r="AA350" s="2">
        <v>100</v>
      </c>
      <c r="AB350" s="13" t="str">
        <f>HYPERLINK(".\links\pep\AGAP002336-PA-sulf.txt","2")</f>
        <v>2</v>
      </c>
      <c r="AC350" s="13" t="str">
        <f>HYPERLINK(".\links\Sigp\AGAP002336-PA-SigP.txt","CYT")</f>
        <v>CYT</v>
      </c>
      <c r="AD350" s="2" t="s">
        <v>102</v>
      </c>
      <c r="AE350" s="2">
        <v>98.537000000000006</v>
      </c>
      <c r="AF350" s="2">
        <v>8.69</v>
      </c>
      <c r="AG350" s="2" t="s">
        <v>102</v>
      </c>
      <c r="AH350" s="2" t="s">
        <v>102</v>
      </c>
      <c r="AI350" s="2" t="s">
        <v>3787</v>
      </c>
      <c r="AJ350" s="13" t="str">
        <f>HYPERLINK(".\links\tmhmm\AGAP002336-PA-tmhmm.txt","1")</f>
        <v>1</v>
      </c>
      <c r="AK350" s="2">
        <v>2.4</v>
      </c>
      <c r="AL350" s="2">
        <v>51.3</v>
      </c>
      <c r="AM350" s="2">
        <v>46.3</v>
      </c>
      <c r="AN350" s="13" t="str">
        <f>HYPERLINK(".\links\gpi\AGAP002336-PA-gpi.txt","N")</f>
        <v>N</v>
      </c>
      <c r="AO350" s="14" t="str">
        <f>HYPERLINK(".\links\netoglyc\AGAP002336-PA-netoglyc.txt","5")</f>
        <v>5</v>
      </c>
      <c r="AP350" s="13">
        <v>17.899999999999999</v>
      </c>
      <c r="AQ350" s="2">
        <v>7.5</v>
      </c>
      <c r="AR350" s="2">
        <v>7.2</v>
      </c>
      <c r="AS350" s="2" t="s">
        <v>104</v>
      </c>
      <c r="AT350" s="9" t="str">
        <f>HYPERLINK(".\links\NR-LIGHT\AGAP002336-PA-NR-LIGHT.txt","AGAP002336-PA")</f>
        <v>AGAP002336-PA</v>
      </c>
      <c r="AU350" s="2" t="str">
        <f>HYPERLINK("http://www.ncbi.nlm.nih.gov/sutils/blink.cgi?pid=XP_312632.5","0.0")</f>
        <v>0.0</v>
      </c>
      <c r="AV350" s="2" t="str">
        <f>HYPERLINK("http://www.ncbi.nlm.nih.gov/protein/XP_312632.5","XP_312632.5")</f>
        <v>XP_312632.5</v>
      </c>
      <c r="AW350" s="2">
        <v>100</v>
      </c>
      <c r="AX350" s="2">
        <v>100</v>
      </c>
      <c r="AY350" s="2">
        <v>100</v>
      </c>
      <c r="AZ350" s="2" t="s">
        <v>105</v>
      </c>
      <c r="BA350" s="9" t="str">
        <f>HYPERLINK(".\links\REFSEQ-INVERTEBRATE\AGAP002336-PA-REFSEQ-INVERTEBRATE.txt","AGAP002336-PA")</f>
        <v>AGAP002336-PA</v>
      </c>
      <c r="BB350" s="2" t="str">
        <f>HYPERLINK("http://www.ncbi.nlm.nih.gov/sutils/blink.cgi?pid=XP_312632.5","0.0")</f>
        <v>0.0</v>
      </c>
      <c r="BC350" s="2" t="str">
        <f>HYPERLINK("http://www.ncbi.nlm.nih.gov/protein/XP_312632.5","XP_312632.5")</f>
        <v>XP_312632.5</v>
      </c>
      <c r="BD350" s="2">
        <v>100</v>
      </c>
      <c r="BE350" s="2">
        <v>100</v>
      </c>
      <c r="BF350" s="2">
        <v>100</v>
      </c>
      <c r="BG350" s="2" t="s">
        <v>105</v>
      </c>
      <c r="BH350" s="9" t="str">
        <f>HYPERLINK(".\links\REFSEQ-PROTOZOA\AGAP002336-PA-REFSEQ-PROTOZOA.txt","hypothetical protein CAOG_01265")</f>
        <v>hypothetical protein CAOG_01265</v>
      </c>
      <c r="BI350" s="2" t="str">
        <f>HYPERLINK("http://www.ncbi.nlm.nih.gov/sutils/blink.cgi?pid=XP_004349785.2","3E-024")</f>
        <v>3E-024</v>
      </c>
      <c r="BJ350" s="2" t="str">
        <f>HYPERLINK("http://www.ncbi.nlm.nih.gov/protein/XP_004349785.2","XP_004349785.2")</f>
        <v>XP_004349785.2</v>
      </c>
      <c r="BK350" s="2">
        <v>32</v>
      </c>
      <c r="BL350" s="2">
        <v>51</v>
      </c>
      <c r="BM350" s="2">
        <v>26</v>
      </c>
      <c r="BN350" s="2" t="s">
        <v>106</v>
      </c>
      <c r="BO350" s="9" t="str">
        <f>HYPERLINK(".\links\SWISSP\AGAP002336-PA-SWISSP.txt","Leucine-rich repeat-containing protein 24")</f>
        <v>Leucine-rich repeat-containing protein 24</v>
      </c>
      <c r="BP350" s="2" t="str">
        <f>HYPERLINK("http://www.uniprot.org/uniprot/Q8BHA1","2E-028")</f>
        <v>2E-028</v>
      </c>
      <c r="BQ350" s="2" t="str">
        <f>HYPERLINK("http://www.uniprot.org/uniprot/Q8BHA1#expression","Q8BHA1")</f>
        <v>Q8BHA1</v>
      </c>
      <c r="BR350" s="2">
        <v>25</v>
      </c>
      <c r="BS350" s="2">
        <v>40</v>
      </c>
      <c r="BT350" s="2">
        <v>95</v>
      </c>
      <c r="BU350" s="2" t="s">
        <v>662</v>
      </c>
      <c r="BV350" s="9" t="str">
        <f>HYPERLINK(".\links\FLYBASE\AGAP002336-PA-FLYBASE.txt","FBpp0301163")</f>
        <v>FBpp0301163</v>
      </c>
      <c r="BW350" s="2" t="str">
        <f>HYPERLINK("http://flybase.org/reports/FBgn0031016#alliance_summary_container","1E-177")</f>
        <v>1E-177</v>
      </c>
      <c r="BX350" s="2">
        <v>931</v>
      </c>
      <c r="BY350" s="2">
        <v>40</v>
      </c>
      <c r="BZ350" s="2">
        <v>56</v>
      </c>
      <c r="CA350" s="2">
        <v>86</v>
      </c>
      <c r="CB350" s="9" t="str">
        <f>HYPERLINK(".\links\CDD\AGAP002336-PA-CDD.txt","LRR_RI, leucine-rich repeats, ribonuclease inhibitor (RI)-like subfamily")</f>
        <v>LRR_RI, leucine-rich repeats, ribonuclease inhibitor (RI)-like subfamily</v>
      </c>
      <c r="CC350" s="15">
        <v>5.9999999999999998E-38</v>
      </c>
      <c r="CD350" s="2">
        <v>66.8</v>
      </c>
      <c r="CE350" s="2" t="s">
        <v>281</v>
      </c>
      <c r="CF350" s="2" t="s">
        <v>3788</v>
      </c>
      <c r="CG350" s="9" t="str">
        <f>HYPERLINK(".\links\KOG\AGAP002336-PA-KOG.txt","Membrane glycoprotein LIG-1")</f>
        <v>Membrane glycoprotein LIG-1</v>
      </c>
      <c r="CH350" s="15">
        <v>1.9999999999999999E-29</v>
      </c>
      <c r="CI350" s="2">
        <v>40</v>
      </c>
      <c r="CJ350" s="2" t="s">
        <v>293</v>
      </c>
      <c r="CK350" s="2" t="s">
        <v>173</v>
      </c>
      <c r="CL350" s="9" t="str">
        <f>HYPERLINK(".\links\PFAM\AGAP002336-PA-PFAM.txt","LRR_8, Leucine rich repeat")</f>
        <v>LRR_8, Leucine rich repeat</v>
      </c>
      <c r="CM350" s="15">
        <v>9.9999999999999998E-13</v>
      </c>
      <c r="CN350" s="2">
        <v>100</v>
      </c>
      <c r="CO350" s="2" t="s">
        <v>285</v>
      </c>
      <c r="CP350" s="9" t="str">
        <f>HYPERLINK(".\links\SMART\AGAP002336-PA-SMART.txt","IG_like, Immunoglobulin like")</f>
        <v>IG_like, Immunoglobulin like</v>
      </c>
      <c r="CQ350" s="15">
        <v>2E-12</v>
      </c>
      <c r="CR350" s="2">
        <v>97.6</v>
      </c>
      <c r="CS350" s="2" t="s">
        <v>439</v>
      </c>
      <c r="CT350" s="2" t="s">
        <v>3785</v>
      </c>
      <c r="CU350" s="2" t="s">
        <v>3785</v>
      </c>
      <c r="CV350" s="2" t="s">
        <v>3785</v>
      </c>
      <c r="CW350" s="2" t="str">
        <f>HYPERLINK(".\links\pep\AGAP002336-PA-pep.txt","AGAP002336-PA")</f>
        <v>AGAP002336-PA</v>
      </c>
      <c r="CX350" s="2" t="s">
        <v>95</v>
      </c>
      <c r="CY350" s="2">
        <v>912</v>
      </c>
      <c r="CZ350" s="2" t="s">
        <v>113</v>
      </c>
      <c r="DA350" s="2" t="s">
        <v>3789</v>
      </c>
      <c r="DB350" s="2">
        <v>0</v>
      </c>
      <c r="DC350" s="2">
        <v>1</v>
      </c>
      <c r="DD350" s="2" t="str">
        <f>HYPERLINK("https://www.kegg.jp/kegg-bin/search_pathway_text?map=aga&amp;keyword=AGAP002336&amp;mode=1&amp;viewImage=true","AGAP002336")</f>
        <v>AGAP002336</v>
      </c>
      <c r="DE350" s="2" t="s">
        <v>3784</v>
      </c>
      <c r="DF350" s="2" t="s">
        <v>93</v>
      </c>
      <c r="DG350" s="2" t="s">
        <v>94</v>
      </c>
      <c r="DH350" s="2" t="str">
        <f>HYPERLINK("https://vectorbase.org/vectorbase/app/record/gene/AGAP002336","AGAP002336-RA")</f>
        <v>AGAP002336-RA</v>
      </c>
      <c r="DI350" s="2" t="s">
        <v>118</v>
      </c>
      <c r="DJ350" s="2">
        <v>8399</v>
      </c>
      <c r="DK350" s="2" t="str">
        <f>HYPERLINK(".\links\netoglyc\AGAP002336-PA-netoglyc.txt","5")</f>
        <v>5</v>
      </c>
      <c r="DL350" s="2">
        <v>17.899999999999999</v>
      </c>
      <c r="DM350" s="2">
        <v>7.5</v>
      </c>
      <c r="DN350" s="2">
        <v>7.2</v>
      </c>
      <c r="DO350" s="2" t="s">
        <v>104</v>
      </c>
      <c r="DP350" s="2" t="s">
        <v>3790</v>
      </c>
      <c r="DQ350" s="2" t="str">
        <f>HYPERLINK(".\links\Sigp\AGAP002336-PA-SigP.txt","CYT")</f>
        <v>CYT</v>
      </c>
      <c r="DR350" s="2" t="s">
        <v>102</v>
      </c>
      <c r="DS350" s="2">
        <v>98.537000000000006</v>
      </c>
      <c r="DT350" s="2">
        <v>8.69</v>
      </c>
      <c r="DU350" s="2" t="s">
        <v>102</v>
      </c>
      <c r="DV350" s="2" t="s">
        <v>102</v>
      </c>
      <c r="DW350" s="2" t="s">
        <v>3787</v>
      </c>
      <c r="DX350" s="2">
        <v>912</v>
      </c>
      <c r="DY350" s="12" t="str">
        <f>HYPERLINK(".\links\tmhmm\AGAP002336-PA-tmhmm.txt","1")</f>
        <v>1</v>
      </c>
      <c r="DZ350" s="2">
        <v>2.4</v>
      </c>
      <c r="EA350" s="2">
        <v>51.3</v>
      </c>
      <c r="EB350" s="2">
        <v>46.3</v>
      </c>
      <c r="EC350" s="2" t="str">
        <f>HYPERLINK(".\links\gpi\AGAP002336-PA-gpi.txt","Y-NoSP")</f>
        <v>Y-NoSP</v>
      </c>
      <c r="ED350" s="2">
        <v>0.16</v>
      </c>
      <c r="EF350" s="2">
        <v>18</v>
      </c>
      <c r="EG350" s="2" t="str">
        <f>HYPERLINK(".\links\pep\AGAP002336-PA-sulf.txt","2")</f>
        <v>2</v>
      </c>
      <c r="EH350" s="2" t="s">
        <v>102</v>
      </c>
      <c r="EI350" s="2">
        <v>17.872807017543899</v>
      </c>
      <c r="EJ350" s="2">
        <v>7.2368421052631602</v>
      </c>
      <c r="EK350" s="2">
        <v>7.45614035087719</v>
      </c>
      <c r="EL350" s="2">
        <v>14.692982456140401</v>
      </c>
      <c r="EM350" s="2">
        <v>2</v>
      </c>
      <c r="EN350" s="2" t="s">
        <v>102</v>
      </c>
      <c r="EO350" s="2">
        <v>3</v>
      </c>
      <c r="EP350" s="2" t="s">
        <v>102</v>
      </c>
      <c r="EQ350" s="2" t="s">
        <v>102</v>
      </c>
      <c r="ER350" s="2" t="s">
        <v>102</v>
      </c>
      <c r="ES350" s="2" t="s">
        <v>102</v>
      </c>
      <c r="ET350" s="2" t="str">
        <f>HYPERLINK(".\links\REFSEQ-INVERTEBRATE\AGAP002336-PA-REFSEQ-INVERTEBRATE.txt","AGAP002336-PA")</f>
        <v>AGAP002336-PA</v>
      </c>
      <c r="EU350" s="2" t="str">
        <f>HYPERLINK("http://www.ncbi.nlm.nih.gov/sutils/blink.cgi?pid=XP_312632.5","0.0")</f>
        <v>0.0</v>
      </c>
      <c r="EV350" s="2" t="str">
        <f>HYPERLINK("http://www.ncbi.nlm.nih.gov/protein/XP_312632.5","XP_312632.5")</f>
        <v>XP_312632.5</v>
      </c>
      <c r="EW350" s="2">
        <v>100</v>
      </c>
      <c r="EX350" s="2">
        <v>100</v>
      </c>
      <c r="EY350" s="2">
        <v>100</v>
      </c>
      <c r="EZ350" s="2" t="s">
        <v>105</v>
      </c>
    </row>
    <row r="351" spans="1:156" x14ac:dyDescent="0.25">
      <c r="A351" s="2" t="s">
        <v>3791</v>
      </c>
      <c r="B351" s="2">
        <v>-0.28071042182262002</v>
      </c>
      <c r="C351" s="2">
        <f t="shared" si="5"/>
        <v>0.8231855587473097</v>
      </c>
      <c r="D351" s="2">
        <v>6.6881617178706501</v>
      </c>
      <c r="E351" s="2">
        <v>15.4787406847509</v>
      </c>
      <c r="F351" s="2">
        <v>8.3438445353791493E-5</v>
      </c>
      <c r="G351" s="2">
        <v>9.6739515171954792E-3</v>
      </c>
      <c r="H351" s="2" t="s">
        <v>3792</v>
      </c>
      <c r="I351" s="2" t="s">
        <v>94</v>
      </c>
      <c r="J351" s="2" t="str">
        <f>HYPERLINK("https://vectorbase.org/vectorbase/app/record/gene/AGAP007113","AGAP007113-RA")</f>
        <v>AGAP007113-RA</v>
      </c>
      <c r="K351" s="2" t="str">
        <f>HYPERLINK(".\links\pep\AGAP007113-PA-pep.txt","AGAP007113-PA")</f>
        <v>AGAP007113-PA</v>
      </c>
      <c r="L351" s="12" t="s">
        <v>95</v>
      </c>
      <c r="M351" s="2">
        <v>405</v>
      </c>
      <c r="N351" s="2">
        <v>0</v>
      </c>
      <c r="O351" s="2">
        <v>1</v>
      </c>
      <c r="P351" s="2" t="s">
        <v>3793</v>
      </c>
      <c r="Q351" s="9" t="s">
        <v>3794</v>
      </c>
      <c r="R351" s="2" t="s">
        <v>2767</v>
      </c>
      <c r="S351" s="2" t="str">
        <f>HYPERLINK(".\links\KOG\AGAP007113-PA-KOG.txt","KOG")</f>
        <v>KOG</v>
      </c>
      <c r="T351" s="2">
        <v>1.9999999999999999E-82</v>
      </c>
      <c r="U351" s="2">
        <v>100.8</v>
      </c>
      <c r="V351" s="2" t="s">
        <v>3795</v>
      </c>
      <c r="W351" s="10" t="s">
        <v>3796</v>
      </c>
      <c r="X351" s="2" t="s">
        <v>2767</v>
      </c>
      <c r="Y351" s="2" t="str">
        <f>HYPERLINK(".\links\EC\AGAP007113-PA-EC.txt","EC")</f>
        <v>EC</v>
      </c>
      <c r="Z351" s="15">
        <v>1E-97</v>
      </c>
      <c r="AA351" s="2">
        <v>101.8</v>
      </c>
      <c r="AB351" s="13" t="s">
        <v>102</v>
      </c>
      <c r="AC351" s="13" t="str">
        <f>HYPERLINK(".\links\Sigp\AGAP007113-PA-SigP.txt","SIG")</f>
        <v>SIG</v>
      </c>
      <c r="AD351" s="2" t="s">
        <v>3797</v>
      </c>
      <c r="AE351" s="2">
        <v>46.652999999999999</v>
      </c>
      <c r="AF351" s="2">
        <v>8.7100000000000009</v>
      </c>
      <c r="AG351" s="2">
        <v>42.92</v>
      </c>
      <c r="AH351" s="2">
        <v>8.68</v>
      </c>
      <c r="AI351" s="2" t="s">
        <v>3798</v>
      </c>
      <c r="AJ351" s="13" t="str">
        <f>HYPERLINK(".\links\tmhmm\AGAP007113-PA-tmhmm.txt","4")</f>
        <v>4</v>
      </c>
      <c r="AK351" s="2">
        <v>20.5</v>
      </c>
      <c r="AL351" s="2">
        <v>4.9000000000000004</v>
      </c>
      <c r="AM351" s="2">
        <v>74.599999999999994</v>
      </c>
      <c r="AN351" s="13" t="str">
        <f>HYPERLINK(".\links\gpi\AGAP007113-PA-gpi.txt","N")</f>
        <v>N</v>
      </c>
      <c r="AO351" s="14" t="str">
        <f>HYPERLINK(".\links\netoglyc\AGAP007113-PA-netoglyc.txt","4")</f>
        <v>4</v>
      </c>
      <c r="AP351" s="13">
        <v>12.1</v>
      </c>
      <c r="AQ351" s="2">
        <v>5.4</v>
      </c>
      <c r="AR351" s="2">
        <v>4.2</v>
      </c>
      <c r="AS351" s="2" t="s">
        <v>104</v>
      </c>
      <c r="AT351" s="9" t="str">
        <f>HYPERLINK(".\links\NR-LIGHT\AGAP007113-PA-NR-LIGHT.txt","AGAP007113-PA")</f>
        <v>AGAP007113-PA</v>
      </c>
      <c r="AU351" s="2" t="str">
        <f>HYPERLINK("http://www.ncbi.nlm.nih.gov/sutils/blink.cgi?pid=XP_308646.4","0.0")</f>
        <v>0.0</v>
      </c>
      <c r="AV351" s="2" t="str">
        <f>HYPERLINK("http://www.ncbi.nlm.nih.gov/protein/XP_308646.4","XP_308646.4")</f>
        <v>XP_308646.4</v>
      </c>
      <c r="AW351" s="2">
        <v>100</v>
      </c>
      <c r="AX351" s="2">
        <v>100</v>
      </c>
      <c r="AY351" s="2">
        <v>100</v>
      </c>
      <c r="AZ351" s="2" t="s">
        <v>105</v>
      </c>
      <c r="BA351" s="9" t="str">
        <f>HYPERLINK(".\links\REFSEQ-INVERTEBRATE\AGAP007113-PA-REFSEQ-INVERTEBRATE.txt","AGAP007113-PA")</f>
        <v>AGAP007113-PA</v>
      </c>
      <c r="BB351" s="2" t="str">
        <f>HYPERLINK("http://www.ncbi.nlm.nih.gov/sutils/blink.cgi?pid=XP_308646.4","0.0")</f>
        <v>0.0</v>
      </c>
      <c r="BC351" s="2" t="str">
        <f>HYPERLINK("http://www.ncbi.nlm.nih.gov/protein/XP_308646.4","XP_308646.4")</f>
        <v>XP_308646.4</v>
      </c>
      <c r="BD351" s="2">
        <v>100</v>
      </c>
      <c r="BE351" s="2">
        <v>100</v>
      </c>
      <c r="BF351" s="2">
        <v>100</v>
      </c>
      <c r="BG351" s="2" t="s">
        <v>105</v>
      </c>
      <c r="BH351" s="9" t="str">
        <f>HYPERLINK(".\links\REFSEQ-PROTOZOA\AGAP007113-PA-REFSEQ-PROTOZOA.txt","hypothetical protein PTSG_02252")</f>
        <v>hypothetical protein PTSG_02252</v>
      </c>
      <c r="BI351" s="2" t="str">
        <f>HYPERLINK("http://www.ncbi.nlm.nih.gov/sutils/blink.cgi?pid=XP_004996737.1","2E-047")</f>
        <v>2E-047</v>
      </c>
      <c r="BJ351" s="2" t="str">
        <f>HYPERLINK("http://www.ncbi.nlm.nih.gov/protein/XP_004996737.1","XP_004996737.1")</f>
        <v>XP_004996737.1</v>
      </c>
      <c r="BK351" s="2">
        <v>28</v>
      </c>
      <c r="BL351" s="2">
        <v>52</v>
      </c>
      <c r="BM351" s="2">
        <v>99</v>
      </c>
      <c r="BN351" s="2" t="s">
        <v>435</v>
      </c>
      <c r="BO351" s="9" t="str">
        <f>HYPERLINK(".\links\SWISSP\AGAP007113-PA-SWISSP.txt","1-acyl-sn-glycerol-3-phosphate acyltransferase gamma")</f>
        <v>1-acyl-sn-glycerol-3-phosphate acyltransferase gamma</v>
      </c>
      <c r="BP351" s="2" t="str">
        <f>HYPERLINK("http://www.uniprot.org/uniprot/Q9D517","5E-080")</f>
        <v>5E-080</v>
      </c>
      <c r="BQ351" s="2" t="str">
        <f>HYPERLINK("http://www.uniprot.org/uniprot/Q9D517#expression","Q9D517")</f>
        <v>Q9D517</v>
      </c>
      <c r="BR351" s="2">
        <v>40</v>
      </c>
      <c r="BS351" s="2">
        <v>58</v>
      </c>
      <c r="BT351" s="2">
        <v>102</v>
      </c>
      <c r="BU351" s="2" t="s">
        <v>662</v>
      </c>
      <c r="BV351" s="9" t="str">
        <f>HYPERLINK(".\links\FLYBASE\AGAP007113-PA-FLYBASE.txt","FBpp0300976")</f>
        <v>FBpp0300976</v>
      </c>
      <c r="BW351" s="2" t="str">
        <f>HYPERLINK("http://flybase.org/reports/FBgn0036623#alliance_summary_container","1E-153")</f>
        <v>1E-153</v>
      </c>
      <c r="BX351" s="2">
        <v>397</v>
      </c>
      <c r="BY351" s="2">
        <v>54</v>
      </c>
      <c r="BZ351" s="2">
        <v>70</v>
      </c>
      <c r="CA351" s="2">
        <v>96</v>
      </c>
      <c r="CB351" s="9" t="str">
        <f>HYPERLINK(".\links\CDD\AGAP007113-PA-CDD.txt","PLN02380, 1-acyl-sn-glycerol-3-phosphate acyltransferase")</f>
        <v>PLN02380, 1-acyl-sn-glycerol-3-phosphate acyltransferase</v>
      </c>
      <c r="CC351" s="15">
        <v>9.9999999999999996E-70</v>
      </c>
      <c r="CD351" s="2">
        <v>97.9</v>
      </c>
      <c r="CE351" s="2" t="s">
        <v>3799</v>
      </c>
      <c r="CF351" s="2" t="s">
        <v>3800</v>
      </c>
      <c r="CG351" s="9" t="str">
        <f>HYPERLINK(".\links\KOG\AGAP007113-PA-KOG.txt","Lysophosphatidic acid acyltransferase LPAAT and related acyltransferases")</f>
        <v>Lysophosphatidic acid acyltransferase LPAAT and related acyltransferases</v>
      </c>
      <c r="CH351" s="15">
        <v>1.9999999999999999E-82</v>
      </c>
      <c r="CI351" s="2">
        <v>100.9</v>
      </c>
      <c r="CJ351" s="2" t="s">
        <v>3801</v>
      </c>
      <c r="CK351" s="2" t="s">
        <v>3802</v>
      </c>
      <c r="CL351" s="9" t="str">
        <f>HYPERLINK(".\links\PFAM\AGAP007113-PA-PFAM.txt","Acyltransf_C, Acyltransferase C-terminus")</f>
        <v>Acyltransf_C, Acyltransferase C-terminus</v>
      </c>
      <c r="CM351" s="15">
        <v>1.9999999999999998E-21</v>
      </c>
      <c r="CN351" s="2">
        <v>108.2</v>
      </c>
      <c r="CO351" s="2" t="s">
        <v>3803</v>
      </c>
      <c r="CP351" s="9" t="str">
        <f>HYPERLINK(".\links\SMART\AGAP007113-PA-SMART.txt","PlsC, Phosphate acyltransferases")</f>
        <v>PlsC, Phosphate acyltransferases</v>
      </c>
      <c r="CQ351" s="15">
        <v>9.9999999999999998E-17</v>
      </c>
      <c r="CR351" s="2">
        <v>105.1</v>
      </c>
      <c r="CS351" s="2" t="s">
        <v>3804</v>
      </c>
      <c r="CT351" s="2" t="s">
        <v>3795</v>
      </c>
      <c r="CU351" s="2" t="s">
        <v>3795</v>
      </c>
      <c r="CV351" s="2" t="s">
        <v>3795</v>
      </c>
      <c r="CW351" s="2" t="str">
        <f>HYPERLINK(".\links\pep\AGAP007113-PA-pep.txt","AGAP007113-PA")</f>
        <v>AGAP007113-PA</v>
      </c>
      <c r="CX351" s="2" t="s">
        <v>95</v>
      </c>
      <c r="CY351" s="2">
        <v>405</v>
      </c>
      <c r="CZ351" s="2" t="s">
        <v>113</v>
      </c>
      <c r="DA351" s="2" t="s">
        <v>3805</v>
      </c>
      <c r="DB351" s="2">
        <v>0</v>
      </c>
      <c r="DC351" s="2">
        <v>1</v>
      </c>
      <c r="DD351" s="2" t="str">
        <f>HYPERLINK("https://www.kegg.jp/kegg-bin/search_pathway_text?map=aga&amp;keyword=AGAP007113&amp;mode=1&amp;viewImage=true","AGAP007113")</f>
        <v>AGAP007113</v>
      </c>
      <c r="DE351" s="2" t="s">
        <v>3791</v>
      </c>
      <c r="DF351" s="2" t="s">
        <v>3792</v>
      </c>
      <c r="DG351" s="2" t="s">
        <v>94</v>
      </c>
      <c r="DH351" s="2" t="str">
        <f>HYPERLINK("https://vectorbase.org/vectorbase/app/record/gene/AGAP007113","AGAP007113-RA")</f>
        <v>AGAP007113-RA</v>
      </c>
      <c r="DI351" s="2" t="s">
        <v>115</v>
      </c>
      <c r="DJ351" s="2">
        <v>2894</v>
      </c>
      <c r="DK351" s="2" t="str">
        <f>HYPERLINK(".\links\netoglyc\AGAP007113-PA-netoglyc.txt","4")</f>
        <v>4</v>
      </c>
      <c r="DL351" s="2">
        <v>12.1</v>
      </c>
      <c r="DM351" s="2">
        <v>5.4</v>
      </c>
      <c r="DN351" s="2">
        <v>4.2</v>
      </c>
      <c r="DO351" s="2" t="s">
        <v>104</v>
      </c>
      <c r="DP351" s="2" t="s">
        <v>102</v>
      </c>
      <c r="DQ351" s="2" t="str">
        <f>HYPERLINK(".\links\Sigp\AGAP007113-PA-SigP.txt","SIG")</f>
        <v>SIG</v>
      </c>
      <c r="DR351" s="2" t="s">
        <v>3797</v>
      </c>
      <c r="DS351" s="2">
        <v>46.652999999999999</v>
      </c>
      <c r="DT351" s="2">
        <v>8.7100000000000009</v>
      </c>
      <c r="DU351" s="2">
        <v>42.92</v>
      </c>
      <c r="DV351" s="2">
        <v>8.68</v>
      </c>
      <c r="DW351" s="2" t="s">
        <v>3798</v>
      </c>
      <c r="DX351" s="2">
        <v>405</v>
      </c>
      <c r="DY351" s="12" t="str">
        <f>HYPERLINK(".\links\tmhmm\AGAP007113-PA-tmhmm.txt","4")</f>
        <v>4</v>
      </c>
      <c r="DZ351" s="2">
        <v>20.5</v>
      </c>
      <c r="EA351" s="2">
        <v>4.9000000000000004</v>
      </c>
      <c r="EB351" s="2">
        <v>74.599999999999994</v>
      </c>
      <c r="EC351" s="2" t="str">
        <f>HYPERLINK(".\links\gpi\AGAP007113-PA-gpi.txt","N")</f>
        <v>N</v>
      </c>
      <c r="ED351" s="2">
        <v>0.25</v>
      </c>
      <c r="EF351" s="2">
        <v>8</v>
      </c>
      <c r="EG351" s="2" t="s">
        <v>102</v>
      </c>
      <c r="EH351" s="2" t="s">
        <v>102</v>
      </c>
      <c r="EI351" s="2">
        <v>12.0987654320988</v>
      </c>
      <c r="EJ351" s="2">
        <v>4.19753086419753</v>
      </c>
      <c r="EK351" s="2">
        <v>5.4320987654320998</v>
      </c>
      <c r="EL351" s="2">
        <v>9.6296296296296298</v>
      </c>
      <c r="EM351" s="2" t="s">
        <v>102</v>
      </c>
      <c r="EN351" s="2">
        <v>2</v>
      </c>
      <c r="EO351" s="2">
        <v>2</v>
      </c>
      <c r="EP351" s="2" t="s">
        <v>102</v>
      </c>
      <c r="EQ351" s="2" t="s">
        <v>102</v>
      </c>
      <c r="ER351" s="2" t="s">
        <v>102</v>
      </c>
      <c r="ES351" s="2" t="s">
        <v>102</v>
      </c>
      <c r="ET351" s="2" t="str">
        <f>HYPERLINK(".\links\REFSEQ-INVERTEBRATE\AGAP007113-PA-REFSEQ-INVERTEBRATE.txt","AGAP007113-PA")</f>
        <v>AGAP007113-PA</v>
      </c>
      <c r="EU351" s="2" t="str">
        <f>HYPERLINK("http://www.ncbi.nlm.nih.gov/sutils/blink.cgi?pid=XP_308646.4","0.0")</f>
        <v>0.0</v>
      </c>
      <c r="EV351" s="2" t="str">
        <f>HYPERLINK("http://www.ncbi.nlm.nih.gov/protein/XP_308646.4","XP_308646.4")</f>
        <v>XP_308646.4</v>
      </c>
      <c r="EW351" s="2">
        <v>100</v>
      </c>
      <c r="EX351" s="2">
        <v>100</v>
      </c>
      <c r="EY351" s="2">
        <v>100</v>
      </c>
      <c r="EZ351" s="2" t="s">
        <v>105</v>
      </c>
    </row>
    <row r="352" spans="1:156" x14ac:dyDescent="0.25">
      <c r="A352" s="2" t="s">
        <v>3806</v>
      </c>
      <c r="B352" s="2">
        <v>-0.281837424671248</v>
      </c>
      <c r="C352" s="2">
        <f t="shared" si="5"/>
        <v>0.82254275470680105</v>
      </c>
      <c r="D352" s="2">
        <v>7.8484454530115197</v>
      </c>
      <c r="E352" s="2">
        <v>9.2123228494059504</v>
      </c>
      <c r="F352" s="2">
        <v>2.40391485372448E-3</v>
      </c>
      <c r="G352" s="2">
        <v>4.6361215036115101E-2</v>
      </c>
      <c r="H352" s="2" t="s">
        <v>3807</v>
      </c>
      <c r="I352" s="2" t="s">
        <v>94</v>
      </c>
      <c r="J352" s="2" t="str">
        <f>HYPERLINK("https://vectorbase.org/vectorbase/app/record/gene/AGAP009619","AGAP009619-RA")</f>
        <v>AGAP009619-RA</v>
      </c>
      <c r="K352" s="2" t="str">
        <f>HYPERLINK(".\links\pep\AGAP009619-PA-pep.txt","AGAP009619-PA")</f>
        <v>AGAP009619-PA</v>
      </c>
      <c r="L352" s="12" t="s">
        <v>95</v>
      </c>
      <c r="M352" s="2">
        <v>389</v>
      </c>
      <c r="N352" s="2">
        <v>0</v>
      </c>
      <c r="O352" s="2">
        <v>3</v>
      </c>
      <c r="P352" s="2" t="s">
        <v>3808</v>
      </c>
      <c r="Q352" s="9" t="s">
        <v>3808</v>
      </c>
      <c r="R352" s="2" t="s">
        <v>355</v>
      </c>
      <c r="S352" s="2" t="str">
        <f>HYPERLINK(".\links\KOG\AGAP009619-PA-KOG.txt","KOG")</f>
        <v>KOG</v>
      </c>
      <c r="T352" s="2">
        <v>0</v>
      </c>
      <c r="U352" s="2">
        <v>113.7</v>
      </c>
      <c r="V352" s="2" t="s">
        <v>3809</v>
      </c>
      <c r="W352" s="10" t="s">
        <v>3810</v>
      </c>
      <c r="X352" s="2" t="s">
        <v>1558</v>
      </c>
      <c r="Y352" s="2" t="str">
        <f>HYPERLINK(".\links\REFSEQVERTEBRATE95\AGAP009619-PA-REFSEQVERTEBRATE95.txt","REFSEQVERTEBRATE95")</f>
        <v>REFSEQVERTEBRATE95</v>
      </c>
      <c r="Z352" s="2">
        <v>0</v>
      </c>
      <c r="AA352" s="2">
        <v>106</v>
      </c>
      <c r="AB352" s="13" t="str">
        <f>HYPERLINK(".\links\pep\AGAP009619-PA-sulf.txt","1")</f>
        <v>1</v>
      </c>
      <c r="AC352" s="13" t="str">
        <f>HYPERLINK(".\links\Sigp\AGAP009619-PA-SigP.txt","CYT")</f>
        <v>CYT</v>
      </c>
      <c r="AD352" s="2" t="s">
        <v>102</v>
      </c>
      <c r="AE352" s="2">
        <v>44.713000000000001</v>
      </c>
      <c r="AF352" s="2">
        <v>5.31</v>
      </c>
      <c r="AG352" s="2" t="s">
        <v>102</v>
      </c>
      <c r="AH352" s="2" t="s">
        <v>102</v>
      </c>
      <c r="AI352" s="2" t="s">
        <v>211</v>
      </c>
      <c r="AJ352" s="13">
        <v>0</v>
      </c>
      <c r="AK352" s="2" t="s">
        <v>102</v>
      </c>
      <c r="AL352" s="2" t="s">
        <v>102</v>
      </c>
      <c r="AM352" s="2" t="s">
        <v>102</v>
      </c>
      <c r="AN352" s="13" t="str">
        <f>HYPERLINK(".\links\gpi\AGAP009619-PA-gpi.txt","N")</f>
        <v>N</v>
      </c>
      <c r="AO352" s="14" t="str">
        <f>HYPERLINK(".\links\netoglyc\AGAP009619-PA-netoglyc.txt","0")</f>
        <v>0</v>
      </c>
      <c r="AP352" s="13">
        <v>14.9</v>
      </c>
      <c r="AQ352" s="2">
        <v>4.5999999999999996</v>
      </c>
      <c r="AR352" s="2">
        <v>3.9</v>
      </c>
      <c r="AS352" s="2" t="s">
        <v>104</v>
      </c>
      <c r="AT352" s="9" t="str">
        <f>HYPERLINK(".\links\NR-LIGHT\AGAP009619-PA-NR-LIGHT.txt","AGAP009619-PA-like protein")</f>
        <v>AGAP009619-PA-like protein</v>
      </c>
      <c r="AU352" s="2" t="str">
        <f>HYPERLINK("http://www.ncbi.nlm.nih.gov/sutils/blink.cgi?pid=KFB39536.1","0.0")</f>
        <v>0.0</v>
      </c>
      <c r="AV352" s="2" t="str">
        <f>HYPERLINK("http://www.ncbi.nlm.nih.gov/protein/KFB39536.1","KFB39536.1")</f>
        <v>KFB39536.1</v>
      </c>
      <c r="AW352" s="2">
        <v>88</v>
      </c>
      <c r="AX352" s="2">
        <v>92</v>
      </c>
      <c r="AY352" s="2">
        <v>105</v>
      </c>
      <c r="AZ352" s="2" t="s">
        <v>1522</v>
      </c>
      <c r="BA352" s="9" t="str">
        <f>HYPERLINK(".\links\REFSEQ-INVERTEBRATE\AGAP009619-PA-REFSEQ-INVERTEBRATE.txt","AGAP009619-PA, partial")</f>
        <v>AGAP009619-PA, partial</v>
      </c>
      <c r="BB352" s="2" t="str">
        <f>HYPERLINK("http://www.ncbi.nlm.nih.gov/sutils/blink.cgi?pid=XP_318648.4","0.0")</f>
        <v>0.0</v>
      </c>
      <c r="BC352" s="2" t="str">
        <f>HYPERLINK("http://www.ncbi.nlm.nih.gov/protein/XP_318648.4","XP_318648.4")</f>
        <v>XP_318648.4</v>
      </c>
      <c r="BD352" s="2">
        <v>88</v>
      </c>
      <c r="BE352" s="2">
        <v>88</v>
      </c>
      <c r="BF352" s="2">
        <v>113</v>
      </c>
      <c r="BG352" s="2" t="s">
        <v>105</v>
      </c>
      <c r="BH352" s="9" t="str">
        <f>HYPERLINK(".\links\REFSEQ-PROTOZOA\AGAP009619-PA-REFSEQ-PROTOZOA.txt","adenosylmethionine decarboxylase")</f>
        <v>adenosylmethionine decarboxylase</v>
      </c>
      <c r="BI352" s="2" t="str">
        <f>HYPERLINK("http://www.ncbi.nlm.nih.gov/sutils/blink.cgi?pid=XP_014152617.1","6E-064")</f>
        <v>6E-064</v>
      </c>
      <c r="BJ352" s="2" t="str">
        <f>HYPERLINK("http://www.ncbi.nlm.nih.gov/protein/XP_014152617.1","XP_014152617.1")</f>
        <v>XP_014152617.1</v>
      </c>
      <c r="BK352" s="2">
        <v>39</v>
      </c>
      <c r="BL352" s="2">
        <v>55</v>
      </c>
      <c r="BM352" s="2">
        <v>104</v>
      </c>
      <c r="BN352" s="2" t="s">
        <v>393</v>
      </c>
      <c r="BO352" s="9" t="str">
        <f>HYPERLINK(".\links\SWISSP\AGAP009619-PA-SWISSP.txt","S-adenosylmethionine decarboxylase proenzyme")</f>
        <v>S-adenosylmethionine decarboxylase proenzyme</v>
      </c>
      <c r="BP352" s="2" t="str">
        <f>HYPERLINK("http://www.uniprot.org/uniprot/P91931","1E-105")</f>
        <v>1E-105</v>
      </c>
      <c r="BQ352" s="2" t="str">
        <f>HYPERLINK("http://www.uniprot.org/uniprot/P91931#expression","P91931")</f>
        <v>P91931</v>
      </c>
      <c r="BR352" s="2">
        <v>55</v>
      </c>
      <c r="BS352" s="2">
        <v>67</v>
      </c>
      <c r="BT352" s="2">
        <v>106</v>
      </c>
      <c r="BU352" s="2" t="s">
        <v>107</v>
      </c>
      <c r="BV352" s="9" t="str">
        <f>HYPERLINK(".\links\FLYBASE\AGAP009619-PA-FLYBASE.txt","FBpp0079584")</f>
        <v>FBpp0079584</v>
      </c>
      <c r="BW352" s="2" t="str">
        <f>HYPERLINK("http://flybase.org/reports/FBgn0019932#alliance_summary_container","1E-137")</f>
        <v>1E-137</v>
      </c>
      <c r="BX352" s="2">
        <v>347</v>
      </c>
      <c r="BY352" s="2">
        <v>55</v>
      </c>
      <c r="BZ352" s="2">
        <v>67</v>
      </c>
      <c r="CA352" s="2">
        <v>106</v>
      </c>
      <c r="CB352" s="9" t="str">
        <f>HYPERLINK(".\links\CDD\AGAP009619-PA-CDD.txt","SAM_decarbox, Adenosylmethionine decarboxylase")</f>
        <v>SAM_decarbox, Adenosylmethionine decarboxylase</v>
      </c>
      <c r="CC352" s="15">
        <v>1E-139</v>
      </c>
      <c r="CD352" s="2">
        <v>113.8</v>
      </c>
      <c r="CE352" s="2" t="s">
        <v>3811</v>
      </c>
      <c r="CF352" s="2" t="s">
        <v>3812</v>
      </c>
      <c r="CG352" s="9" t="str">
        <f>HYPERLINK(".\links\KOG\AGAP009619-PA-KOG.txt","S-adenosylmethionine decarboxylase")</f>
        <v>S-adenosylmethionine decarboxylase</v>
      </c>
      <c r="CH352" s="15">
        <v>9.9999999999999996E-104</v>
      </c>
      <c r="CI352" s="2">
        <v>113.8</v>
      </c>
      <c r="CJ352" s="2" t="s">
        <v>3813</v>
      </c>
      <c r="CK352" s="2" t="s">
        <v>173</v>
      </c>
      <c r="CL352" s="9" t="str">
        <f>HYPERLINK(".\links\PFAM\AGAP009619-PA-PFAM.txt","SAM_decarbox, Adenosylmethionine decarboxylase")</f>
        <v>SAM_decarbox, Adenosylmethionine decarboxylase</v>
      </c>
      <c r="CM352" s="15">
        <v>9.9999999999999998E-141</v>
      </c>
      <c r="CN352" s="2">
        <v>113.8</v>
      </c>
      <c r="CO352" s="2" t="s">
        <v>3811</v>
      </c>
      <c r="CP352" s="9" t="str">
        <f>HYPERLINK(".\links\SMART\AGAP009619-PA-SMART.txt","Amelogenin, Amelogenins, cell adhesion proteins, play a role in the biomineralisation of teeth")</f>
        <v>Amelogenin, Amelogenins, cell adhesion proteins, play a role in the biomineralisation of teeth</v>
      </c>
      <c r="CQ352" s="15">
        <v>0.12</v>
      </c>
      <c r="CR352" s="2">
        <v>27.3</v>
      </c>
      <c r="CS352" s="2" t="s">
        <v>311</v>
      </c>
      <c r="CT352" s="2" t="s">
        <v>3809</v>
      </c>
      <c r="CU352" s="2" t="s">
        <v>3809</v>
      </c>
      <c r="CV352" s="2" t="s">
        <v>3809</v>
      </c>
      <c r="CW352" s="2" t="str">
        <f>HYPERLINK(".\links\pep\AGAP009619-PA-pep.txt","AGAP009619-PA")</f>
        <v>AGAP009619-PA</v>
      </c>
      <c r="CX352" s="2" t="s">
        <v>95</v>
      </c>
      <c r="CY352" s="2">
        <v>389</v>
      </c>
      <c r="CZ352" s="2" t="s">
        <v>113</v>
      </c>
      <c r="DA352" s="2" t="s">
        <v>3814</v>
      </c>
      <c r="DB352" s="2">
        <v>0</v>
      </c>
      <c r="DC352" s="2">
        <v>3</v>
      </c>
      <c r="DD352" s="2" t="str">
        <f>HYPERLINK("https://www.kegg.jp/kegg-bin/search_pathway_text?map=aga&amp;keyword=AGAP009619&amp;mode=1&amp;viewImage=true","AGAP009619")</f>
        <v>AGAP009619</v>
      </c>
      <c r="DE352" s="2" t="s">
        <v>3806</v>
      </c>
      <c r="DF352" s="2" t="s">
        <v>3807</v>
      </c>
      <c r="DG352" s="2" t="s">
        <v>94</v>
      </c>
      <c r="DH352" s="2" t="str">
        <f>HYPERLINK("https://vectorbase.org/vectorbase/app/record/gene/AGAP009619","AGAP009619-RA")</f>
        <v>AGAP009619-RA</v>
      </c>
      <c r="DI352" s="2" t="s">
        <v>135</v>
      </c>
      <c r="DJ352" s="2">
        <v>4964</v>
      </c>
      <c r="DK352" s="2" t="str">
        <f>HYPERLINK(".\links\netoglyc\AGAP009619-PA-netoglyc.txt","0")</f>
        <v>0</v>
      </c>
      <c r="DL352" s="2">
        <v>14.9</v>
      </c>
      <c r="DM352" s="2">
        <v>4.5999999999999996</v>
      </c>
      <c r="DN352" s="2">
        <v>3.9</v>
      </c>
      <c r="DO352" s="2" t="s">
        <v>104</v>
      </c>
      <c r="DP352" s="2" t="s">
        <v>102</v>
      </c>
      <c r="DQ352" s="2" t="str">
        <f>HYPERLINK(".\links\Sigp\AGAP009619-PA-SigP.txt","CYT")</f>
        <v>CYT</v>
      </c>
      <c r="DR352" s="2" t="s">
        <v>102</v>
      </c>
      <c r="DS352" s="2">
        <v>44.713000000000001</v>
      </c>
      <c r="DT352" s="2">
        <v>5.31</v>
      </c>
      <c r="DU352" s="2" t="s">
        <v>102</v>
      </c>
      <c r="DV352" s="2" t="s">
        <v>102</v>
      </c>
      <c r="DW352" s="2" t="s">
        <v>211</v>
      </c>
      <c r="DX352" s="2">
        <v>389</v>
      </c>
      <c r="DY352" s="12">
        <v>0</v>
      </c>
      <c r="DZ352" s="2" t="s">
        <v>102</v>
      </c>
      <c r="EA352" s="2" t="s">
        <v>102</v>
      </c>
      <c r="EB352" s="2" t="s">
        <v>102</v>
      </c>
      <c r="EC352" s="2" t="str">
        <f>HYPERLINK(".\links\gpi\AGAP009619-PA-gpi.txt","N")</f>
        <v>N</v>
      </c>
      <c r="ED352" s="2">
        <v>0.2</v>
      </c>
      <c r="EF352" s="2">
        <v>9</v>
      </c>
      <c r="EG352" s="2" t="str">
        <f>HYPERLINK(".\links\pep\AGAP009619-PA-sulf.txt","1")</f>
        <v>1</v>
      </c>
      <c r="EH352" s="2" t="s">
        <v>102</v>
      </c>
      <c r="EI352" s="2">
        <v>14.9100257069409</v>
      </c>
      <c r="EJ352" s="2">
        <v>3.8560411311054001</v>
      </c>
      <c r="EK352" s="2">
        <v>4.6272493573264804</v>
      </c>
      <c r="EL352" s="2">
        <v>8.48329048843188</v>
      </c>
      <c r="EM352" s="2">
        <v>1</v>
      </c>
      <c r="EN352" s="2" t="s">
        <v>102</v>
      </c>
      <c r="EO352" s="2">
        <v>2</v>
      </c>
      <c r="EP352" s="2" t="s">
        <v>102</v>
      </c>
      <c r="EQ352" s="2" t="s">
        <v>102</v>
      </c>
      <c r="ER352" s="2" t="s">
        <v>102</v>
      </c>
      <c r="ES352" s="2" t="s">
        <v>102</v>
      </c>
      <c r="ET352" s="2" t="str">
        <f>HYPERLINK(".\links\REFSEQ-INVERTEBRATE\AGAP009619-PA-REFSEQ-INVERTEBRATE.txt","S-adenosylmethionine decarboxylase proenzyme isoform X2")</f>
        <v>S-adenosylmethionine decarboxylase proenzyme isoform X2</v>
      </c>
      <c r="EU352" s="2" t="str">
        <f>HYPERLINK("http://www.ncbi.nlm.nih.gov/sutils/blink.cgi?pid=XP_035910880.1","0.0")</f>
        <v>0.0</v>
      </c>
      <c r="EV352" s="2" t="str">
        <f>HYPERLINK("http://www.ncbi.nlm.nih.gov/protein/XP_035910880.1","XP_035910880.1")</f>
        <v>XP_035910880.1</v>
      </c>
      <c r="EW352" s="2">
        <v>86</v>
      </c>
      <c r="EX352" s="2">
        <v>91</v>
      </c>
      <c r="EY352" s="2">
        <v>102</v>
      </c>
      <c r="EZ352" s="2" t="s">
        <v>370</v>
      </c>
    </row>
    <row r="353" spans="1:156" x14ac:dyDescent="0.25">
      <c r="A353" s="2" t="s">
        <v>3815</v>
      </c>
      <c r="B353" s="2">
        <v>-0.282778668806966</v>
      </c>
      <c r="C353" s="2">
        <f t="shared" si="5"/>
        <v>0.82200628579220292</v>
      </c>
      <c r="D353" s="2">
        <v>6.6994824349073596</v>
      </c>
      <c r="E353" s="2">
        <v>10.8586022007394</v>
      </c>
      <c r="F353" s="2">
        <v>9.8337891872140194E-4</v>
      </c>
      <c r="G353" s="2">
        <v>3.1972181730661298E-2</v>
      </c>
      <c r="H353" s="2" t="s">
        <v>549</v>
      </c>
      <c r="I353" s="2" t="s">
        <v>88</v>
      </c>
      <c r="J353" s="8" t="s">
        <v>3816</v>
      </c>
      <c r="Q353" s="9"/>
      <c r="W353" s="10"/>
      <c r="AB353" s="9"/>
      <c r="AC353" s="9"/>
      <c r="AJ353" s="9"/>
      <c r="AN353" s="9"/>
      <c r="AO353" s="11"/>
      <c r="AP353" s="9"/>
      <c r="AT353" s="9"/>
      <c r="BA353" s="9"/>
      <c r="BH353" s="9"/>
      <c r="BO353" s="9"/>
      <c r="BV353" s="9"/>
      <c r="CB353" s="9"/>
      <c r="CG353" s="9"/>
      <c r="CL353" s="9"/>
      <c r="CP353" s="9"/>
      <c r="DE353" s="2" t="s">
        <v>3815</v>
      </c>
      <c r="DF353" s="2" t="s">
        <v>549</v>
      </c>
      <c r="DG353" s="2" t="s">
        <v>88</v>
      </c>
      <c r="DH353" s="8" t="s">
        <v>3816</v>
      </c>
      <c r="DI353" s="2" t="s">
        <v>135</v>
      </c>
      <c r="DJ353" s="2">
        <v>9306</v>
      </c>
      <c r="DQ353" s="2" t="s">
        <v>141</v>
      </c>
      <c r="DS353" s="2">
        <v>301413</v>
      </c>
      <c r="DT353" s="2">
        <v>5.96</v>
      </c>
      <c r="DX353" s="2">
        <v>2690</v>
      </c>
      <c r="DY353" s="12"/>
    </row>
    <row r="354" spans="1:156" x14ac:dyDescent="0.25">
      <c r="A354" s="2" t="s">
        <v>3817</v>
      </c>
      <c r="B354" s="2">
        <v>-0.28362560167717599</v>
      </c>
      <c r="C354" s="2">
        <f t="shared" si="5"/>
        <v>0.82152386933129851</v>
      </c>
      <c r="D354" s="2">
        <v>7.0564018544376301</v>
      </c>
      <c r="E354" s="2">
        <v>9.8020001140857005</v>
      </c>
      <c r="F354" s="2">
        <v>1.7432216898807199E-3</v>
      </c>
      <c r="G354" s="2">
        <v>4.0888815984755703E-2</v>
      </c>
      <c r="H354" s="2" t="s">
        <v>3818</v>
      </c>
      <c r="I354" s="2" t="s">
        <v>94</v>
      </c>
      <c r="J354" s="2" t="str">
        <f>HYPERLINK("https://vectorbase.org/vectorbase/app/record/gene/AGAP002924","AGAP002924-RA")</f>
        <v>AGAP002924-RA</v>
      </c>
      <c r="K354" s="2" t="str">
        <f>HYPERLINK(".\links\pep\AGAP002924-PA-pep.txt","AGAP002924-PA")</f>
        <v>AGAP002924-PA</v>
      </c>
      <c r="L354" s="12" t="s">
        <v>95</v>
      </c>
      <c r="M354" s="2">
        <v>586</v>
      </c>
      <c r="N354" s="2">
        <v>0</v>
      </c>
      <c r="O354" s="2">
        <v>0</v>
      </c>
      <c r="P354" s="2" t="s">
        <v>3819</v>
      </c>
      <c r="Q354" s="9" t="s">
        <v>3820</v>
      </c>
      <c r="R354" s="2" t="s">
        <v>98</v>
      </c>
      <c r="S354" s="2" t="str">
        <f>HYPERLINK(".\links\KOG\AGAP002924-PA-KOG.txt","KOG")</f>
        <v>KOG</v>
      </c>
      <c r="T354" s="2">
        <v>0</v>
      </c>
      <c r="U354" s="2">
        <v>106.4</v>
      </c>
      <c r="V354" s="2" t="s">
        <v>3821</v>
      </c>
      <c r="W354" s="10" t="s">
        <v>3822</v>
      </c>
      <c r="X354" s="2" t="s">
        <v>167</v>
      </c>
      <c r="Y354" s="2" t="str">
        <f>HYPERLINK(".\links\CDD\AGAP002924-PA-CDD.txt","CDD")</f>
        <v>CDD</v>
      </c>
      <c r="Z354" s="15">
        <v>3E-68</v>
      </c>
      <c r="AA354" s="2">
        <v>104.7</v>
      </c>
      <c r="AB354" s="13" t="s">
        <v>102</v>
      </c>
      <c r="AC354" s="13" t="str">
        <f>HYPERLINK(".\links\Sigp\AGAP002924-PA-SigP.txt","CYT")</f>
        <v>CYT</v>
      </c>
      <c r="AD354" s="2" t="s">
        <v>102</v>
      </c>
      <c r="AE354" s="2">
        <v>64.33</v>
      </c>
      <c r="AF354" s="2">
        <v>8.66</v>
      </c>
      <c r="AG354" s="2" t="s">
        <v>102</v>
      </c>
      <c r="AH354" s="2" t="s">
        <v>102</v>
      </c>
      <c r="AI354" s="2" t="s">
        <v>3823</v>
      </c>
      <c r="AJ354" s="13" t="str">
        <f>HYPERLINK(".\links\tmhmm\AGAP002924-PA-tmhmm.txt","5")</f>
        <v>5</v>
      </c>
      <c r="AK354" s="2">
        <v>17.899999999999999</v>
      </c>
      <c r="AL354" s="2">
        <v>51.2</v>
      </c>
      <c r="AM354" s="2">
        <v>30.9</v>
      </c>
      <c r="AN354" s="13" t="str">
        <f>HYPERLINK(".\links\gpi\AGAP002924-PA-gpi.txt","N")</f>
        <v>N</v>
      </c>
      <c r="AO354" s="14" t="str">
        <f>HYPERLINK(".\links\netoglyc\AGAP002924-PA-netoglyc.txt","0")</f>
        <v>0</v>
      </c>
      <c r="AP354" s="13">
        <v>15.5</v>
      </c>
      <c r="AQ354" s="2">
        <v>7</v>
      </c>
      <c r="AR354" s="2">
        <v>4.9000000000000004</v>
      </c>
      <c r="AS354" s="2" t="s">
        <v>104</v>
      </c>
      <c r="AT354" s="9" t="str">
        <f>HYPERLINK(".\links\NR-LIGHT\AGAP002924-PA-NR-LIGHT.txt","AGAP002924-PB")</f>
        <v>AGAP002924-PB</v>
      </c>
      <c r="AU354" s="2" t="str">
        <f>HYPERLINK("http://www.ncbi.nlm.nih.gov/sutils/blink.cgi?pid=XP_003436310.1","0.0")</f>
        <v>0.0</v>
      </c>
      <c r="AV354" s="2" t="str">
        <f>HYPERLINK("http://www.ncbi.nlm.nih.gov/protein/XP_003436310.1","XP_003436310.1")</f>
        <v>XP_003436310.1</v>
      </c>
      <c r="AW354" s="2">
        <v>99</v>
      </c>
      <c r="AX354" s="2">
        <v>100</v>
      </c>
      <c r="AY354" s="2">
        <v>36</v>
      </c>
      <c r="AZ354" s="2" t="s">
        <v>105</v>
      </c>
      <c r="BA354" s="9" t="str">
        <f>HYPERLINK(".\links\REFSEQ-INVERTEBRATE\AGAP002924-PA-REFSEQ-INVERTEBRATE.txt","AGAP002924-PA")</f>
        <v>AGAP002924-PA</v>
      </c>
      <c r="BB354" s="2" t="str">
        <f>HYPERLINK("http://www.ncbi.nlm.nih.gov/sutils/blink.cgi?pid=XP_311979.5","0.0")</f>
        <v>0.0</v>
      </c>
      <c r="BC354" s="2" t="str">
        <f>HYPERLINK("http://www.ncbi.nlm.nih.gov/protein/XP_311979.5","XP_311979.5")</f>
        <v>XP_311979.5</v>
      </c>
      <c r="BD354" s="2">
        <v>99</v>
      </c>
      <c r="BE354" s="2">
        <v>100</v>
      </c>
      <c r="BF354" s="2">
        <v>82</v>
      </c>
      <c r="BG354" s="2" t="s">
        <v>105</v>
      </c>
      <c r="BH354" s="9" t="str">
        <f>HYPERLINK(".\links\REFSEQ-PROTOZOA\AGAP002924-PA-REFSEQ-PROTOZOA.txt","hypothetical protein PTSG_03976")</f>
        <v>hypothetical protein PTSG_03976</v>
      </c>
      <c r="BI354" s="2" t="str">
        <f>HYPERLINK("http://www.ncbi.nlm.nih.gov/sutils/blink.cgi?pid=XP_004994872.1","2E-008")</f>
        <v>2E-008</v>
      </c>
      <c r="BJ354" s="2" t="str">
        <f>HYPERLINK("http://www.ncbi.nlm.nih.gov/protein/XP_004994872.1","XP_004994872.1")</f>
        <v>XP_004994872.1</v>
      </c>
      <c r="BK354" s="2">
        <v>22</v>
      </c>
      <c r="BL354" s="2">
        <v>37</v>
      </c>
      <c r="BM354" s="2">
        <v>82</v>
      </c>
      <c r="BN354" s="2" t="s">
        <v>435</v>
      </c>
      <c r="BO354" s="9" t="str">
        <f>HYPERLINK(".\links\SWISSP\AGAP002924-PA-SWISSP.txt","Protein tweety-2")</f>
        <v>Protein tweety-2</v>
      </c>
      <c r="BP354" s="2" t="str">
        <f>HYPERLINK("http://www.uniprot.org/uniprot/Q9W5A5","1E-151")</f>
        <v>1E-151</v>
      </c>
      <c r="BQ354" s="2" t="str">
        <f>HYPERLINK("http://www.uniprot.org/uniprot/Q9W5A5#expression","Q9W5A5")</f>
        <v>Q9W5A5</v>
      </c>
      <c r="BR354" s="2">
        <v>45</v>
      </c>
      <c r="BS354" s="2">
        <v>60</v>
      </c>
      <c r="BT354" s="2">
        <v>100</v>
      </c>
      <c r="BU354" s="2" t="s">
        <v>107</v>
      </c>
      <c r="BV354" s="9" t="str">
        <f>HYPERLINK(".\links\FLYBASE\AGAP002924-PA-FLYBASE.txt","FBpp0303240")</f>
        <v>FBpp0303240</v>
      </c>
      <c r="BW354" s="2" t="str">
        <f>HYPERLINK("http://flybase.org/reports/FBgn0261444#alliance_summary_container","1E-158")</f>
        <v>1E-158</v>
      </c>
      <c r="BX354" s="2">
        <v>586</v>
      </c>
      <c r="BY354" s="2">
        <v>48</v>
      </c>
      <c r="BZ354" s="2">
        <v>64</v>
      </c>
      <c r="CA354" s="2">
        <v>103</v>
      </c>
      <c r="CB354" s="9" t="str">
        <f>HYPERLINK(".\links\CDD\AGAP002924-PA-CDD.txt","Tweety_N, N-terminal domain of the protein encoded by the Drosophila tweety gene and related proteins, a family of chloride ion channels")</f>
        <v>Tweety_N, N-terminal domain of the protein encoded by the Drosophila tweety gene and related proteins, a family of chloride ion channels</v>
      </c>
      <c r="CC354" s="15">
        <v>9.9999999999999995E-113</v>
      </c>
      <c r="CD354" s="2">
        <v>106.5</v>
      </c>
      <c r="CE354" s="2" t="s">
        <v>3824</v>
      </c>
      <c r="CF354" s="2" t="s">
        <v>3825</v>
      </c>
      <c r="CG354" s="9" t="str">
        <f>HYPERLINK(".\links\KOG\AGAP002924-PA-KOG.txt","Tweety transmembrane/cell surface protein")</f>
        <v>Tweety transmembrane/cell surface protein</v>
      </c>
      <c r="CH354" s="15">
        <v>9.9999999999999995E-113</v>
      </c>
      <c r="CI354" s="2">
        <v>106.5</v>
      </c>
      <c r="CJ354" s="2" t="s">
        <v>3826</v>
      </c>
      <c r="CK354" s="2" t="s">
        <v>191</v>
      </c>
      <c r="CL354" s="9" t="str">
        <f>HYPERLINK(".\links\PFAM\AGAP002924-PA-PFAM.txt","Tweety, Tweety")</f>
        <v>Tweety, Tweety</v>
      </c>
      <c r="CM354" s="15">
        <v>1E-107</v>
      </c>
      <c r="CN354" s="2">
        <v>107.4</v>
      </c>
      <c r="CO354" s="2" t="s">
        <v>3827</v>
      </c>
      <c r="CP354" s="9" t="str">
        <f>HYPERLINK(".\links\SMART\AGAP002924-PA-SMART.txt","CTD, Spt5 C-terminal nonapeptide repeat binding Spt4")</f>
        <v>CTD, Spt5 C-terminal nonapeptide repeat binding Spt4</v>
      </c>
      <c r="CQ354" s="15">
        <v>0.02</v>
      </c>
      <c r="CR354" s="2">
        <v>75.2</v>
      </c>
      <c r="CS354" s="2" t="s">
        <v>2103</v>
      </c>
      <c r="CT354" s="2" t="s">
        <v>3821</v>
      </c>
      <c r="CU354" s="2" t="s">
        <v>3821</v>
      </c>
      <c r="CV354" s="2" t="s">
        <v>3821</v>
      </c>
      <c r="CW354" s="2" t="str">
        <f>HYPERLINK(".\links\pep\AGAP002924-PA-pep.txt","AGAP002924-PA")</f>
        <v>AGAP002924-PA</v>
      </c>
      <c r="CX354" s="2" t="s">
        <v>95</v>
      </c>
      <c r="CY354" s="2">
        <v>586</v>
      </c>
      <c r="CZ354" s="2" t="s">
        <v>113</v>
      </c>
      <c r="DA354" s="2" t="s">
        <v>3828</v>
      </c>
      <c r="DB354" s="2">
        <v>0</v>
      </c>
      <c r="DC354" s="2">
        <v>0</v>
      </c>
      <c r="DD354" s="2" t="str">
        <f>HYPERLINK("https://www.kegg.jp/kegg-bin/search_pathway_text?map=aga&amp;keyword=AGAP002924&amp;mode=1&amp;viewImage=true","AGAP002924")</f>
        <v>AGAP002924</v>
      </c>
      <c r="DE354" s="2" t="s">
        <v>3817</v>
      </c>
      <c r="DF354" s="2" t="s">
        <v>3818</v>
      </c>
      <c r="DG354" s="2" t="s">
        <v>94</v>
      </c>
      <c r="DH354" s="2" t="str">
        <f>HYPERLINK("https://vectorbase.org/vectorbase/app/record/gene/AGAP002924","AGAP002924-RA")</f>
        <v>AGAP002924-RA</v>
      </c>
      <c r="DI354" s="2" t="s">
        <v>115</v>
      </c>
      <c r="DJ354" s="2">
        <v>10450</v>
      </c>
      <c r="DK354" s="2" t="str">
        <f>HYPERLINK(".\links\netoglyc\AGAP002924-PA-netoglyc.txt","0")</f>
        <v>0</v>
      </c>
      <c r="DL354" s="2">
        <v>15.5</v>
      </c>
      <c r="DM354" s="2">
        <v>7</v>
      </c>
      <c r="DN354" s="2">
        <v>4.9000000000000004</v>
      </c>
      <c r="DO354" s="2" t="s">
        <v>104</v>
      </c>
      <c r="DP354" s="2" t="s">
        <v>102</v>
      </c>
      <c r="DQ354" s="2" t="str">
        <f>HYPERLINK(".\links\Sigp\AGAP002924-PA-SigP.txt","CYT")</f>
        <v>CYT</v>
      </c>
      <c r="DR354" s="2" t="s">
        <v>102</v>
      </c>
      <c r="DS354" s="2">
        <v>64.33</v>
      </c>
      <c r="DT354" s="2">
        <v>8.66</v>
      </c>
      <c r="DU354" s="2" t="s">
        <v>102</v>
      </c>
      <c r="DV354" s="2" t="s">
        <v>102</v>
      </c>
      <c r="DW354" s="2" t="s">
        <v>3823</v>
      </c>
      <c r="DX354" s="2">
        <v>586</v>
      </c>
      <c r="DY354" s="12" t="str">
        <f>HYPERLINK(".\links\tmhmm\AGAP002924-PA-tmhmm.txt","5")</f>
        <v>5</v>
      </c>
      <c r="DZ354" s="2">
        <v>17.899999999999999</v>
      </c>
      <c r="EA354" s="2">
        <v>51.2</v>
      </c>
      <c r="EB354" s="2">
        <v>30.9</v>
      </c>
      <c r="EC354" s="2" t="str">
        <f>HYPERLINK(".\links\gpi\AGAP002924-PA-gpi.txt","Y-NoSP")</f>
        <v>Y-NoSP</v>
      </c>
      <c r="ED354" s="2">
        <v>0.22</v>
      </c>
      <c r="EF354" s="2">
        <v>16</v>
      </c>
      <c r="EG354" s="2" t="s">
        <v>102</v>
      </c>
      <c r="EH354" s="2" t="s">
        <v>102</v>
      </c>
      <c r="EI354" s="2">
        <v>15.5290102389078</v>
      </c>
      <c r="EJ354" s="2">
        <v>4.94880546075085</v>
      </c>
      <c r="EK354" s="2">
        <v>6.9965870307167197</v>
      </c>
      <c r="EL354" s="2">
        <v>11.945392491467601</v>
      </c>
      <c r="EM354" s="2" t="s">
        <v>102</v>
      </c>
      <c r="EN354" s="2" t="s">
        <v>102</v>
      </c>
      <c r="EO354" s="2">
        <v>3</v>
      </c>
      <c r="EP354" s="2" t="s">
        <v>102</v>
      </c>
      <c r="EQ354" s="2" t="s">
        <v>102</v>
      </c>
      <c r="ER354" s="2" t="s">
        <v>102</v>
      </c>
      <c r="ES354" s="2" t="s">
        <v>576</v>
      </c>
      <c r="ET354" s="2" t="str">
        <f>HYPERLINK(".\links\REFSEQ-INVERTEBRATE\AGAP002924-PA-REFSEQ-INVERTEBRATE.txt","protein tweety-2-like isoform X2")</f>
        <v>protein tweety-2-like isoform X2</v>
      </c>
      <c r="EU354" s="2" t="str">
        <f>HYPERLINK("http://www.ncbi.nlm.nih.gov/sutils/blink.cgi?pid=XP_035902322.1","0.0")</f>
        <v>0.0</v>
      </c>
      <c r="EV354" s="2" t="str">
        <f>HYPERLINK("http://www.ncbi.nlm.nih.gov/protein/XP_035902322.1","XP_035902322.1")</f>
        <v>XP_035902322.1</v>
      </c>
      <c r="EW354" s="2">
        <v>95</v>
      </c>
      <c r="EX354" s="2">
        <v>95</v>
      </c>
      <c r="EY354" s="2">
        <v>103</v>
      </c>
      <c r="EZ354" s="2" t="s">
        <v>370</v>
      </c>
    </row>
    <row r="355" spans="1:156" x14ac:dyDescent="0.25">
      <c r="A355" s="2" t="s">
        <v>3829</v>
      </c>
      <c r="B355" s="2">
        <v>-0.28618675780300801</v>
      </c>
      <c r="C355" s="2">
        <f t="shared" si="5"/>
        <v>0.82006674615640107</v>
      </c>
      <c r="D355" s="2">
        <v>6.7644893539759696</v>
      </c>
      <c r="E355" s="2">
        <v>9.0661328280897493</v>
      </c>
      <c r="F355" s="2">
        <v>2.6038716826539601E-3</v>
      </c>
      <c r="G355" s="2">
        <v>4.7269525491001697E-2</v>
      </c>
      <c r="H355" s="2" t="s">
        <v>3830</v>
      </c>
      <c r="I355" s="2" t="s">
        <v>94</v>
      </c>
      <c r="J355" s="2" t="str">
        <f>HYPERLINK("https://vectorbase.org/vectorbase/app/record/gene/AGAP012175","AGAP012175-RA")</f>
        <v>AGAP012175-RA</v>
      </c>
      <c r="K355" s="2" t="str">
        <f>HYPERLINK(".\links\pep\AGAP012175-PA-pep.txt","AGAP012175-PA")</f>
        <v>AGAP012175-PA</v>
      </c>
      <c r="L355" s="12" t="s">
        <v>95</v>
      </c>
      <c r="M355" s="2">
        <v>1263</v>
      </c>
      <c r="N355" s="2">
        <v>0</v>
      </c>
      <c r="O355" s="2">
        <v>1</v>
      </c>
      <c r="P355" s="2" t="s">
        <v>3831</v>
      </c>
      <c r="Q355" s="9" t="s">
        <v>3832</v>
      </c>
      <c r="R355" s="2" t="s">
        <v>181</v>
      </c>
      <c r="S355" s="2" t="str">
        <f>HYPERLINK(".\links\KOG\AGAP012175-PA-KOG.txt","KOG")</f>
        <v>KOG</v>
      </c>
      <c r="T355" s="2">
        <v>9.0000000000000002E-59</v>
      </c>
      <c r="U355" s="2">
        <v>43.3</v>
      </c>
      <c r="V355" s="2" t="s">
        <v>3833</v>
      </c>
      <c r="W355" s="10" t="s">
        <v>3834</v>
      </c>
      <c r="X355" s="2" t="s">
        <v>1221</v>
      </c>
      <c r="Y355" s="2" t="str">
        <f>HYPERLINK(".\links\CDD\AGAP012175-PA-CDD.txt","CDD")</f>
        <v>CDD</v>
      </c>
      <c r="Z355" s="15">
        <v>0</v>
      </c>
      <c r="AA355" s="2">
        <v>102.3</v>
      </c>
      <c r="AB355" s="13" t="str">
        <f>HYPERLINK(".\links\pep\AGAP012175-PA-sulf.txt","4")</f>
        <v>4</v>
      </c>
      <c r="AC355" s="13" t="str">
        <f>HYPERLINK(".\links\Sigp\AGAP012175-PA-SigP.txt","CYT")</f>
        <v>CYT</v>
      </c>
      <c r="AD355" s="2" t="s">
        <v>102</v>
      </c>
      <c r="AE355" s="2">
        <v>139.10599999999999</v>
      </c>
      <c r="AF355" s="2">
        <v>6.99</v>
      </c>
      <c r="AG355" s="2" t="s">
        <v>102</v>
      </c>
      <c r="AH355" s="2" t="s">
        <v>102</v>
      </c>
      <c r="AI355" s="2" t="s">
        <v>3835</v>
      </c>
      <c r="AJ355" s="13">
        <v>0</v>
      </c>
      <c r="AK355" s="2" t="s">
        <v>102</v>
      </c>
      <c r="AL355" s="2" t="s">
        <v>102</v>
      </c>
      <c r="AM355" s="2" t="s">
        <v>102</v>
      </c>
      <c r="AN355" s="13" t="str">
        <f>HYPERLINK(".\links\gpi\AGAP012175-PA-gpi.txt","N")</f>
        <v>N</v>
      </c>
      <c r="AO355" s="14" t="str">
        <f>HYPERLINK(".\links\netoglyc\AGAP012175-PA-netoglyc.txt","27")</f>
        <v>27</v>
      </c>
      <c r="AP355" s="13">
        <v>13.9</v>
      </c>
      <c r="AQ355" s="2">
        <v>7.4</v>
      </c>
      <c r="AR355" s="2">
        <v>7.5</v>
      </c>
      <c r="AS355" s="2" t="s">
        <v>104</v>
      </c>
      <c r="AT355" s="9" t="str">
        <f>HYPERLINK(".\links\NR-LIGHT\AGAP012175-PA-NR-LIGHT.txt","AGAP012175-PA")</f>
        <v>AGAP012175-PA</v>
      </c>
      <c r="AU355" s="2" t="str">
        <f>HYPERLINK("http://www.ncbi.nlm.nih.gov/sutils/blink.cgi?pid=XP_320360.4","0.0")</f>
        <v>0.0</v>
      </c>
      <c r="AV355" s="2" t="str">
        <f>HYPERLINK("http://www.ncbi.nlm.nih.gov/protein/XP_320360.4","XP_320360.4")</f>
        <v>XP_320360.4</v>
      </c>
      <c r="AW355" s="2">
        <v>100</v>
      </c>
      <c r="AX355" s="2">
        <v>100</v>
      </c>
      <c r="AY355" s="2">
        <v>100</v>
      </c>
      <c r="AZ355" s="2" t="s">
        <v>105</v>
      </c>
      <c r="BA355" s="9" t="str">
        <f>HYPERLINK(".\links\REFSEQ-INVERTEBRATE\AGAP012175-PA-REFSEQ-INVERTEBRATE.txt","AGAP012175-PA")</f>
        <v>AGAP012175-PA</v>
      </c>
      <c r="BB355" s="2" t="str">
        <f>HYPERLINK("http://www.ncbi.nlm.nih.gov/sutils/blink.cgi?pid=XP_320360.4","0.0")</f>
        <v>0.0</v>
      </c>
      <c r="BC355" s="2" t="str">
        <f>HYPERLINK("http://www.ncbi.nlm.nih.gov/protein/XP_320360.4","XP_320360.4")</f>
        <v>XP_320360.4</v>
      </c>
      <c r="BD355" s="2">
        <v>100</v>
      </c>
      <c r="BE355" s="2">
        <v>100</v>
      </c>
      <c r="BF355" s="2">
        <v>100</v>
      </c>
      <c r="BG355" s="2" t="s">
        <v>105</v>
      </c>
      <c r="BH355" s="9" t="str">
        <f>HYPERLINK(".\links\REFSEQ-PROTOZOA\AGAP012175-PA-REFSEQ-PROTOZOA.txt","synaptojanin-PB")</f>
        <v>synaptojanin-PB</v>
      </c>
      <c r="BI355" s="2" t="str">
        <f>HYPERLINK("http://www.ncbi.nlm.nih.gov/sutils/blink.cgi?pid=XP_004346759.2","1E-178")</f>
        <v>1E-178</v>
      </c>
      <c r="BJ355" s="2" t="str">
        <f>HYPERLINK("http://www.ncbi.nlm.nih.gov/protein/XP_004346759.2","XP_004346759.2")</f>
        <v>XP_004346759.2</v>
      </c>
      <c r="BK355" s="2">
        <v>35</v>
      </c>
      <c r="BL355" s="2">
        <v>49</v>
      </c>
      <c r="BM355" s="2">
        <v>106</v>
      </c>
      <c r="BN355" s="2" t="s">
        <v>106</v>
      </c>
      <c r="BO355" s="9" t="str">
        <f>HYPERLINK(".\links\SWISSP\AGAP012175-PA-SWISSP.txt","Synaptojanin-1")</f>
        <v>Synaptojanin-1</v>
      </c>
      <c r="BP355" s="2" t="str">
        <f>HYPERLINK("http://www.uniprot.org/uniprot/Q62910","0.0")</f>
        <v>0.0</v>
      </c>
      <c r="BQ355" s="2" t="str">
        <f>HYPERLINK("http://www.uniprot.org/uniprot/Q62910#expression","Q62910")</f>
        <v>Q62910</v>
      </c>
      <c r="BR355" s="2">
        <v>46</v>
      </c>
      <c r="BS355" s="2">
        <v>61</v>
      </c>
      <c r="BT355" s="2">
        <v>86</v>
      </c>
      <c r="BU355" s="2" t="s">
        <v>305</v>
      </c>
      <c r="BV355" s="9" t="str">
        <f>HYPERLINK(".\links\FLYBASE\AGAP012175-PA-FLYBASE.txt","FBpp0300559")</f>
        <v>FBpp0300559</v>
      </c>
      <c r="BW355" s="2" t="str">
        <f>HYPERLINK("http://flybase.org/reports/FBgn0034691#alliance_summary_container","0.0")</f>
        <v>0.0</v>
      </c>
      <c r="BX355" s="2">
        <v>1218</v>
      </c>
      <c r="BY355" s="2">
        <v>63</v>
      </c>
      <c r="BZ355" s="2">
        <v>74</v>
      </c>
      <c r="CA355" s="2">
        <v>102</v>
      </c>
      <c r="CB355" s="9" t="str">
        <f>HYPERLINK(".\links\CDD\AGAP012175-PA-CDD.txt","INPP5c_Synj, Catalytic inositol polyphosphate 5-phosphatase (INPP5c) domain of synaptojanins")</f>
        <v>INPP5c_Synj, Catalytic inositol polyphosphate 5-phosphatase (INPP5c) domain of synaptojanins</v>
      </c>
      <c r="CC355" s="15">
        <v>9.9999999999999998E-171</v>
      </c>
      <c r="CD355" s="2">
        <v>101.8</v>
      </c>
      <c r="CE355" s="2" t="s">
        <v>3836</v>
      </c>
      <c r="CF355" s="2" t="s">
        <v>3837</v>
      </c>
      <c r="CG355" s="9" t="str">
        <f>HYPERLINK(".\links\KOG\AGAP012175-PA-KOG.txt","4,5-triphosphate 5-phosphatase (synaptojanin), INP51/INP52/INP53 family")</f>
        <v>4,5-triphosphate 5-phosphatase (synaptojanin), INP51/INP52/INP53 family</v>
      </c>
      <c r="CH355" s="15">
        <v>0</v>
      </c>
      <c r="CI355" s="2">
        <v>107.5</v>
      </c>
      <c r="CJ355" s="2" t="s">
        <v>153</v>
      </c>
      <c r="CK355" s="2" t="s">
        <v>154</v>
      </c>
      <c r="CL355" s="9" t="str">
        <f>HYPERLINK(".\links\PFAM\AGAP012175-PA-PFAM.txt","Syja_N, SacI homology domain")</f>
        <v>Syja_N, SacI homology domain</v>
      </c>
      <c r="CM355" s="15">
        <v>3.0000000000000001E-73</v>
      </c>
      <c r="CN355" s="2">
        <v>111</v>
      </c>
      <c r="CO355" s="2" t="s">
        <v>3838</v>
      </c>
      <c r="CP355" s="9" t="str">
        <f>HYPERLINK(".\links\SMART\AGAP012175-PA-SMART.txt","IPPc, Inositol polyphosphate phosphatase, catalytic domain homologues")</f>
        <v>IPPc, Inositol polyphosphate phosphatase, catalytic domain homologues</v>
      </c>
      <c r="CQ355" s="15">
        <v>2E-90</v>
      </c>
      <c r="CR355" s="2">
        <v>109.2</v>
      </c>
      <c r="CS355" s="2" t="s">
        <v>3839</v>
      </c>
      <c r="CT355" s="2" t="s">
        <v>3833</v>
      </c>
      <c r="CU355" s="2" t="s">
        <v>3833</v>
      </c>
      <c r="CV355" s="2" t="s">
        <v>3833</v>
      </c>
      <c r="CW355" s="2" t="str">
        <f>HYPERLINK(".\links\pep\AGAP012175-PA-pep.txt","AGAP012175-PA")</f>
        <v>AGAP012175-PA</v>
      </c>
      <c r="CX355" s="2" t="s">
        <v>95</v>
      </c>
      <c r="CY355" s="2">
        <v>1263</v>
      </c>
      <c r="CZ355" s="2" t="s">
        <v>113</v>
      </c>
      <c r="DA355" s="2" t="s">
        <v>3840</v>
      </c>
      <c r="DB355" s="2">
        <v>0</v>
      </c>
      <c r="DC355" s="2">
        <v>1</v>
      </c>
      <c r="DD355" s="2" t="str">
        <f>HYPERLINK("https://www.kegg.jp/kegg-bin/search_pathway_text?map=aga&amp;keyword=AGAP012175&amp;mode=1&amp;viewImage=true","AGAP012175")</f>
        <v>AGAP012175</v>
      </c>
      <c r="DE355" s="2" t="s">
        <v>3829</v>
      </c>
      <c r="DF355" s="2" t="s">
        <v>3830</v>
      </c>
      <c r="DG355" s="2" t="s">
        <v>94</v>
      </c>
      <c r="DH355" s="2" t="str">
        <f>HYPERLINK("https://vectorbase.org/vectorbase/app/record/gene/AGAP012175","AGAP012175-RA")</f>
        <v>AGAP012175-RA</v>
      </c>
      <c r="DI355" s="2" t="s">
        <v>135</v>
      </c>
      <c r="DJ355" s="2">
        <v>5884</v>
      </c>
      <c r="DK355" s="2" t="str">
        <f>HYPERLINK(".\links\netoglyc\AGAP012175-PA-netoglyc.txt","27")</f>
        <v>27</v>
      </c>
      <c r="DL355" s="2">
        <v>13.9</v>
      </c>
      <c r="DM355" s="2">
        <v>7.4</v>
      </c>
      <c r="DN355" s="2">
        <v>7.5</v>
      </c>
      <c r="DO355" s="2" t="s">
        <v>104</v>
      </c>
      <c r="DP355" s="2" t="s">
        <v>102</v>
      </c>
      <c r="DQ355" s="2" t="str">
        <f>HYPERLINK(".\links\Sigp\AGAP012175-PA-SigP.txt","CYT")</f>
        <v>CYT</v>
      </c>
      <c r="DR355" s="2" t="s">
        <v>102</v>
      </c>
      <c r="DS355" s="2">
        <v>139.10599999999999</v>
      </c>
      <c r="DT355" s="2">
        <v>6.99</v>
      </c>
      <c r="DU355" s="2" t="s">
        <v>102</v>
      </c>
      <c r="DV355" s="2" t="s">
        <v>102</v>
      </c>
      <c r="DW355" s="2" t="s">
        <v>3835</v>
      </c>
      <c r="DX355" s="2">
        <v>1263</v>
      </c>
      <c r="DY355" s="12">
        <v>0</v>
      </c>
      <c r="DZ355" s="2" t="s">
        <v>102</v>
      </c>
      <c r="EA355" s="2" t="s">
        <v>102</v>
      </c>
      <c r="EB355" s="2" t="s">
        <v>102</v>
      </c>
      <c r="EC355" s="2" t="str">
        <f>HYPERLINK(".\links\gpi\AGAP012175-PA-gpi.txt","N")</f>
        <v>N</v>
      </c>
      <c r="ED355" s="2">
        <v>0.12</v>
      </c>
      <c r="EF355" s="2">
        <v>26</v>
      </c>
      <c r="EG355" s="2" t="str">
        <f>HYPERLINK(".\links\pep\AGAP012175-PA-sulf.txt","4")</f>
        <v>4</v>
      </c>
      <c r="EH355" s="2" t="s">
        <v>102</v>
      </c>
      <c r="EI355" s="2">
        <v>13.8558986539984</v>
      </c>
      <c r="EJ355" s="2">
        <v>7.5217735550277096</v>
      </c>
      <c r="EK355" s="2">
        <v>7.4425969912905803</v>
      </c>
      <c r="EL355" s="2">
        <v>14.9643705463183</v>
      </c>
      <c r="EM355" s="2">
        <v>2</v>
      </c>
      <c r="EN355" s="2">
        <v>3</v>
      </c>
      <c r="EO355" s="2">
        <v>3</v>
      </c>
      <c r="EP355" s="2" t="s">
        <v>102</v>
      </c>
      <c r="EQ355" s="2" t="s">
        <v>102</v>
      </c>
      <c r="ER355" s="2" t="s">
        <v>102</v>
      </c>
      <c r="ES355" s="2" t="s">
        <v>102</v>
      </c>
      <c r="ET355" s="2" t="str">
        <f>HYPERLINK(".\links\REFSEQ-INVERTEBRATE\AGAP012175-PA-REFSEQ-INVERTEBRATE.txt","AGAP012175-PA")</f>
        <v>AGAP012175-PA</v>
      </c>
      <c r="EU355" s="2" t="str">
        <f>HYPERLINK("http://www.ncbi.nlm.nih.gov/sutils/blink.cgi?pid=XP_320360.4","0.0")</f>
        <v>0.0</v>
      </c>
      <c r="EV355" s="2" t="str">
        <f>HYPERLINK("http://www.ncbi.nlm.nih.gov/protein/XP_320360.4","XP_320360.4")</f>
        <v>XP_320360.4</v>
      </c>
      <c r="EW355" s="2">
        <v>100</v>
      </c>
      <c r="EX355" s="2">
        <v>100</v>
      </c>
      <c r="EY355" s="2">
        <v>100</v>
      </c>
      <c r="EZ355" s="2" t="s">
        <v>105</v>
      </c>
    </row>
    <row r="356" spans="1:156" x14ac:dyDescent="0.25">
      <c r="A356" s="2" t="s">
        <v>3841</v>
      </c>
      <c r="B356" s="2">
        <v>-0.287257300909876</v>
      </c>
      <c r="C356" s="2">
        <f t="shared" si="5"/>
        <v>0.81945844632065634</v>
      </c>
      <c r="D356" s="2">
        <v>6.1159798432297601</v>
      </c>
      <c r="E356" s="2">
        <v>9.8202489194392708</v>
      </c>
      <c r="F356" s="2">
        <v>1.7260098081937601E-3</v>
      </c>
      <c r="G356" s="2">
        <v>4.0790951222420803E-2</v>
      </c>
      <c r="H356" s="2" t="s">
        <v>3842</v>
      </c>
      <c r="I356" s="2" t="s">
        <v>94</v>
      </c>
      <c r="J356" s="2" t="str">
        <f>HYPERLINK("https://vectorbase.org/vectorbase/app/record/gene/AGAP013457","AGAP013457-RA")</f>
        <v>AGAP013457-RA</v>
      </c>
      <c r="K356" s="2" t="str">
        <f>HYPERLINK(".\links\pep\AGAP013457-PA-pep.txt","AGAP013457-PA")</f>
        <v>AGAP013457-PA</v>
      </c>
      <c r="L356" s="12" t="s">
        <v>95</v>
      </c>
      <c r="M356" s="2">
        <v>525</v>
      </c>
      <c r="N356" s="2">
        <v>0</v>
      </c>
      <c r="O356" s="2">
        <v>2</v>
      </c>
      <c r="P356" s="2" t="s">
        <v>3843</v>
      </c>
      <c r="Q356" s="9" t="s">
        <v>3844</v>
      </c>
      <c r="R356" s="2" t="s">
        <v>355</v>
      </c>
      <c r="S356" s="2" t="str">
        <f>HYPERLINK(".\links\CDD\AGAP013457-PA-CDD.txt","CDD")</f>
        <v>CDD</v>
      </c>
      <c r="T356" s="2">
        <v>0</v>
      </c>
      <c r="U356" s="2">
        <v>100</v>
      </c>
      <c r="V356" s="2" t="s">
        <v>3845</v>
      </c>
      <c r="W356" s="10" t="s">
        <v>3846</v>
      </c>
      <c r="X356" s="2" t="s">
        <v>355</v>
      </c>
      <c r="Y356" s="2" t="str">
        <f>HYPERLINK(".\links\REFSEQ-PROTOZOA\AGAP013457-PA-REFSEQ-PROTOZOA.txt","REFSEQ-PROTOZOA")</f>
        <v>REFSEQ-PROTOZOA</v>
      </c>
      <c r="Z356" s="2">
        <v>0</v>
      </c>
      <c r="AA356" s="2">
        <v>58.2</v>
      </c>
      <c r="AB356" s="13" t="s">
        <v>102</v>
      </c>
      <c r="AC356" s="13" t="str">
        <f>HYPERLINK(".\links\Sigp\AGAP013457-PA-SigP.txt","CYT")</f>
        <v>CYT</v>
      </c>
      <c r="AD356" s="2" t="s">
        <v>102</v>
      </c>
      <c r="AE356" s="2">
        <v>62.378</v>
      </c>
      <c r="AF356" s="2">
        <v>9.56</v>
      </c>
      <c r="AG356" s="2" t="s">
        <v>102</v>
      </c>
      <c r="AH356" s="2" t="s">
        <v>102</v>
      </c>
      <c r="AI356" s="2" t="s">
        <v>1236</v>
      </c>
      <c r="AJ356" s="13">
        <v>0</v>
      </c>
      <c r="AK356" s="2" t="s">
        <v>102</v>
      </c>
      <c r="AL356" s="2" t="s">
        <v>102</v>
      </c>
      <c r="AM356" s="2" t="s">
        <v>102</v>
      </c>
      <c r="AN356" s="13" t="str">
        <f>HYPERLINK(".\links\gpi\AGAP013457-PA-gpi.txt","N")</f>
        <v>N</v>
      </c>
      <c r="AO356" s="14" t="str">
        <f>HYPERLINK(".\links\netoglyc\AGAP013457-PA-netoglyc.txt","5")</f>
        <v>5</v>
      </c>
      <c r="AP356" s="13">
        <v>12.8</v>
      </c>
      <c r="AQ356" s="2">
        <v>4.4000000000000004</v>
      </c>
      <c r="AR356" s="2">
        <v>4.8</v>
      </c>
      <c r="AS356" s="2" t="s">
        <v>104</v>
      </c>
      <c r="AT356" s="9" t="str">
        <f>HYPERLINK(".\links\NR-LIGHT\AGAP013457-PA-NR-LIGHT.txt","AGAP013457-PA")</f>
        <v>AGAP013457-PA</v>
      </c>
      <c r="AU356" s="2" t="str">
        <f>HYPERLINK("http://www.ncbi.nlm.nih.gov/sutils/blink.cgi?pid=XP_003436561.1","0.0")</f>
        <v>0.0</v>
      </c>
      <c r="AV356" s="2" t="str">
        <f>HYPERLINK("http://www.ncbi.nlm.nih.gov/protein/XP_003436561.1","XP_003436561.1")</f>
        <v>XP_003436561.1</v>
      </c>
      <c r="AW356" s="2">
        <v>100</v>
      </c>
      <c r="AX356" s="2">
        <v>100</v>
      </c>
      <c r="AY356" s="2">
        <v>100</v>
      </c>
      <c r="AZ356" s="2" t="s">
        <v>105</v>
      </c>
      <c r="BA356" s="9" t="str">
        <f>HYPERLINK(".\links\REFSEQ-INVERTEBRATE\AGAP013457-PA-REFSEQ-INVERTEBRATE.txt","AGAP013457-PA")</f>
        <v>AGAP013457-PA</v>
      </c>
      <c r="BB356" s="2" t="str">
        <f>HYPERLINK("http://www.ncbi.nlm.nih.gov/sutils/blink.cgi?pid=XP_003436561.1","0.0")</f>
        <v>0.0</v>
      </c>
      <c r="BC356" s="2" t="str">
        <f>HYPERLINK("http://www.ncbi.nlm.nih.gov/protein/XP_003436561.1","XP_003436561.1")</f>
        <v>XP_003436561.1</v>
      </c>
      <c r="BD356" s="2">
        <v>100</v>
      </c>
      <c r="BE356" s="2">
        <v>100</v>
      </c>
      <c r="BF356" s="2">
        <v>100</v>
      </c>
      <c r="BG356" s="2" t="s">
        <v>105</v>
      </c>
      <c r="BH356" s="9" t="str">
        <f>HYPERLINK(".\links\REFSEQ-PROTOZOA\AGAP013457-PA-REFSEQ-PROTOZOA.txt","Serine/threonine protein kinase")</f>
        <v>Serine/threonine protein kinase</v>
      </c>
      <c r="BI356" s="2" t="str">
        <f>HYPERLINK("http://www.ncbi.nlm.nih.gov/sutils/blink.cgi?pid=XP_005712682.1","4E-086")</f>
        <v>4E-086</v>
      </c>
      <c r="BJ356" s="2" t="str">
        <f>HYPERLINK("http://www.ncbi.nlm.nih.gov/protein/XP_005712682.1","XP_005712682.1")</f>
        <v>XP_005712682.1</v>
      </c>
      <c r="BK356" s="2">
        <v>47</v>
      </c>
      <c r="BL356" s="2">
        <v>64</v>
      </c>
      <c r="BM356" s="2">
        <v>42</v>
      </c>
      <c r="BN356" s="2" t="s">
        <v>322</v>
      </c>
      <c r="BO356" s="9" t="str">
        <f>HYPERLINK(".\links\SWISSP\AGAP013457-PA-SWISSP.txt","Serine/threonine-protein kinase Doa")</f>
        <v>Serine/threonine-protein kinase Doa</v>
      </c>
      <c r="BP356" s="2" t="str">
        <f>HYPERLINK("http://www.uniprot.org/uniprot/P49762","1E-151")</f>
        <v>1E-151</v>
      </c>
      <c r="BQ356" s="2" t="str">
        <f>HYPERLINK("http://www.uniprot.org/uniprot/P49762#expression","P49762")</f>
        <v>P49762</v>
      </c>
      <c r="BR356" s="2">
        <v>50</v>
      </c>
      <c r="BS356" s="2">
        <v>68</v>
      </c>
      <c r="BT356" s="2">
        <v>65</v>
      </c>
      <c r="BU356" s="2" t="s">
        <v>107</v>
      </c>
      <c r="BV356" s="9" t="str">
        <f>HYPERLINK(".\links\FLYBASE\AGAP013457-PA-FLYBASE.txt","FBpp0289030")</f>
        <v>FBpp0289030</v>
      </c>
      <c r="BW356" s="2" t="str">
        <f>HYPERLINK("http://flybase.org/reports/FBgn0265998#alliance_summary_container","0.0")</f>
        <v>0.0</v>
      </c>
      <c r="BX356" s="2">
        <v>511</v>
      </c>
      <c r="BY356" s="2">
        <v>54</v>
      </c>
      <c r="BZ356" s="2">
        <v>72</v>
      </c>
      <c r="CA356" s="2">
        <v>99</v>
      </c>
      <c r="CB356" s="9" t="str">
        <f>HYPERLINK(".\links\CDD\AGAP013457-PA-CDD.txt","PKc_CLK, Catalytic domain of the Dual-specificity protein kinases, CDC-like kinases")</f>
        <v>PKc_CLK, Catalytic domain of the Dual-specificity protein kinases, CDC-like kinases</v>
      </c>
      <c r="CC356" s="15">
        <v>9.9999999999999994E-158</v>
      </c>
      <c r="CD356" s="2">
        <v>100.6</v>
      </c>
      <c r="CE356" s="2" t="s">
        <v>3847</v>
      </c>
      <c r="CF356" s="2" t="s">
        <v>3848</v>
      </c>
      <c r="CG356" s="9" t="str">
        <f>HYPERLINK(".\links\KOG\AGAP013457-PA-KOG.txt","LAMMER dual specificity kinases")</f>
        <v>LAMMER dual specificity kinases</v>
      </c>
      <c r="CH356" s="15">
        <v>9.9999999999999998E-138</v>
      </c>
      <c r="CI356" s="2">
        <v>82.7</v>
      </c>
      <c r="CJ356" s="2" t="s">
        <v>3849</v>
      </c>
      <c r="CK356" s="2" t="s">
        <v>173</v>
      </c>
      <c r="CL356" s="9" t="str">
        <f>HYPERLINK(".\links\PFAM\AGAP013457-PA-PFAM.txt","Pkinase, Protein kinase domain")</f>
        <v>Pkinase, Protein kinase domain</v>
      </c>
      <c r="CM356" s="15">
        <v>2.0000000000000002E-43</v>
      </c>
      <c r="CN356" s="2">
        <v>128.5</v>
      </c>
      <c r="CO356" s="2" t="s">
        <v>1574</v>
      </c>
      <c r="CP356" s="9" t="str">
        <f>HYPERLINK(".\links\SMART\AGAP013457-PA-SMART.txt","S_TKc, Serine/Threonine protein kinases, catalytic domain")</f>
        <v>S_TKc, Serine/Threonine protein kinases, catalytic domain</v>
      </c>
      <c r="CQ356" s="15">
        <v>1E-59</v>
      </c>
      <c r="CR356" s="2">
        <v>127.2</v>
      </c>
      <c r="CS356" s="2" t="s">
        <v>1575</v>
      </c>
      <c r="CT356" s="2" t="s">
        <v>3845</v>
      </c>
      <c r="CU356" s="2" t="s">
        <v>3845</v>
      </c>
      <c r="CV356" s="2" t="s">
        <v>3845</v>
      </c>
      <c r="CW356" s="2" t="str">
        <f>HYPERLINK(".\links\pep\AGAP013457-PA-pep.txt","AGAP013457-PA")</f>
        <v>AGAP013457-PA</v>
      </c>
      <c r="CX356" s="2" t="s">
        <v>95</v>
      </c>
      <c r="CY356" s="2">
        <v>525</v>
      </c>
      <c r="CZ356" s="2" t="s">
        <v>113</v>
      </c>
      <c r="DA356" s="2" t="s">
        <v>3850</v>
      </c>
      <c r="DB356" s="2">
        <v>0</v>
      </c>
      <c r="DC356" s="2">
        <v>2</v>
      </c>
      <c r="DD356" s="2" t="str">
        <f>HYPERLINK("https://www.kegg.jp/kegg-bin/search_pathway_text?map=aga&amp;keyword=AGAP013457&amp;mode=1&amp;viewImage=true","AGAP013457")</f>
        <v>AGAP013457</v>
      </c>
      <c r="DE356" s="2" t="s">
        <v>3841</v>
      </c>
      <c r="DF356" s="2" t="s">
        <v>3842</v>
      </c>
      <c r="DG356" s="2" t="s">
        <v>94</v>
      </c>
      <c r="DH356" s="2" t="str">
        <f>HYPERLINK("https://vectorbase.org/vectorbase/app/record/gene/AGAP013457","AGAP013457-RA")</f>
        <v>AGAP013457-RA</v>
      </c>
      <c r="DI356" s="2" t="s">
        <v>118</v>
      </c>
      <c r="DJ356" s="2">
        <v>1792</v>
      </c>
      <c r="DK356" s="2" t="str">
        <f>HYPERLINK(".\links\netoglyc\AGAP013457-PA-netoglyc.txt","5")</f>
        <v>5</v>
      </c>
      <c r="DL356" s="2">
        <v>12.8</v>
      </c>
      <c r="DM356" s="2">
        <v>4.4000000000000004</v>
      </c>
      <c r="DN356" s="2">
        <v>4.8</v>
      </c>
      <c r="DO356" s="2" t="s">
        <v>104</v>
      </c>
      <c r="DP356" s="2" t="s">
        <v>3851</v>
      </c>
      <c r="DQ356" s="2" t="str">
        <f>HYPERLINK(".\links\Sigp\AGAP013457-PA-SigP.txt","CYT")</f>
        <v>CYT</v>
      </c>
      <c r="DR356" s="2" t="s">
        <v>102</v>
      </c>
      <c r="DS356" s="2">
        <v>62.378</v>
      </c>
      <c r="DT356" s="2">
        <v>9.56</v>
      </c>
      <c r="DU356" s="2" t="s">
        <v>102</v>
      </c>
      <c r="DV356" s="2" t="s">
        <v>102</v>
      </c>
      <c r="DW356" s="2" t="s">
        <v>1236</v>
      </c>
      <c r="DX356" s="2">
        <v>525</v>
      </c>
      <c r="DY356" s="12">
        <v>0</v>
      </c>
      <c r="DZ356" s="2" t="s">
        <v>102</v>
      </c>
      <c r="EA356" s="2" t="s">
        <v>102</v>
      </c>
      <c r="EB356" s="2" t="s">
        <v>102</v>
      </c>
      <c r="EC356" s="2" t="str">
        <f>HYPERLINK(".\links\gpi\AGAP013457-PA-gpi.txt","Y-NoSP")</f>
        <v>Y-NoSP</v>
      </c>
      <c r="ED356" s="2">
        <v>0.33</v>
      </c>
      <c r="EF356" s="2">
        <v>8</v>
      </c>
      <c r="EG356" s="2" t="s">
        <v>102</v>
      </c>
      <c r="EH356" s="2" t="s">
        <v>102</v>
      </c>
      <c r="EI356" s="2">
        <v>12.7619047619048</v>
      </c>
      <c r="EJ356" s="2">
        <v>4.7619047619047601</v>
      </c>
      <c r="EK356" s="2">
        <v>4.3809523809523796</v>
      </c>
      <c r="EL356" s="2">
        <v>9.1428571428571406</v>
      </c>
      <c r="EM356" s="2" t="s">
        <v>102</v>
      </c>
      <c r="EN356" s="2" t="s">
        <v>102</v>
      </c>
      <c r="EO356" s="2">
        <v>1</v>
      </c>
      <c r="EP356" s="2" t="s">
        <v>102</v>
      </c>
      <c r="EQ356" s="2" t="s">
        <v>102</v>
      </c>
      <c r="ER356" s="2" t="s">
        <v>102</v>
      </c>
      <c r="ES356" s="2" t="s">
        <v>102</v>
      </c>
      <c r="ET356" s="2" t="str">
        <f>HYPERLINK(".\links\REFSEQ-INVERTEBRATE\AGAP013457-PA-REFSEQ-INVERTEBRATE.txt","AGAP013457-PA")</f>
        <v>AGAP013457-PA</v>
      </c>
      <c r="EU356" s="2" t="str">
        <f>HYPERLINK("http://www.ncbi.nlm.nih.gov/sutils/blink.cgi?pid=XP_003436561.1","0.0")</f>
        <v>0.0</v>
      </c>
      <c r="EV356" s="2" t="str">
        <f>HYPERLINK("http://www.ncbi.nlm.nih.gov/protein/XP_003436561.1","XP_003436561.1")</f>
        <v>XP_003436561.1</v>
      </c>
      <c r="EW356" s="2">
        <v>100</v>
      </c>
      <c r="EX356" s="2">
        <v>100</v>
      </c>
      <c r="EY356" s="2">
        <v>100</v>
      </c>
      <c r="EZ356" s="2" t="s">
        <v>105</v>
      </c>
    </row>
    <row r="357" spans="1:156" x14ac:dyDescent="0.25">
      <c r="A357" s="2" t="s">
        <v>3852</v>
      </c>
      <c r="B357" s="2">
        <v>-0.287715848833487</v>
      </c>
      <c r="C357" s="2">
        <f t="shared" si="5"/>
        <v>0.81919803005209979</v>
      </c>
      <c r="D357" s="2">
        <v>5.49303033564812</v>
      </c>
      <c r="E357" s="2">
        <v>10.638107070872101</v>
      </c>
      <c r="F357" s="2">
        <v>1.1078100563764301E-3</v>
      </c>
      <c r="G357" s="2">
        <v>3.3690006379902E-2</v>
      </c>
      <c r="H357" s="2" t="s">
        <v>3853</v>
      </c>
      <c r="I357" s="2" t="s">
        <v>94</v>
      </c>
      <c r="J357" s="2" t="str">
        <f>HYPERLINK("https://vectorbase.org/vectorbase/app/record/gene/AGAP006623","AGAP006623-RA")</f>
        <v>AGAP006623-RA</v>
      </c>
      <c r="K357" s="2" t="str">
        <f>HYPERLINK(".\links\pep\AGAP006623-PA-pep.txt","AGAP006623-PA")</f>
        <v>AGAP006623-PA</v>
      </c>
      <c r="L357" s="12" t="s">
        <v>95</v>
      </c>
      <c r="M357" s="2">
        <v>899</v>
      </c>
      <c r="N357" s="2">
        <v>0</v>
      </c>
      <c r="O357" s="2">
        <v>1</v>
      </c>
      <c r="P357" s="2" t="s">
        <v>3854</v>
      </c>
      <c r="Q357" s="9" t="s">
        <v>3855</v>
      </c>
      <c r="R357" s="2" t="s">
        <v>771</v>
      </c>
      <c r="S357" s="2" t="str">
        <f>HYPERLINK(".\links\KOG\AGAP006623-PA-KOG.txt","KOG")</f>
        <v>KOG</v>
      </c>
      <c r="T357" s="2">
        <v>0</v>
      </c>
      <c r="U357" s="2">
        <v>107</v>
      </c>
      <c r="V357" s="2" t="s">
        <v>3856</v>
      </c>
      <c r="W357" s="10" t="s">
        <v>1026</v>
      </c>
      <c r="X357" s="2" t="s">
        <v>771</v>
      </c>
      <c r="Y357" s="2" t="str">
        <f>HYPERLINK(".\links\REFSEQVERTEBRATE95\AGAP006623-PA-REFSEQVERTEBRATE95.txt","REFSEQVERTEBRATE95")</f>
        <v>REFSEQVERTEBRATE95</v>
      </c>
      <c r="Z357" s="15">
        <v>0</v>
      </c>
      <c r="AA357" s="2">
        <v>112.4</v>
      </c>
      <c r="AB357" s="13" t="str">
        <f>HYPERLINK(".\links\pep\AGAP006623-PA-sulf.txt","1")</f>
        <v>1</v>
      </c>
      <c r="AC357" s="13" t="str">
        <f>HYPERLINK(".\links\Sigp\AGAP006623-PA-SigP.txt","CYT")</f>
        <v>CYT</v>
      </c>
      <c r="AD357" s="2" t="s">
        <v>102</v>
      </c>
      <c r="AE357" s="2">
        <v>100.827</v>
      </c>
      <c r="AF357" s="2">
        <v>6.06</v>
      </c>
      <c r="AG357" s="2" t="s">
        <v>102</v>
      </c>
      <c r="AH357" s="2" t="s">
        <v>102</v>
      </c>
      <c r="AI357" s="2" t="s">
        <v>1685</v>
      </c>
      <c r="AJ357" s="13">
        <v>0</v>
      </c>
      <c r="AK357" s="2" t="s">
        <v>102</v>
      </c>
      <c r="AL357" s="2" t="s">
        <v>102</v>
      </c>
      <c r="AM357" s="2" t="s">
        <v>102</v>
      </c>
      <c r="AN357" s="13" t="str">
        <f>HYPERLINK(".\links\gpi\AGAP006623-PA-gpi.txt","N")</f>
        <v>N</v>
      </c>
      <c r="AO357" s="14" t="str">
        <f>HYPERLINK(".\links\netoglyc\AGAP006623-PA-netoglyc.txt","3")</f>
        <v>3</v>
      </c>
      <c r="AP357" s="13">
        <v>14.1</v>
      </c>
      <c r="AQ357" s="2">
        <v>3.9</v>
      </c>
      <c r="AR357" s="2">
        <v>3.9</v>
      </c>
      <c r="AS357" s="2" t="s">
        <v>104</v>
      </c>
      <c r="AT357" s="9" t="str">
        <f>HYPERLINK(".\links\NR-LIGHT\AGAP006623-PA-NR-LIGHT.txt","AGAP006623-PA")</f>
        <v>AGAP006623-PA</v>
      </c>
      <c r="AU357" s="2" t="str">
        <f>HYPERLINK("http://www.ncbi.nlm.nih.gov/sutils/blink.cgi?pid=XP_316653.4","0.0")</f>
        <v>0.0</v>
      </c>
      <c r="AV357" s="2" t="str">
        <f>HYPERLINK("http://www.ncbi.nlm.nih.gov/protein/XP_316653.4","XP_316653.4")</f>
        <v>XP_316653.4</v>
      </c>
      <c r="AW357" s="2">
        <v>100</v>
      </c>
      <c r="AX357" s="2">
        <v>100</v>
      </c>
      <c r="AY357" s="2">
        <v>100</v>
      </c>
      <c r="AZ357" s="2" t="s">
        <v>105</v>
      </c>
      <c r="BA357" s="9" t="str">
        <f>HYPERLINK(".\links\REFSEQ-INVERTEBRATE\AGAP006623-PA-REFSEQ-INVERTEBRATE.txt","AGAP006623-PA")</f>
        <v>AGAP006623-PA</v>
      </c>
      <c r="BB357" s="2" t="str">
        <f>HYPERLINK("http://www.ncbi.nlm.nih.gov/sutils/blink.cgi?pid=XP_316653.4","0.0")</f>
        <v>0.0</v>
      </c>
      <c r="BC357" s="2" t="str">
        <f>HYPERLINK("http://www.ncbi.nlm.nih.gov/protein/XP_316653.4","XP_316653.4")</f>
        <v>XP_316653.4</v>
      </c>
      <c r="BD357" s="2">
        <v>100</v>
      </c>
      <c r="BE357" s="2">
        <v>100</v>
      </c>
      <c r="BF357" s="2">
        <v>100</v>
      </c>
      <c r="BG357" s="2" t="s">
        <v>105</v>
      </c>
      <c r="BH357" s="9" t="str">
        <f>HYPERLINK(".\links\REFSEQ-PROTOZOA\AGAP006623-PA-REFSEQ-PROTOZOA.txt","hypothetical protein PTSG_07909")</f>
        <v>hypothetical protein PTSG_07909</v>
      </c>
      <c r="BI357" s="2" t="str">
        <f>HYPERLINK("http://www.ncbi.nlm.nih.gov/sutils/blink.cgi?pid=XP_004991712.1","1E-144")</f>
        <v>1E-144</v>
      </c>
      <c r="BJ357" s="2" t="str">
        <f>HYPERLINK("http://www.ncbi.nlm.nih.gov/protein/XP_004991712.1","XP_004991712.1")</f>
        <v>XP_004991712.1</v>
      </c>
      <c r="BK357" s="2">
        <v>34</v>
      </c>
      <c r="BL357" s="2">
        <v>54</v>
      </c>
      <c r="BM357" s="2">
        <v>104</v>
      </c>
      <c r="BN357" s="2" t="s">
        <v>435</v>
      </c>
      <c r="BO357" s="9" t="str">
        <f>HYPERLINK(".\links\SWISSP\AGAP006623-PA-SWISSP.txt","Vacuolar protein sorting-associated protein 53 homolog")</f>
        <v>Vacuolar protein sorting-associated protein 53 homolog</v>
      </c>
      <c r="BP357" s="2" t="str">
        <f>HYPERLINK("http://www.uniprot.org/uniprot/Q5ZLD7","0.0")</f>
        <v>0.0</v>
      </c>
      <c r="BQ357" s="2" t="str">
        <f>HYPERLINK("http://www.uniprot.org/uniprot/Q5ZLD7#expression","Q5ZLD7")</f>
        <v>Q5ZLD7</v>
      </c>
      <c r="BR357" s="2">
        <v>48</v>
      </c>
      <c r="BS357" s="2">
        <v>65</v>
      </c>
      <c r="BT357" s="2">
        <v>103</v>
      </c>
      <c r="BU357" s="2" t="s">
        <v>483</v>
      </c>
      <c r="BV357" s="9" t="str">
        <f>HYPERLINK(".\links\FLYBASE\AGAP006623-PA-FLYBASE.txt","FBpp0077151")</f>
        <v>FBpp0077151</v>
      </c>
      <c r="BW357" s="2" t="str">
        <f>HYPERLINK("http://flybase.org/reports/FBgn0031598#alliance_summary_container","0.0")</f>
        <v>0.0</v>
      </c>
      <c r="BX357" s="2">
        <v>887</v>
      </c>
      <c r="BY357" s="2">
        <v>56</v>
      </c>
      <c r="BZ357" s="2">
        <v>70</v>
      </c>
      <c r="CA357" s="2">
        <v>103</v>
      </c>
      <c r="CB357" s="9" t="str">
        <f>HYPERLINK(".\links\CDD\AGAP006623-PA-CDD.txt","Vps53_N, Vps53-like, N-terminal")</f>
        <v>Vps53_N, Vps53-like, N-terminal</v>
      </c>
      <c r="CC357" s="15">
        <v>1.0000000000000001E-130</v>
      </c>
      <c r="CD357" s="2">
        <v>101.3</v>
      </c>
      <c r="CE357" s="2" t="s">
        <v>3857</v>
      </c>
      <c r="CF357" s="2" t="s">
        <v>3858</v>
      </c>
      <c r="CG357" s="9" t="str">
        <f>HYPERLINK(".\links\KOG\AGAP006623-PA-KOG.txt","subunit Vps53")</f>
        <v>subunit Vps53</v>
      </c>
      <c r="CH357" s="15">
        <v>0</v>
      </c>
      <c r="CI357" s="2">
        <v>107.1</v>
      </c>
      <c r="CJ357" s="2" t="s">
        <v>3859</v>
      </c>
      <c r="CK357" s="2" t="s">
        <v>154</v>
      </c>
      <c r="CL357" s="9" t="str">
        <f>HYPERLINK(".\links\PFAM\AGAP006623-PA-PFAM.txt","Vps53_N, Vps53-like, N-terminal")</f>
        <v>Vps53_N, Vps53-like, N-terminal</v>
      </c>
      <c r="CM357" s="15">
        <v>9.9999999999999999E-132</v>
      </c>
      <c r="CN357" s="2">
        <v>101.3</v>
      </c>
      <c r="CO357" s="2" t="s">
        <v>3857</v>
      </c>
      <c r="CP357" s="9" t="str">
        <f>HYPERLINK(".\links\SMART\AGAP006623-PA-SMART.txt","MA, Methyl-accepting chemotaxis-like domains (chemotaxis sensory transducer)")</f>
        <v>MA, Methyl-accepting chemotaxis-like domains (chemotaxis sensory transducer)</v>
      </c>
      <c r="CQ357" s="15">
        <v>8.4000000000000005E-2</v>
      </c>
      <c r="CR357" s="2">
        <v>29.4</v>
      </c>
      <c r="CS357" s="2" t="s">
        <v>237</v>
      </c>
      <c r="CT357" s="2" t="s">
        <v>3856</v>
      </c>
      <c r="CU357" s="2" t="s">
        <v>3856</v>
      </c>
      <c r="CV357" s="2" t="s">
        <v>3856</v>
      </c>
      <c r="CW357" s="2" t="str">
        <f>HYPERLINK(".\links\pep\AGAP006623-PA-pep.txt","AGAP006623-PA")</f>
        <v>AGAP006623-PA</v>
      </c>
      <c r="CX357" s="2" t="s">
        <v>95</v>
      </c>
      <c r="CY357" s="2">
        <v>899</v>
      </c>
      <c r="CZ357" s="2" t="s">
        <v>113</v>
      </c>
      <c r="DA357" s="2" t="s">
        <v>3860</v>
      </c>
      <c r="DB357" s="2">
        <v>0</v>
      </c>
      <c r="DC357" s="2">
        <v>1</v>
      </c>
      <c r="DD357" s="2" t="str">
        <f>HYPERLINK("https://www.kegg.jp/kegg-bin/search_pathway_text?map=aga&amp;keyword=AGAP006623&amp;mode=1&amp;viewImage=true","AGAP006623")</f>
        <v>AGAP006623</v>
      </c>
      <c r="DE357" s="2" t="s">
        <v>3852</v>
      </c>
      <c r="DF357" s="2" t="s">
        <v>3853</v>
      </c>
      <c r="DG357" s="2" t="s">
        <v>94</v>
      </c>
      <c r="DH357" s="2" t="str">
        <f>HYPERLINK("https://vectorbase.org/vectorbase/app/record/gene/AGAP006623","AGAP006623-RA")</f>
        <v>AGAP006623-RA</v>
      </c>
      <c r="DI357" s="2" t="s">
        <v>135</v>
      </c>
      <c r="DJ357" s="2">
        <v>2908</v>
      </c>
      <c r="DK357" s="2" t="str">
        <f>HYPERLINK(".\links\netoglyc\AGAP006623-PA-netoglyc.txt","3")</f>
        <v>3</v>
      </c>
      <c r="DL357" s="2">
        <v>14.1</v>
      </c>
      <c r="DM357" s="2">
        <v>3.9</v>
      </c>
      <c r="DN357" s="2">
        <v>3.9</v>
      </c>
      <c r="DO357" s="2" t="s">
        <v>104</v>
      </c>
      <c r="DP357" s="2" t="s">
        <v>102</v>
      </c>
      <c r="DQ357" s="2" t="str">
        <f>HYPERLINK(".\links\Sigp\AGAP006623-PA-SigP.txt","CYT")</f>
        <v>CYT</v>
      </c>
      <c r="DR357" s="2" t="s">
        <v>102</v>
      </c>
      <c r="DS357" s="2">
        <v>100.827</v>
      </c>
      <c r="DT357" s="2">
        <v>6.06</v>
      </c>
      <c r="DU357" s="2" t="s">
        <v>102</v>
      </c>
      <c r="DV357" s="2" t="s">
        <v>102</v>
      </c>
      <c r="DW357" s="2" t="s">
        <v>1685</v>
      </c>
      <c r="DX357" s="2">
        <v>899</v>
      </c>
      <c r="DY357" s="12">
        <v>0</v>
      </c>
      <c r="DZ357" s="2" t="s">
        <v>102</v>
      </c>
      <c r="EA357" s="2" t="s">
        <v>102</v>
      </c>
      <c r="EB357" s="2" t="s">
        <v>102</v>
      </c>
      <c r="EC357" s="2" t="str">
        <f>HYPERLINK(".\links\gpi\AGAP006623-PA-gpi.txt","Y-NoSP")</f>
        <v>Y-NoSP</v>
      </c>
      <c r="ED357" s="2">
        <v>0.19</v>
      </c>
      <c r="EF357" s="2">
        <v>14</v>
      </c>
      <c r="EG357" s="2" t="str">
        <f>HYPERLINK(".\links\pep\AGAP006623-PA-sulf.txt","1")</f>
        <v>1</v>
      </c>
      <c r="EH357" s="2" t="s">
        <v>102</v>
      </c>
      <c r="EI357" s="2">
        <v>14.12680756396</v>
      </c>
      <c r="EJ357" s="2">
        <v>3.8932146829810899</v>
      </c>
      <c r="EK357" s="2">
        <v>3.8932146829810899</v>
      </c>
      <c r="EL357" s="2">
        <v>7.7864293659621797</v>
      </c>
      <c r="EM357" s="2" t="s">
        <v>102</v>
      </c>
      <c r="EN357" s="2">
        <v>2</v>
      </c>
      <c r="EO357" s="2">
        <v>2</v>
      </c>
      <c r="EP357" s="2" t="s">
        <v>102</v>
      </c>
      <c r="EQ357" s="2" t="s">
        <v>102</v>
      </c>
      <c r="ER357" s="2" t="s">
        <v>102</v>
      </c>
      <c r="ES357" s="2" t="s">
        <v>102</v>
      </c>
      <c r="ET357" s="2" t="str">
        <f>HYPERLINK(".\links\REFSEQ-INVERTEBRATE\AGAP006623-PA-REFSEQ-INVERTEBRATE.txt","AGAP006623-PA")</f>
        <v>AGAP006623-PA</v>
      </c>
      <c r="EU357" s="2" t="str">
        <f>HYPERLINK("http://www.ncbi.nlm.nih.gov/sutils/blink.cgi?pid=XP_316653.4","0.0")</f>
        <v>0.0</v>
      </c>
      <c r="EV357" s="2" t="str">
        <f>HYPERLINK("http://www.ncbi.nlm.nih.gov/protein/XP_316653.4","XP_316653.4")</f>
        <v>XP_316653.4</v>
      </c>
      <c r="EW357" s="2">
        <v>100</v>
      </c>
      <c r="EX357" s="2">
        <v>100</v>
      </c>
      <c r="EY357" s="2">
        <v>100</v>
      </c>
      <c r="EZ357" s="2" t="s">
        <v>105</v>
      </c>
    </row>
    <row r="358" spans="1:156" x14ac:dyDescent="0.25">
      <c r="A358" s="2" t="s">
        <v>3861</v>
      </c>
      <c r="B358" s="2">
        <v>-0.288329583724872</v>
      </c>
      <c r="C358" s="2">
        <f t="shared" si="5"/>
        <v>0.81884961027281045</v>
      </c>
      <c r="D358" s="2">
        <v>6.8713692899707404</v>
      </c>
      <c r="E358" s="2">
        <v>9.0520389441048899</v>
      </c>
      <c r="F358" s="2">
        <v>2.6240202510387201E-3</v>
      </c>
      <c r="G358" s="2">
        <v>4.7269525491001697E-2</v>
      </c>
      <c r="H358" s="2" t="s">
        <v>3862</v>
      </c>
      <c r="I358" s="2" t="s">
        <v>94</v>
      </c>
      <c r="J358" s="2" t="str">
        <f>HYPERLINK("https://vectorbase.org/vectorbase/app/record/gene/AGAP005505","AGAP005505-RA")</f>
        <v>AGAP005505-RA</v>
      </c>
      <c r="K358" s="2" t="str">
        <f>HYPERLINK(".\links\pep\AGAP005505-PA-pep.txt","AGAP005505-PA")</f>
        <v>AGAP005505-PA</v>
      </c>
      <c r="L358" s="12" t="s">
        <v>95</v>
      </c>
      <c r="M358" s="2">
        <v>566</v>
      </c>
      <c r="N358" s="2">
        <v>0</v>
      </c>
      <c r="O358" s="2">
        <v>1</v>
      </c>
      <c r="P358" s="2" t="s">
        <v>3863</v>
      </c>
      <c r="Q358" s="9" t="s">
        <v>3863</v>
      </c>
      <c r="R358" s="2" t="s">
        <v>420</v>
      </c>
      <c r="S358" s="2" t="str">
        <f>HYPERLINK(".\links\REFSEQ-INVERTEBRATE\AGAP005505-PA-REFSEQ-INVERTEBRATE.txt","REFSEQ-INVERTEBRATE")</f>
        <v>REFSEQ-INVERTEBRATE</v>
      </c>
      <c r="T358" s="2">
        <v>0</v>
      </c>
      <c r="U358" s="2">
        <v>115.6</v>
      </c>
      <c r="V358" s="2" t="s">
        <v>3864</v>
      </c>
      <c r="W358" s="10" t="s">
        <v>3865</v>
      </c>
      <c r="X358" s="2" t="s">
        <v>420</v>
      </c>
      <c r="Y358" s="2" t="str">
        <f>HYPERLINK(".\links\ARTHORPODA\AGAP005505-PA-ARTHORPODA.txt","ARTHORPODA")</f>
        <v>ARTHORPODA</v>
      </c>
      <c r="Z358" s="2">
        <v>0</v>
      </c>
      <c r="AA358" s="2">
        <v>100</v>
      </c>
      <c r="AB358" s="13" t="s">
        <v>102</v>
      </c>
      <c r="AC358" s="13" t="str">
        <f>HYPERLINK(".\links\Sigp\AGAP005505-PA-SigP.txt","CYT")</f>
        <v>CYT</v>
      </c>
      <c r="AD358" s="2" t="s">
        <v>102</v>
      </c>
      <c r="AE358" s="2">
        <v>59.000999999999998</v>
      </c>
      <c r="AF358" s="2">
        <v>7.51</v>
      </c>
      <c r="AG358" s="2" t="s">
        <v>102</v>
      </c>
      <c r="AH358" s="2" t="s">
        <v>102</v>
      </c>
      <c r="AI358" s="2" t="s">
        <v>3866</v>
      </c>
      <c r="AJ358" s="13">
        <v>0</v>
      </c>
      <c r="AK358" s="2" t="s">
        <v>102</v>
      </c>
      <c r="AL358" s="2" t="s">
        <v>102</v>
      </c>
      <c r="AM358" s="2" t="s">
        <v>102</v>
      </c>
      <c r="AN358" s="13" t="str">
        <f>HYPERLINK(".\links\gpi\AGAP005505-PA-gpi.txt","N")</f>
        <v>N</v>
      </c>
      <c r="AO358" s="14" t="str">
        <f>HYPERLINK(".\links\netoglyc\AGAP005505-PA-netoglyc.txt","1")</f>
        <v>1</v>
      </c>
      <c r="AP358" s="13">
        <v>8.3000000000000007</v>
      </c>
      <c r="AQ358" s="2">
        <v>18.399999999999999</v>
      </c>
      <c r="AR358" s="2">
        <v>4.2</v>
      </c>
      <c r="AS358" s="2" t="s">
        <v>104</v>
      </c>
      <c r="AT358" s="9" t="str">
        <f>HYPERLINK(".\links\NR-LIGHT\AGAP005505-PA-NR-LIGHT.txt","AGAP005505-PA")</f>
        <v>AGAP005505-PA</v>
      </c>
      <c r="AU358" s="2" t="str">
        <f>HYPERLINK("http://www.ncbi.nlm.nih.gov/sutils/blink.cgi?pid=XP_315504.4","0.0")</f>
        <v>0.0</v>
      </c>
      <c r="AV358" s="2" t="str">
        <f>HYPERLINK("http://www.ncbi.nlm.nih.gov/protein/XP_315504.4","XP_315504.4")</f>
        <v>XP_315504.4</v>
      </c>
      <c r="AW358" s="2">
        <v>84</v>
      </c>
      <c r="AX358" s="2">
        <v>84</v>
      </c>
      <c r="AY358" s="2">
        <v>114</v>
      </c>
      <c r="AZ358" s="2" t="s">
        <v>105</v>
      </c>
      <c r="BA358" s="9" t="str">
        <f>HYPERLINK(".\links\REFSEQ-INVERTEBRATE\AGAP005505-PA-REFSEQ-INVERTEBRATE.txt","AGAP005505-PA")</f>
        <v>AGAP005505-PA</v>
      </c>
      <c r="BB358" s="2" t="str">
        <f>HYPERLINK("http://www.ncbi.nlm.nih.gov/sutils/blink.cgi?pid=XP_315504.4","0.0")</f>
        <v>0.0</v>
      </c>
      <c r="BC358" s="2" t="str">
        <f>HYPERLINK("http://www.ncbi.nlm.nih.gov/protein/XP_315504.4","XP_315504.4")</f>
        <v>XP_315504.4</v>
      </c>
      <c r="BD358" s="2">
        <v>84</v>
      </c>
      <c r="BE358" s="2">
        <v>84</v>
      </c>
      <c r="BF358" s="2">
        <v>114</v>
      </c>
      <c r="BG358" s="2" t="s">
        <v>105</v>
      </c>
      <c r="BH358" s="9" t="str">
        <f>HYPERLINK(".\links\REFSEQ-PROTOZOA\AGAP005505-PA-REFSEQ-PROTOZOA.txt","hypothetical protein DDB_G0289337")</f>
        <v>hypothetical protein DDB_G0289337</v>
      </c>
      <c r="BI358" s="2" t="str">
        <f>HYPERLINK("http://www.ncbi.nlm.nih.gov/sutils/blink.cgi?pid=XP_636266.1","6E-031")</f>
        <v>6E-031</v>
      </c>
      <c r="BJ358" s="2" t="str">
        <f>HYPERLINK("http://www.ncbi.nlm.nih.gov/protein/XP_636266.1","XP_636266.1")</f>
        <v>XP_636266.1</v>
      </c>
      <c r="BK358" s="2">
        <v>38</v>
      </c>
      <c r="BL358" s="2">
        <v>57</v>
      </c>
      <c r="BM358" s="2">
        <v>14</v>
      </c>
      <c r="BN358" s="2" t="s">
        <v>612</v>
      </c>
      <c r="BO358" s="9" t="str">
        <f>HYPERLINK(".\links\SWISSP\AGAP005505-PA-SWISSP.txt","RNA-binding protein 45")</f>
        <v>RNA-binding protein 45</v>
      </c>
      <c r="BP358" s="2" t="str">
        <f>HYPERLINK("http://www.uniprot.org/uniprot/Q8CFD1","7E-047")</f>
        <v>7E-047</v>
      </c>
      <c r="BQ358" s="2" t="str">
        <f>HYPERLINK("http://www.uniprot.org/uniprot/Q8CFD1#expression","Q8CFD1")</f>
        <v>Q8CFD1</v>
      </c>
      <c r="BR358" s="2">
        <v>48</v>
      </c>
      <c r="BS358" s="2">
        <v>69</v>
      </c>
      <c r="BT358" s="2">
        <v>40</v>
      </c>
      <c r="BU358" s="2" t="s">
        <v>305</v>
      </c>
      <c r="BV358" s="9" t="str">
        <f>HYPERLINK(".\links\FLYBASE\AGAP005505-PA-FLYBASE.txt","FBpp0073089")</f>
        <v>FBpp0073089</v>
      </c>
      <c r="BW358" s="2" t="str">
        <f>HYPERLINK("http://flybase.org/reports/FBgn0035526#alliance_summary_container","5E-70")</f>
        <v>5E-70</v>
      </c>
      <c r="BX358" s="2">
        <v>470</v>
      </c>
      <c r="BY358" s="2">
        <v>61</v>
      </c>
      <c r="BZ358" s="2">
        <v>78</v>
      </c>
      <c r="CA358" s="2">
        <v>38</v>
      </c>
      <c r="CB358" s="9" t="str">
        <f>HYPERLINK(".\links\CDD\AGAP005505-PA-CDD.txt","RRM1_RBM45, RNA recognition motif 1 in RNA-binding protein 45 (RBM45) and similar proteins")</f>
        <v>RRM1_RBM45, RNA recognition motif 1 in RNA-binding protein 45 (RBM45) and similar proteins</v>
      </c>
      <c r="CC358" s="15">
        <v>1E-35</v>
      </c>
      <c r="CD358" s="2">
        <v>100</v>
      </c>
      <c r="CE358" s="2" t="s">
        <v>3867</v>
      </c>
      <c r="CF358" s="2" t="s">
        <v>3868</v>
      </c>
      <c r="CG358" s="9" t="str">
        <f>HYPERLINK(".\links\KOG\AGAP005505-PA-KOG.txt","RNA-binding protein CUGBP1/BRUNO (RRM superfamily)")</f>
        <v>RNA-binding protein CUGBP1/BRUNO (RRM superfamily)</v>
      </c>
      <c r="CH358" s="15">
        <v>2.9999999999999998E-18</v>
      </c>
      <c r="CI358" s="2">
        <v>42.7</v>
      </c>
      <c r="CJ358" s="2" t="s">
        <v>3869</v>
      </c>
      <c r="CK358" s="2" t="s">
        <v>722</v>
      </c>
      <c r="CL358" s="9" t="str">
        <f>HYPERLINK(".\links\PFAM\AGAP005505-PA-PFAM.txt","RRM_1, RNA recognition motif")</f>
        <v>RRM_1, RNA recognition motif</v>
      </c>
      <c r="CM358" s="15">
        <v>9.9999999999999998E-13</v>
      </c>
      <c r="CN358" s="2">
        <v>88.6</v>
      </c>
      <c r="CO358" s="2" t="s">
        <v>1253</v>
      </c>
      <c r="CP358" s="9" t="str">
        <f>HYPERLINK(".\links\SMART\AGAP005505-PA-SMART.txt","RRM, RNA recognition motif")</f>
        <v>RRM, RNA recognition motif</v>
      </c>
      <c r="CQ358" s="15">
        <v>2E-16</v>
      </c>
      <c r="CR358" s="2">
        <v>93.2</v>
      </c>
      <c r="CS358" s="2" t="s">
        <v>1254</v>
      </c>
      <c r="CT358" s="2" t="s">
        <v>3864</v>
      </c>
      <c r="CU358" s="2" t="s">
        <v>3864</v>
      </c>
      <c r="CV358" s="2" t="s">
        <v>3864</v>
      </c>
      <c r="CW358" s="2" t="str">
        <f>HYPERLINK(".\links\pep\AGAP005505-PA-pep.txt","AGAP005505-PA")</f>
        <v>AGAP005505-PA</v>
      </c>
      <c r="CX358" s="2" t="s">
        <v>95</v>
      </c>
      <c r="CY358" s="2">
        <v>566</v>
      </c>
      <c r="CZ358" s="2" t="s">
        <v>113</v>
      </c>
      <c r="DA358" s="2" t="s">
        <v>3870</v>
      </c>
      <c r="DB358" s="2">
        <v>0</v>
      </c>
      <c r="DC358" s="2">
        <v>1</v>
      </c>
      <c r="DD358" s="2" t="str">
        <f>HYPERLINK("https://www.kegg.jp/kegg-bin/search_pathway_text?map=aga&amp;keyword=AGAP005505&amp;mode=1&amp;viewImage=true","AGAP005505")</f>
        <v>AGAP005505</v>
      </c>
      <c r="DE358" s="2" t="s">
        <v>3861</v>
      </c>
      <c r="DF358" s="2" t="s">
        <v>3862</v>
      </c>
      <c r="DG358" s="2" t="s">
        <v>94</v>
      </c>
      <c r="DH358" s="2" t="str">
        <f>HYPERLINK("https://vectorbase.org/vectorbase/app/record/gene/AGAP005505","AGAP005505-RA")</f>
        <v>AGAP005505-RA</v>
      </c>
      <c r="DI358" s="2" t="s">
        <v>118</v>
      </c>
      <c r="DJ358" s="2">
        <v>5797</v>
      </c>
      <c r="DK358" s="2" t="str">
        <f>HYPERLINK(".\links\netoglyc\AGAP005505-PA-netoglyc.txt","1")</f>
        <v>1</v>
      </c>
      <c r="DL358" s="2">
        <v>8.3000000000000007</v>
      </c>
      <c r="DM358" s="2">
        <v>18.399999999999999</v>
      </c>
      <c r="DN358" s="2">
        <v>4.2</v>
      </c>
      <c r="DO358" s="2" t="s">
        <v>104</v>
      </c>
      <c r="DP358" s="2" t="s">
        <v>3871</v>
      </c>
      <c r="DQ358" s="2" t="str">
        <f>HYPERLINK(".\links\Sigp\AGAP005505-PA-SigP.txt","CYT")</f>
        <v>CYT</v>
      </c>
      <c r="DR358" s="2" t="s">
        <v>102</v>
      </c>
      <c r="DS358" s="2">
        <v>59.000999999999998</v>
      </c>
      <c r="DT358" s="2">
        <v>7.51</v>
      </c>
      <c r="DU358" s="2" t="s">
        <v>102</v>
      </c>
      <c r="DV358" s="2" t="s">
        <v>102</v>
      </c>
      <c r="DW358" s="2" t="s">
        <v>3866</v>
      </c>
      <c r="DX358" s="2">
        <v>566</v>
      </c>
      <c r="DY358" s="12">
        <v>0</v>
      </c>
      <c r="DZ358" s="2" t="s">
        <v>102</v>
      </c>
      <c r="EA358" s="2" t="s">
        <v>102</v>
      </c>
      <c r="EB358" s="2" t="s">
        <v>102</v>
      </c>
      <c r="EC358" s="2" t="str">
        <f>HYPERLINK(".\links\gpi\AGAP005505-PA-gpi.txt","N")</f>
        <v>N</v>
      </c>
      <c r="ED358" s="2">
        <v>0.36</v>
      </c>
      <c r="EF358" s="2">
        <v>10</v>
      </c>
      <c r="EG358" s="2" t="s">
        <v>102</v>
      </c>
      <c r="EH358" s="2" t="s">
        <v>102</v>
      </c>
      <c r="EI358" s="2">
        <v>8.3038869257950498</v>
      </c>
      <c r="EJ358" s="2">
        <v>4.2402826855123701</v>
      </c>
      <c r="EK358" s="2">
        <v>18.3745583038869</v>
      </c>
      <c r="EL358" s="2">
        <v>22.614840989399301</v>
      </c>
      <c r="EM358" s="2">
        <v>2</v>
      </c>
      <c r="EN358" s="2">
        <v>2</v>
      </c>
      <c r="EO358" s="2">
        <v>5</v>
      </c>
      <c r="EP358" s="2" t="s">
        <v>102</v>
      </c>
      <c r="EQ358" s="2" t="s">
        <v>102</v>
      </c>
      <c r="ER358" s="2" t="s">
        <v>102</v>
      </c>
      <c r="ES358" s="2" t="s">
        <v>102</v>
      </c>
      <c r="ET358" s="2" t="str">
        <f>HYPERLINK(".\links\REFSEQ-INVERTEBRATE\AGAP005505-PA-REFSEQ-INVERTEBRATE.txt","RNA-binding protein 45 isoform X2")</f>
        <v>RNA-binding protein 45 isoform X2</v>
      </c>
      <c r="EU358" s="2" t="str">
        <f>HYPERLINK("http://www.ncbi.nlm.nih.gov/sutils/blink.cgi?pid=XP_035913961.1","0.0")</f>
        <v>0.0</v>
      </c>
      <c r="EV358" s="2" t="str">
        <f>HYPERLINK("http://www.ncbi.nlm.nih.gov/protein/XP_035913961.1","XP_035913961.1")</f>
        <v>XP_035913961.1</v>
      </c>
      <c r="EW358" s="2">
        <v>89</v>
      </c>
      <c r="EX358" s="2">
        <v>90</v>
      </c>
      <c r="EY358" s="2">
        <v>103</v>
      </c>
      <c r="EZ358" s="2" t="s">
        <v>370</v>
      </c>
    </row>
    <row r="359" spans="1:156" x14ac:dyDescent="0.25">
      <c r="A359" s="2" t="s">
        <v>3872</v>
      </c>
      <c r="B359" s="2">
        <v>-0.29076561033535497</v>
      </c>
      <c r="C359" s="2">
        <f t="shared" si="5"/>
        <v>0.81746812891472054</v>
      </c>
      <c r="D359" s="2">
        <v>8.3578723279396296</v>
      </c>
      <c r="E359" s="2">
        <v>9.0489321227678499</v>
      </c>
      <c r="F359" s="2">
        <v>2.6284830004128798E-3</v>
      </c>
      <c r="G359" s="2">
        <v>4.7269525491001697E-2</v>
      </c>
      <c r="H359" s="2" t="s">
        <v>3873</v>
      </c>
      <c r="I359" s="2" t="s">
        <v>94</v>
      </c>
      <c r="J359" s="2" t="str">
        <f>HYPERLINK("https://vectorbase.org/vectorbase/app/record/gene/AGAP000235","AGAP000235-RA")</f>
        <v>AGAP000235-RA</v>
      </c>
      <c r="K359" s="2" t="str">
        <f>HYPERLINK(".\links\pep\AGAP000235-PA-pep.txt","AGAP000235-PA")</f>
        <v>AGAP000235-PA</v>
      </c>
      <c r="L359" s="12" t="s">
        <v>95</v>
      </c>
      <c r="M359" s="2">
        <v>131</v>
      </c>
      <c r="N359" s="2">
        <v>0</v>
      </c>
      <c r="O359" s="2">
        <v>0</v>
      </c>
      <c r="P359" s="2" t="s">
        <v>3874</v>
      </c>
      <c r="Q359" s="9" t="s">
        <v>3875</v>
      </c>
      <c r="R359" s="2" t="s">
        <v>196</v>
      </c>
      <c r="S359" s="2" t="str">
        <f>HYPERLINK(".\links\REFSEQ-INVERTEBRATE\AGAP000235-PA-REFSEQ-INVERTEBRATE.txt","REFSEQ-INVERTEBRATE")</f>
        <v>REFSEQ-INVERTEBRATE</v>
      </c>
      <c r="T359" s="2">
        <v>1.9999999999999999E-67</v>
      </c>
      <c r="U359" s="2">
        <v>100</v>
      </c>
      <c r="V359" s="2" t="s">
        <v>3876</v>
      </c>
      <c r="W359" s="10" t="s">
        <v>3877</v>
      </c>
      <c r="X359" s="2" t="s">
        <v>358</v>
      </c>
      <c r="Y359" s="2" t="str">
        <f>HYPERLINK(".\links\SMART\AGAP000235-PA-SMART.txt","SMART")</f>
        <v>SMART</v>
      </c>
      <c r="Z359" s="2">
        <v>1.9999999999999999E-7</v>
      </c>
      <c r="AA359" s="2">
        <v>91.8</v>
      </c>
      <c r="AB359" s="13" t="s">
        <v>102</v>
      </c>
      <c r="AC359" s="13" t="str">
        <f>HYPERLINK(".\links\Sigp\AGAP000235-PA-SigP.txt","CYT")</f>
        <v>CYT</v>
      </c>
      <c r="AD359" s="2" t="s">
        <v>102</v>
      </c>
      <c r="AE359" s="2">
        <v>14.442</v>
      </c>
      <c r="AF359" s="2">
        <v>4.95</v>
      </c>
      <c r="AG359" s="2" t="s">
        <v>102</v>
      </c>
      <c r="AH359" s="2" t="s">
        <v>102</v>
      </c>
      <c r="AI359" s="2" t="s">
        <v>211</v>
      </c>
      <c r="AJ359" s="13">
        <v>0</v>
      </c>
      <c r="AK359" s="2" t="s">
        <v>102</v>
      </c>
      <c r="AL359" s="2" t="s">
        <v>102</v>
      </c>
      <c r="AM359" s="2" t="s">
        <v>102</v>
      </c>
      <c r="AN359" s="13" t="str">
        <f>HYPERLINK(".\links\gpi\AGAP000235-PA-gpi.txt","N")</f>
        <v>N</v>
      </c>
      <c r="AO359" s="14" t="str">
        <f>HYPERLINK(".\links\netoglyc\AGAP000235-PA-netoglyc.txt","2")</f>
        <v>2</v>
      </c>
      <c r="AP359" s="13">
        <v>14.5</v>
      </c>
      <c r="AQ359" s="2">
        <v>3.8</v>
      </c>
      <c r="AR359" s="2">
        <v>5.3</v>
      </c>
      <c r="AS359" s="2" t="s">
        <v>104</v>
      </c>
      <c r="AT359" s="9" t="str">
        <f>HYPERLINK(".\links\NR-LIGHT\AGAP000235-PA-NR-LIGHT.txt","AGAP000235-PA")</f>
        <v>AGAP000235-PA</v>
      </c>
      <c r="AU359" s="2" t="str">
        <f>HYPERLINK("http://www.ncbi.nlm.nih.gov/sutils/blink.cgi?pid=XP_310894.3","3E-067")</f>
        <v>3E-067</v>
      </c>
      <c r="AV359" s="2" t="str">
        <f>HYPERLINK("http://www.ncbi.nlm.nih.gov/protein/XP_310894.3","XP_310894.3")</f>
        <v>XP_310894.3</v>
      </c>
      <c r="AW359" s="2">
        <v>100</v>
      </c>
      <c r="AX359" s="2">
        <v>100</v>
      </c>
      <c r="AY359" s="2">
        <v>100</v>
      </c>
      <c r="AZ359" s="2" t="s">
        <v>105</v>
      </c>
      <c r="BA359" s="9" t="str">
        <f>HYPERLINK(".\links\REFSEQ-INVERTEBRATE\AGAP000235-PA-REFSEQ-INVERTEBRATE.txt","AGAP000235-PC")</f>
        <v>AGAP000235-PC</v>
      </c>
      <c r="BB359" s="2" t="str">
        <f>HYPERLINK("http://www.ncbi.nlm.nih.gov/sutils/blink.cgi?pid=XP_003436944.1","2E-067")</f>
        <v>2E-067</v>
      </c>
      <c r="BC359" s="2" t="str">
        <f>HYPERLINK("http://www.ncbi.nlm.nih.gov/protein/XP_003436944.1","XP_003436944.1")</f>
        <v>XP_003436944.1</v>
      </c>
      <c r="BD359" s="2">
        <v>100</v>
      </c>
      <c r="BE359" s="2">
        <v>100</v>
      </c>
      <c r="BF359" s="2">
        <v>100</v>
      </c>
      <c r="BG359" s="2" t="s">
        <v>105</v>
      </c>
      <c r="BH359" s="9" t="str">
        <f>HYPERLINK(".\links\REFSEQ-PROTOZOA\AGAP000235-PA-REFSEQ-PROTOZOA.txt","thymosin beta-15A")</f>
        <v>thymosin beta-15A</v>
      </c>
      <c r="BI359" s="2" t="str">
        <f>HYPERLINK("http://www.ncbi.nlm.nih.gov/sutils/blink.cgi?pid=XP_004990211.1","5E-004")</f>
        <v>5E-004</v>
      </c>
      <c r="BJ359" s="2" t="str">
        <f>HYPERLINK("http://www.ncbi.nlm.nih.gov/protein/XP_004990211.1","XP_004990211.1")</f>
        <v>XP_004990211.1</v>
      </c>
      <c r="BK359" s="2">
        <v>48</v>
      </c>
      <c r="BL359" s="2">
        <v>65</v>
      </c>
      <c r="BM359" s="2">
        <v>49</v>
      </c>
      <c r="BN359" s="2" t="s">
        <v>435</v>
      </c>
      <c r="BO359" s="9" t="str">
        <f>HYPERLINK(".\links\SWISSP\AGAP000235-PA-SWISSP.txt","Thymosin beta")</f>
        <v>Thymosin beta</v>
      </c>
      <c r="BP359" s="2" t="str">
        <f>HYPERLINK("http://www.uniprot.org/uniprot/O17389","1E-012")</f>
        <v>1E-012</v>
      </c>
      <c r="BQ359" s="2" t="str">
        <f>HYPERLINK("http://www.uniprot.org/uniprot/O17389#expression","O17389")</f>
        <v>O17389</v>
      </c>
      <c r="BR359" s="2">
        <v>39</v>
      </c>
      <c r="BS359" s="2">
        <v>56</v>
      </c>
      <c r="BT359" s="2">
        <v>65</v>
      </c>
      <c r="BU359" s="2" t="s">
        <v>1445</v>
      </c>
      <c r="BV359" s="9" t="str">
        <f>HYPERLINK(".\links\FLYBASE\AGAP000235-PA-FLYBASE.txt","FBpp0310070")</f>
        <v>FBpp0310070</v>
      </c>
      <c r="BW359" s="2" t="str">
        <f>HYPERLINK("http://flybase.org/reports/FBgn0026084#alliance_summary_container","6E-44")</f>
        <v>6E-44</v>
      </c>
      <c r="BX359" s="2">
        <v>129</v>
      </c>
      <c r="BY359" s="2">
        <v>59</v>
      </c>
      <c r="BZ359" s="2">
        <v>71</v>
      </c>
      <c r="CA359" s="2">
        <v>92</v>
      </c>
      <c r="CB359" s="9" t="str">
        <f>HYPERLINK(".\links\CDD\AGAP000235-PA-CDD.txt","Thymosin, Thymosin beta-4 family")</f>
        <v>Thymosin, Thymosin beta-4 family</v>
      </c>
      <c r="CC359" s="15">
        <v>8.0000000000000007E-5</v>
      </c>
      <c r="CD359" s="2">
        <v>89.7</v>
      </c>
      <c r="CE359" s="2" t="s">
        <v>3878</v>
      </c>
      <c r="CF359" s="2" t="s">
        <v>3879</v>
      </c>
      <c r="CG359" s="9" t="str">
        <f>HYPERLINK(".\links\KOG\AGAP000235-PA-KOG.txt","Thymosin beta")</f>
        <v>Thymosin beta</v>
      </c>
      <c r="CH359" s="15">
        <v>9.9999999999999994E-12</v>
      </c>
      <c r="CI359" s="2">
        <v>114.9</v>
      </c>
      <c r="CJ359" s="2" t="s">
        <v>3880</v>
      </c>
      <c r="CK359" s="2" t="s">
        <v>2516</v>
      </c>
      <c r="CL359" s="9" t="str">
        <f>HYPERLINK(".\links\PFAM\AGAP000235-PA-PFAM.txt","Thymosin, Thymosin beta-4 family")</f>
        <v>Thymosin, Thymosin beta-4 family</v>
      </c>
      <c r="CM359" s="15">
        <v>2.0000000000000002E-5</v>
      </c>
      <c r="CN359" s="2">
        <v>89.7</v>
      </c>
      <c r="CO359" s="2" t="s">
        <v>3878</v>
      </c>
      <c r="CP359" s="9" t="str">
        <f>HYPERLINK(".\links\SMART\AGAP000235-PA-SMART.txt","THY, Thymosin beta actin-binding motif")</f>
        <v>THY, Thymosin beta actin-binding motif</v>
      </c>
      <c r="CQ359" s="15">
        <v>1.0000000000000001E-5</v>
      </c>
      <c r="CR359" s="2">
        <v>100</v>
      </c>
      <c r="CS359" s="2" t="s">
        <v>3881</v>
      </c>
      <c r="CT359" s="2" t="s">
        <v>3876</v>
      </c>
      <c r="CU359" s="2" t="s">
        <v>3876</v>
      </c>
      <c r="CV359" s="2" t="s">
        <v>3876</v>
      </c>
      <c r="CW359" s="2" t="str">
        <f>HYPERLINK(".\links\pep\AGAP000235-PA-pep.txt","AGAP000235-PA")</f>
        <v>AGAP000235-PA</v>
      </c>
      <c r="CX359" s="2" t="s">
        <v>95</v>
      </c>
      <c r="CY359" s="2">
        <v>131</v>
      </c>
      <c r="CZ359" s="2" t="s">
        <v>113</v>
      </c>
      <c r="DA359" s="2" t="s">
        <v>3882</v>
      </c>
      <c r="DB359" s="2">
        <v>0</v>
      </c>
      <c r="DC359" s="2">
        <v>0</v>
      </c>
      <c r="DD359" s="2" t="str">
        <f>HYPERLINK("https://www.kegg.jp/kegg-bin/search_pathway_text?map=aga&amp;keyword=AGAP000235&amp;mode=1&amp;viewImage=true","AGAP000235")</f>
        <v>AGAP000235</v>
      </c>
      <c r="DE359" s="2" t="s">
        <v>3872</v>
      </c>
      <c r="DF359" s="2" t="s">
        <v>3873</v>
      </c>
      <c r="DG359" s="2" t="s">
        <v>94</v>
      </c>
      <c r="DH359" s="2" t="str">
        <f>HYPERLINK("https://vectorbase.org/vectorbase/app/record/gene/AGAP000235","AGAP000235-RA")</f>
        <v>AGAP000235-RA</v>
      </c>
      <c r="DI359" s="2" t="s">
        <v>115</v>
      </c>
      <c r="DJ359" s="2">
        <v>2369</v>
      </c>
      <c r="DK359" s="2" t="str">
        <f>HYPERLINK(".\links\netoglyc\AGAP000235-PA-netoglyc.txt","2")</f>
        <v>2</v>
      </c>
      <c r="DL359" s="2">
        <v>14.5</v>
      </c>
      <c r="DM359" s="2">
        <v>3.8</v>
      </c>
      <c r="DN359" s="2">
        <v>5.3</v>
      </c>
      <c r="DO359" s="2" t="s">
        <v>104</v>
      </c>
      <c r="DP359" s="2" t="s">
        <v>102</v>
      </c>
      <c r="DQ359" s="2" t="str">
        <f>HYPERLINK(".\links\Sigp\AGAP000235-PA-SigP.txt","CYT")</f>
        <v>CYT</v>
      </c>
      <c r="DR359" s="2" t="s">
        <v>102</v>
      </c>
      <c r="DS359" s="2">
        <v>14.442</v>
      </c>
      <c r="DT359" s="2">
        <v>4.95</v>
      </c>
      <c r="DU359" s="2" t="s">
        <v>102</v>
      </c>
      <c r="DV359" s="2" t="s">
        <v>102</v>
      </c>
      <c r="DW359" s="2" t="s">
        <v>211</v>
      </c>
      <c r="DX359" s="2">
        <v>131</v>
      </c>
      <c r="DY359" s="12">
        <v>0</v>
      </c>
      <c r="DZ359" s="2" t="s">
        <v>102</v>
      </c>
      <c r="EA359" s="2" t="s">
        <v>102</v>
      </c>
      <c r="EB359" s="2" t="s">
        <v>102</v>
      </c>
      <c r="EC359" s="2" t="str">
        <f>HYPERLINK(".\links\gpi\AGAP000235-PA-gpi.txt","N")</f>
        <v>N</v>
      </c>
      <c r="ED359" s="2">
        <v>0.4</v>
      </c>
      <c r="EF359" s="2">
        <v>1</v>
      </c>
      <c r="EG359" s="2" t="s">
        <v>102</v>
      </c>
      <c r="EH359" s="2" t="s">
        <v>102</v>
      </c>
      <c r="EI359" s="2">
        <v>14.503816793893099</v>
      </c>
      <c r="EJ359" s="2">
        <v>5.3435114503816799</v>
      </c>
      <c r="EK359" s="2">
        <v>3.8167938931297698</v>
      </c>
      <c r="EL359" s="2">
        <v>9.1603053435114496</v>
      </c>
      <c r="EM359" s="2" t="s">
        <v>102</v>
      </c>
      <c r="EN359" s="2">
        <v>1</v>
      </c>
      <c r="EO359" s="2">
        <v>1</v>
      </c>
      <c r="EP359" s="2" t="s">
        <v>102</v>
      </c>
      <c r="EQ359" s="2" t="s">
        <v>102</v>
      </c>
      <c r="ER359" s="2" t="s">
        <v>102</v>
      </c>
      <c r="ES359" s="2" t="s">
        <v>102</v>
      </c>
      <c r="ET359" s="2" t="str">
        <f>HYPERLINK(".\links\REFSEQ-INVERTEBRATE\AGAP000235-PA-REFSEQ-INVERTEBRATE.txt","AGAP000235-PC")</f>
        <v>AGAP000235-PC</v>
      </c>
      <c r="EU359" s="2" t="str">
        <f>HYPERLINK("http://www.ncbi.nlm.nih.gov/sutils/blink.cgi?pid=XP_003436944.1","1E-90")</f>
        <v>1E-90</v>
      </c>
      <c r="EV359" s="2" t="str">
        <f>HYPERLINK("http://www.ncbi.nlm.nih.gov/protein/XP_003436944.1","XP_003436944.1")</f>
        <v>XP_003436944.1</v>
      </c>
      <c r="EW359" s="2">
        <v>100</v>
      </c>
      <c r="EX359" s="2">
        <v>100</v>
      </c>
      <c r="EY359" s="2">
        <v>100</v>
      </c>
      <c r="EZ359" s="2" t="s">
        <v>105</v>
      </c>
    </row>
    <row r="360" spans="1:156" x14ac:dyDescent="0.25">
      <c r="A360" s="2" t="s">
        <v>3883</v>
      </c>
      <c r="B360" s="2">
        <v>-0.29179146958496899</v>
      </c>
      <c r="C360" s="2">
        <f t="shared" si="5"/>
        <v>0.81688705728601341</v>
      </c>
      <c r="D360" s="2">
        <v>6.81701184325828</v>
      </c>
      <c r="E360" s="2">
        <v>12.6308163836127</v>
      </c>
      <c r="F360" s="2">
        <v>3.7943943285935201E-4</v>
      </c>
      <c r="G360" s="2">
        <v>2.1768426261281001E-2</v>
      </c>
      <c r="H360" s="2" t="s">
        <v>3884</v>
      </c>
      <c r="I360" s="2" t="s">
        <v>88</v>
      </c>
      <c r="J360" s="8" t="s">
        <v>3885</v>
      </c>
      <c r="Q360" s="9"/>
      <c r="W360" s="10"/>
      <c r="AB360" s="9"/>
      <c r="AC360" s="9"/>
      <c r="AJ360" s="9"/>
      <c r="AN360" s="9"/>
      <c r="AO360" s="11"/>
      <c r="AP360" s="9"/>
      <c r="AT360" s="9"/>
      <c r="BA360" s="9"/>
      <c r="BH360" s="9"/>
      <c r="BO360" s="9"/>
      <c r="BV360" s="9"/>
      <c r="CB360" s="9"/>
      <c r="CG360" s="9"/>
      <c r="CL360" s="9"/>
      <c r="CP360" s="9"/>
      <c r="DE360" s="2" t="s">
        <v>3883</v>
      </c>
      <c r="DF360" s="2" t="s">
        <v>3884</v>
      </c>
      <c r="DG360" s="2" t="s">
        <v>88</v>
      </c>
      <c r="DH360" s="8" t="s">
        <v>3885</v>
      </c>
      <c r="DI360" s="2" t="s">
        <v>90</v>
      </c>
      <c r="DJ360" s="2">
        <v>1899</v>
      </c>
      <c r="DQ360" s="2" t="s">
        <v>141</v>
      </c>
      <c r="DS360" s="2">
        <v>56853</v>
      </c>
      <c r="DT360" s="2">
        <v>8.32</v>
      </c>
      <c r="DX360" s="2">
        <v>504</v>
      </c>
      <c r="DY360" s="12"/>
    </row>
    <row r="361" spans="1:156" x14ac:dyDescent="0.25">
      <c r="A361" s="2" t="s">
        <v>3886</v>
      </c>
      <c r="B361" s="2">
        <v>-0.292597942006389</v>
      </c>
      <c r="C361" s="2">
        <f t="shared" si="5"/>
        <v>0.81643054169284845</v>
      </c>
      <c r="D361" s="2">
        <v>6.7678758541623996</v>
      </c>
      <c r="E361" s="2">
        <v>11.645598211325099</v>
      </c>
      <c r="F361" s="2">
        <v>6.4354635252318203E-4</v>
      </c>
      <c r="G361" s="2">
        <v>2.79382257888133E-2</v>
      </c>
      <c r="H361" s="2" t="s">
        <v>3887</v>
      </c>
      <c r="I361" s="2" t="s">
        <v>88</v>
      </c>
      <c r="J361" s="8" t="s">
        <v>3888</v>
      </c>
      <c r="Q361" s="9"/>
      <c r="W361" s="10"/>
      <c r="AB361" s="9"/>
      <c r="AC361" s="9"/>
      <c r="AJ361" s="9"/>
      <c r="AN361" s="9"/>
      <c r="AO361" s="11"/>
      <c r="AP361" s="9"/>
      <c r="AT361" s="9"/>
      <c r="BA361" s="9"/>
      <c r="BH361" s="9"/>
      <c r="BO361" s="9"/>
      <c r="BV361" s="9"/>
      <c r="CB361" s="9"/>
      <c r="CG361" s="9"/>
      <c r="CL361" s="9"/>
      <c r="CP361" s="9"/>
      <c r="DE361" s="2" t="s">
        <v>3886</v>
      </c>
      <c r="DF361" s="2" t="s">
        <v>3887</v>
      </c>
      <c r="DG361" s="2" t="s">
        <v>88</v>
      </c>
      <c r="DH361" s="8" t="s">
        <v>3888</v>
      </c>
      <c r="DI361" s="2" t="s">
        <v>90</v>
      </c>
      <c r="DJ361" s="2">
        <v>6508</v>
      </c>
      <c r="DQ361" s="2" t="s">
        <v>141</v>
      </c>
      <c r="DS361" s="2">
        <v>136348</v>
      </c>
      <c r="DT361" s="2">
        <v>6.78</v>
      </c>
      <c r="DX361" s="2">
        <v>1288</v>
      </c>
      <c r="DY361" s="12"/>
    </row>
    <row r="362" spans="1:156" x14ac:dyDescent="0.25">
      <c r="A362" s="2" t="s">
        <v>3889</v>
      </c>
      <c r="B362" s="2">
        <v>-0.29274633906158698</v>
      </c>
      <c r="C362" s="2">
        <f t="shared" si="5"/>
        <v>0.81634656714948828</v>
      </c>
      <c r="D362" s="2">
        <v>6.189266987291</v>
      </c>
      <c r="E362" s="2">
        <v>9.1817623139658195</v>
      </c>
      <c r="F362" s="2">
        <v>2.4443854682025101E-3</v>
      </c>
      <c r="G362" s="2">
        <v>4.6584949255024502E-2</v>
      </c>
      <c r="H362" s="2" t="s">
        <v>93</v>
      </c>
      <c r="I362" s="2" t="s">
        <v>94</v>
      </c>
      <c r="J362" s="2" t="str">
        <f>HYPERLINK("https://vectorbase.org/vectorbase/app/record/gene/AGAP000273","AGAP000273-RA")</f>
        <v>AGAP000273-RA</v>
      </c>
      <c r="K362" s="2" t="str">
        <f>HYPERLINK(".\links\pep\AGAP000273-PA-pep.txt","AGAP000273-PA")</f>
        <v>AGAP000273-PA</v>
      </c>
      <c r="L362" s="12" t="s">
        <v>95</v>
      </c>
      <c r="M362" s="2">
        <v>1774</v>
      </c>
      <c r="N362" s="2">
        <v>0</v>
      </c>
      <c r="O362" s="2">
        <v>5</v>
      </c>
      <c r="P362" s="2" t="s">
        <v>102</v>
      </c>
      <c r="Q362" s="9" t="s">
        <v>3890</v>
      </c>
      <c r="R362" s="2" t="s">
        <v>196</v>
      </c>
      <c r="S362" s="2" t="str">
        <f>HYPERLINK(".\links\REFSEQ-INVERTEBRATE\AGAP000273-PA-REFSEQ-INVERTEBRATE.txt","REFSEQ-INVERTEBRATE")</f>
        <v>REFSEQ-INVERTEBRATE</v>
      </c>
      <c r="T362" s="2">
        <v>0</v>
      </c>
      <c r="U362" s="2">
        <v>99.7</v>
      </c>
      <c r="V362" s="2" t="s">
        <v>3890</v>
      </c>
      <c r="W362" s="10" t="s">
        <v>183</v>
      </c>
      <c r="X362" s="2" t="s">
        <v>196</v>
      </c>
      <c r="Y362" s="2" t="str">
        <f>HYPERLINK(".\links\REFSEQ-PROTOZOA\AGAP000273-PA-REFSEQ-PROTOZOA.txt","REFSEQ-PROTOZOA")</f>
        <v>REFSEQ-PROTOZOA</v>
      </c>
      <c r="Z362" s="15">
        <v>0</v>
      </c>
      <c r="AA362" s="2">
        <v>110.2</v>
      </c>
      <c r="AB362" s="13" t="str">
        <f>HYPERLINK(".\links\pep\AGAP000273-PA-sulf.txt","3")</f>
        <v>3</v>
      </c>
      <c r="AC362" s="13" t="str">
        <f>HYPERLINK(".\links\Sigp\AGAP000273-PA-SigP.txt","CYT")</f>
        <v>CYT</v>
      </c>
      <c r="AD362" s="2" t="s">
        <v>102</v>
      </c>
      <c r="AE362" s="2">
        <v>196.80699999999999</v>
      </c>
      <c r="AF362" s="2">
        <v>5.84</v>
      </c>
      <c r="AG362" s="2" t="s">
        <v>102</v>
      </c>
      <c r="AH362" s="2" t="s">
        <v>102</v>
      </c>
      <c r="AI362" s="2" t="s">
        <v>813</v>
      </c>
      <c r="AJ362" s="13">
        <v>0</v>
      </c>
      <c r="AK362" s="2" t="s">
        <v>102</v>
      </c>
      <c r="AL362" s="2" t="s">
        <v>102</v>
      </c>
      <c r="AM362" s="2" t="s">
        <v>102</v>
      </c>
      <c r="AN362" s="13" t="str">
        <f>HYPERLINK(".\links\gpi\AGAP000273-PA-gpi.txt","N")</f>
        <v>N</v>
      </c>
      <c r="AO362" s="14" t="str">
        <f>HYPERLINK(".\links\netoglyc\AGAP000273-PA-netoglyc.txt","1")</f>
        <v>1</v>
      </c>
      <c r="AP362" s="13">
        <v>11.3</v>
      </c>
      <c r="AQ362" s="2">
        <v>5.5</v>
      </c>
      <c r="AR362" s="2">
        <v>4.3</v>
      </c>
      <c r="AS362" s="2" t="s">
        <v>104</v>
      </c>
      <c r="AT362" s="9" t="str">
        <f>HYPERLINK(".\links\NR-LIGHT\AGAP000273-PA-NR-LIGHT.txt","AGAP000273-PA")</f>
        <v>AGAP000273-PA</v>
      </c>
      <c r="AU362" s="2" t="str">
        <f>HYPERLINK("http://www.ncbi.nlm.nih.gov/sutils/blink.cgi?pid=XP_001237319.2","0.0")</f>
        <v>0.0</v>
      </c>
      <c r="AV362" s="2" t="str">
        <f>HYPERLINK("http://www.ncbi.nlm.nih.gov/protein/XP_001237319.2","XP_001237319.2")</f>
        <v>XP_001237319.2</v>
      </c>
      <c r="AW362" s="2">
        <v>99</v>
      </c>
      <c r="AX362" s="2">
        <v>100</v>
      </c>
      <c r="AY362" s="2">
        <v>100</v>
      </c>
      <c r="AZ362" s="2" t="s">
        <v>105</v>
      </c>
      <c r="BA362" s="9" t="str">
        <f>HYPERLINK(".\links\REFSEQ-INVERTEBRATE\AGAP000273-PA-REFSEQ-INVERTEBRATE.txt","AGAP000273-PA")</f>
        <v>AGAP000273-PA</v>
      </c>
      <c r="BB362" s="2" t="str">
        <f>HYPERLINK("http://www.ncbi.nlm.nih.gov/sutils/blink.cgi?pid=XP_001237319.2","0.0")</f>
        <v>0.0</v>
      </c>
      <c r="BC362" s="2" t="str">
        <f>HYPERLINK("http://www.ncbi.nlm.nih.gov/protein/XP_001237319.2","XP_001237319.2")</f>
        <v>XP_001237319.2</v>
      </c>
      <c r="BD362" s="2">
        <v>99</v>
      </c>
      <c r="BE362" s="2">
        <v>100</v>
      </c>
      <c r="BF362" s="2">
        <v>100</v>
      </c>
      <c r="BG362" s="2" t="s">
        <v>105</v>
      </c>
      <c r="BH362" s="9" t="str">
        <f>HYPERLINK(".\links\REFSEQ-PROTOZOA\AGAP000273-PA-REFSEQ-PROTOZOA.txt","hypothetical protein CAOG_06818")</f>
        <v>hypothetical protein CAOG_06818</v>
      </c>
      <c r="BI362" s="2" t="str">
        <f>HYPERLINK("http://www.ncbi.nlm.nih.gov/sutils/blink.cgi?pid=XP_004344439.1","1E-132")</f>
        <v>1E-132</v>
      </c>
      <c r="BJ362" s="2" t="str">
        <f>HYPERLINK("http://www.ncbi.nlm.nih.gov/protein/XP_004344439.1","XP_004344439.1")</f>
        <v>XP_004344439.1</v>
      </c>
      <c r="BK362" s="2">
        <v>23</v>
      </c>
      <c r="BL362" s="2">
        <v>43</v>
      </c>
      <c r="BM362" s="2">
        <v>110</v>
      </c>
      <c r="BN362" s="2" t="s">
        <v>106</v>
      </c>
      <c r="BO362" s="9" t="str">
        <f>HYPERLINK(".\links\SWISSP\AGAP000273-PA-SWISSP.txt","Maestro heat-like repeat-containing protein family member 1")</f>
        <v>Maestro heat-like repeat-containing protein family member 1</v>
      </c>
      <c r="BP362" s="2" t="str">
        <f>HYPERLINK("http://www.uniprot.org/uniprot/Q8NDA8","1E-116")</f>
        <v>1E-116</v>
      </c>
      <c r="BQ362" s="2" t="str">
        <f>HYPERLINK("http://www.uniprot.org/uniprot/Q8NDA8#expression","Q8NDA8")</f>
        <v>Q8NDA8</v>
      </c>
      <c r="BR362" s="2">
        <v>23</v>
      </c>
      <c r="BS362" s="2">
        <v>41</v>
      </c>
      <c r="BT362" s="2">
        <v>108</v>
      </c>
      <c r="BU362" s="2" t="s">
        <v>127</v>
      </c>
      <c r="BV362" s="9" t="str">
        <f>HYPERLINK(".\links\FLYBASE\AGAP000273-PA-FLYBASE.txt","FBpp0310025")</f>
        <v>FBpp0310025</v>
      </c>
      <c r="BW362" s="2" t="str">
        <f>HYPERLINK("http://flybase.org/reports/FBgn0040236#alliance_summary_container","0.0")</f>
        <v>0.0</v>
      </c>
      <c r="BX362" s="2">
        <v>1742</v>
      </c>
      <c r="BY362" s="2">
        <v>42</v>
      </c>
      <c r="BZ362" s="2">
        <v>61</v>
      </c>
      <c r="CA362" s="2">
        <v>102</v>
      </c>
      <c r="CB362" s="9" t="str">
        <f>HYPERLINK(".\links\CDD\AGAP000273-PA-CDD.txt","Loricrin, Major keratinocyte cell envelope protein")</f>
        <v>Loricrin, Major keratinocyte cell envelope protein</v>
      </c>
      <c r="CC362" s="15">
        <v>2.9999999999999997E-4</v>
      </c>
      <c r="CD362" s="2">
        <v>10.1</v>
      </c>
      <c r="CE362" s="2" t="s">
        <v>3891</v>
      </c>
      <c r="CF362" s="2" t="s">
        <v>3892</v>
      </c>
      <c r="CG362" s="9" t="str">
        <f>HYPERLINK(".\links\KOG\AGAP000273-PA-KOG.txt","Uncharacterized conserved protein")</f>
        <v>Uncharacterized conserved protein</v>
      </c>
      <c r="CH362" s="15">
        <v>1.9999999999999999E-23</v>
      </c>
      <c r="CI362" s="2">
        <v>59.8</v>
      </c>
      <c r="CJ362" s="2" t="s">
        <v>3893</v>
      </c>
      <c r="CK362" s="2" t="s">
        <v>284</v>
      </c>
      <c r="CL362" s="9" t="str">
        <f>HYPERLINK(".\links\PFAM\AGAP000273-PA-PFAM.txt","Loricrin, Major keratinocyte cell envelope protein")</f>
        <v>Loricrin, Major keratinocyte cell envelope protein</v>
      </c>
      <c r="CM362" s="15">
        <v>6.0000000000000002E-5</v>
      </c>
      <c r="CN362" s="2">
        <v>10.1</v>
      </c>
      <c r="CO362" s="2" t="s">
        <v>3891</v>
      </c>
      <c r="CP362" s="9" t="str">
        <f>HYPERLINK(".\links\SMART\AGAP000273-PA-SMART.txt","PRP, Major prion protein")</f>
        <v>PRP, Major prion protein</v>
      </c>
      <c r="CQ362" s="15">
        <v>1E-3</v>
      </c>
      <c r="CR362" s="2">
        <v>15.6</v>
      </c>
      <c r="CS362" s="2" t="s">
        <v>1331</v>
      </c>
      <c r="CT362" s="2" t="s">
        <v>3890</v>
      </c>
      <c r="CU362" s="2" t="s">
        <v>3890</v>
      </c>
      <c r="CV362" s="2" t="s">
        <v>3890</v>
      </c>
      <c r="CW362" s="2" t="str">
        <f>HYPERLINK(".\links\pep\AGAP000273-PA-pep.txt","AGAP000273-PA")</f>
        <v>AGAP000273-PA</v>
      </c>
      <c r="CX362" s="2" t="s">
        <v>95</v>
      </c>
      <c r="CY362" s="2">
        <v>1774</v>
      </c>
      <c r="CZ362" s="2" t="s">
        <v>113</v>
      </c>
      <c r="DA362" s="2" t="s">
        <v>3894</v>
      </c>
      <c r="DB362" s="2">
        <v>0</v>
      </c>
      <c r="DC362" s="2">
        <v>5</v>
      </c>
      <c r="DD362" s="2" t="str">
        <f>HYPERLINK("https://www.kegg.jp/kegg-bin/search_pathway_text?map=aga&amp;keyword=AGAP000273&amp;mode=1&amp;viewImage=true","AGAP000273")</f>
        <v>AGAP000273</v>
      </c>
      <c r="DE362" s="2" t="s">
        <v>3889</v>
      </c>
      <c r="DF362" s="2" t="s">
        <v>93</v>
      </c>
      <c r="DG362" s="2" t="s">
        <v>94</v>
      </c>
      <c r="DH362" s="2" t="str">
        <f>HYPERLINK("https://vectorbase.org/vectorbase/app/record/gene/AGAP000273","AGAP000273-RA")</f>
        <v>AGAP000273-RA</v>
      </c>
      <c r="DI362" s="2" t="s">
        <v>118</v>
      </c>
      <c r="DJ362" s="2">
        <v>5858</v>
      </c>
      <c r="DK362" s="2" t="str">
        <f>HYPERLINK(".\links\netoglyc\AGAP000273-PA-netoglyc.txt","1")</f>
        <v>1</v>
      </c>
      <c r="DL362" s="2">
        <v>11.3</v>
      </c>
      <c r="DM362" s="2">
        <v>5.5</v>
      </c>
      <c r="DN362" s="2">
        <v>4.3</v>
      </c>
      <c r="DO362" s="2" t="s">
        <v>104</v>
      </c>
      <c r="DP362" s="2" t="s">
        <v>102</v>
      </c>
      <c r="DQ362" s="2" t="str">
        <f>HYPERLINK(".\links\Sigp\AGAP000273-PA-SigP.txt","CYT")</f>
        <v>CYT</v>
      </c>
      <c r="DR362" s="2" t="s">
        <v>102</v>
      </c>
      <c r="DS362" s="2">
        <v>196.80699999999999</v>
      </c>
      <c r="DT362" s="2">
        <v>5.84</v>
      </c>
      <c r="DU362" s="2" t="s">
        <v>102</v>
      </c>
      <c r="DV362" s="2" t="s">
        <v>102</v>
      </c>
      <c r="DW362" s="2" t="s">
        <v>813</v>
      </c>
      <c r="DX362" s="2">
        <v>1774</v>
      </c>
      <c r="DY362" s="12">
        <v>0</v>
      </c>
      <c r="DZ362" s="2" t="s">
        <v>102</v>
      </c>
      <c r="EA362" s="2" t="s">
        <v>102</v>
      </c>
      <c r="EB362" s="2" t="s">
        <v>102</v>
      </c>
      <c r="EC362" s="2" t="str">
        <f>HYPERLINK(".\links\gpi\AGAP000273-PA-gpi.txt","N")</f>
        <v>N</v>
      </c>
      <c r="ED362" s="2">
        <v>0.18</v>
      </c>
      <c r="EF362" s="2">
        <v>47</v>
      </c>
      <c r="EG362" s="2" t="str">
        <f>HYPERLINK(".\links\pep\AGAP000273-PA-sulf.txt","3")</f>
        <v>3</v>
      </c>
      <c r="EH362" s="2" t="s">
        <v>102</v>
      </c>
      <c r="EI362" s="2">
        <v>11.2739571589628</v>
      </c>
      <c r="EJ362" s="2">
        <v>4.3404735062006798</v>
      </c>
      <c r="EK362" s="2">
        <v>5.5242390078917696</v>
      </c>
      <c r="EL362" s="2">
        <v>9.8647125140924494</v>
      </c>
      <c r="EM362" s="2">
        <v>1</v>
      </c>
      <c r="EN362" s="2">
        <v>5</v>
      </c>
      <c r="EO362" s="2">
        <v>5</v>
      </c>
      <c r="EP362" s="2" t="s">
        <v>102</v>
      </c>
      <c r="EQ362" s="2" t="s">
        <v>102</v>
      </c>
      <c r="ER362" s="2" t="s">
        <v>102</v>
      </c>
      <c r="ES362" s="2" t="s">
        <v>102</v>
      </c>
      <c r="ET362" s="2" t="str">
        <f>HYPERLINK(".\links\REFSEQ-INVERTEBRATE\AGAP000273-PA-REFSEQ-INVERTEBRATE.txt","AGAP000273-PA")</f>
        <v>AGAP000273-PA</v>
      </c>
      <c r="EU362" s="2" t="str">
        <f>HYPERLINK("http://www.ncbi.nlm.nih.gov/sutils/blink.cgi?pid=XP_001237319.2","0.0")</f>
        <v>0.0</v>
      </c>
      <c r="EV362" s="2" t="str">
        <f>HYPERLINK("http://www.ncbi.nlm.nih.gov/protein/XP_001237319.2","XP_001237319.2")</f>
        <v>XP_001237319.2</v>
      </c>
      <c r="EW362" s="2">
        <v>99</v>
      </c>
      <c r="EX362" s="2">
        <v>100</v>
      </c>
      <c r="EY362" s="2">
        <v>100</v>
      </c>
      <c r="EZ362" s="2" t="s">
        <v>105</v>
      </c>
    </row>
    <row r="363" spans="1:156" x14ac:dyDescent="0.25">
      <c r="A363" s="2" t="s">
        <v>3895</v>
      </c>
      <c r="B363" s="2">
        <v>-0.29316443796571701</v>
      </c>
      <c r="C363" s="2">
        <f t="shared" si="5"/>
        <v>0.81611002086411022</v>
      </c>
      <c r="D363" s="2">
        <v>5.9693404536448504</v>
      </c>
      <c r="E363" s="2">
        <v>10.703438162144399</v>
      </c>
      <c r="F363" s="2">
        <v>1.06936622627357E-3</v>
      </c>
      <c r="G363" s="2">
        <v>3.31402646538555E-2</v>
      </c>
      <c r="H363" s="2" t="s">
        <v>93</v>
      </c>
      <c r="I363" s="2" t="s">
        <v>94</v>
      </c>
      <c r="J363" s="2" t="str">
        <f>HYPERLINK("https://vectorbase.org/vectorbase/app/record/gene/AGAP006621","AGAP006621-RA")</f>
        <v>AGAP006621-RA</v>
      </c>
      <c r="K363" s="2" t="str">
        <f>HYPERLINK(".\links\pep\AGAP006621-PA-pep.txt","AGAP006621-PA")</f>
        <v>AGAP006621-PA</v>
      </c>
      <c r="L363" s="12" t="s">
        <v>95</v>
      </c>
      <c r="M363" s="2">
        <v>1233</v>
      </c>
      <c r="N363" s="2">
        <v>0</v>
      </c>
      <c r="O363" s="2">
        <v>7</v>
      </c>
      <c r="P363" s="2" t="s">
        <v>102</v>
      </c>
      <c r="Q363" s="9" t="s">
        <v>3896</v>
      </c>
      <c r="R363" s="2" t="s">
        <v>196</v>
      </c>
      <c r="S363" s="2" t="str">
        <f>HYPERLINK(".\links\REFSEQ-INVERTEBRATE\AGAP006621-PA-REFSEQ-INVERTEBRATE.txt","REFSEQ-INVERTEBRATE")</f>
        <v>REFSEQ-INVERTEBRATE</v>
      </c>
      <c r="T363" s="2">
        <v>0</v>
      </c>
      <c r="U363" s="2">
        <v>100</v>
      </c>
      <c r="V363" s="2" t="s">
        <v>3897</v>
      </c>
      <c r="W363" s="10" t="s">
        <v>3898</v>
      </c>
      <c r="X363" s="2" t="s">
        <v>388</v>
      </c>
      <c r="Y363" s="2" t="str">
        <f>HYPERLINK(".\links\PFAM\AGAP006621-PA-PFAM.txt","PFAM")</f>
        <v>PFAM</v>
      </c>
      <c r="Z363" s="2">
        <v>4.9999999999999997E-12</v>
      </c>
      <c r="AA363" s="2">
        <v>83.3</v>
      </c>
      <c r="AB363" s="13" t="s">
        <v>102</v>
      </c>
      <c r="AC363" s="13" t="str">
        <f>HYPERLINK(".\links\Sigp\AGAP006621-PA-SigP.txt","CYT")</f>
        <v>CYT</v>
      </c>
      <c r="AD363" s="2" t="s">
        <v>102</v>
      </c>
      <c r="AE363" s="2">
        <v>125.935</v>
      </c>
      <c r="AF363" s="2">
        <v>9.2799999999999994</v>
      </c>
      <c r="AG363" s="2" t="s">
        <v>102</v>
      </c>
      <c r="AH363" s="2" t="s">
        <v>102</v>
      </c>
      <c r="AI363" s="2" t="s">
        <v>2855</v>
      </c>
      <c r="AJ363" s="13">
        <v>0</v>
      </c>
      <c r="AK363" s="2" t="s">
        <v>102</v>
      </c>
      <c r="AL363" s="2" t="s">
        <v>102</v>
      </c>
      <c r="AM363" s="2" t="s">
        <v>102</v>
      </c>
      <c r="AN363" s="13" t="str">
        <f>HYPERLINK(".\links\gpi\AGAP006621-PA-gpi.txt","N")</f>
        <v>N</v>
      </c>
      <c r="AO363" s="14" t="str">
        <f>HYPERLINK(".\links\netoglyc\AGAP006621-PA-netoglyc.txt","49")</f>
        <v>49</v>
      </c>
      <c r="AP363" s="13">
        <v>24.2</v>
      </c>
      <c r="AQ363" s="2">
        <v>10.7</v>
      </c>
      <c r="AR363" s="2">
        <v>5.4</v>
      </c>
      <c r="AS363" s="2">
        <v>0.2</v>
      </c>
      <c r="AT363" s="9" t="str">
        <f>HYPERLINK(".\links\NR-LIGHT\AGAP006621-PA-NR-LIGHT.txt","AGAP006621-PA")</f>
        <v>AGAP006621-PA</v>
      </c>
      <c r="AU363" s="2" t="str">
        <f>HYPERLINK("http://www.ncbi.nlm.nih.gov/sutils/blink.cgi?pid=XP_001688935.1","0.0")</f>
        <v>0.0</v>
      </c>
      <c r="AV363" s="2" t="str">
        <f>HYPERLINK("http://www.ncbi.nlm.nih.gov/protein/XP_001688935.1","XP_001688935.1")</f>
        <v>XP_001688935.1</v>
      </c>
      <c r="AW363" s="2">
        <v>100</v>
      </c>
      <c r="AX363" s="2">
        <v>100</v>
      </c>
      <c r="AY363" s="2">
        <v>100</v>
      </c>
      <c r="AZ363" s="2" t="s">
        <v>105</v>
      </c>
      <c r="BA363" s="9" t="str">
        <f>HYPERLINK(".\links\REFSEQ-INVERTEBRATE\AGAP006621-PA-REFSEQ-INVERTEBRATE.txt","AGAP006621-PA")</f>
        <v>AGAP006621-PA</v>
      </c>
      <c r="BB363" s="2" t="str">
        <f>HYPERLINK("http://www.ncbi.nlm.nih.gov/sutils/blink.cgi?pid=XP_001688935.1","0.0")</f>
        <v>0.0</v>
      </c>
      <c r="BC363" s="2" t="str">
        <f>HYPERLINK("http://www.ncbi.nlm.nih.gov/protein/XP_001688935.1","XP_001688935.1")</f>
        <v>XP_001688935.1</v>
      </c>
      <c r="BD363" s="2">
        <v>100</v>
      </c>
      <c r="BE363" s="2">
        <v>100</v>
      </c>
      <c r="BF363" s="2">
        <v>100</v>
      </c>
      <c r="BG363" s="2" t="s">
        <v>105</v>
      </c>
      <c r="BH363" s="9" t="str">
        <f>HYPERLINK(".\links\REFSEQ-PROTOZOA\AGAP006621-PA-REFSEQ-PROTOZOA.txt","proteophosphoglycan ppg1")</f>
        <v>proteophosphoglycan ppg1</v>
      </c>
      <c r="BI363" s="2" t="str">
        <f>HYPERLINK("http://www.ncbi.nlm.nih.gov/sutils/blink.cgi?pid=XP_003879053.1","1E-044")</f>
        <v>1E-044</v>
      </c>
      <c r="BJ363" s="2" t="str">
        <f>HYPERLINK("http://www.ncbi.nlm.nih.gov/protein/XP_003879053.1","XP_003879053.1")</f>
        <v>XP_003879053.1</v>
      </c>
      <c r="BK363" s="2">
        <v>23</v>
      </c>
      <c r="BL363" s="2">
        <v>42</v>
      </c>
      <c r="BM363" s="2">
        <v>51</v>
      </c>
      <c r="BN363" s="2" t="s">
        <v>448</v>
      </c>
      <c r="BO363" s="9" t="str">
        <f>HYPERLINK(".\links\SWISSP\AGAP006621-PA-SWISSP.txt","Uncharacterized protein DDB_G0271670")</f>
        <v>Uncharacterized protein DDB_G0271670</v>
      </c>
      <c r="BP363" s="2" t="str">
        <f>HYPERLINK("http://www.uniprot.org/uniprot/Q75JC9","4E-037")</f>
        <v>4E-037</v>
      </c>
      <c r="BQ363" s="2" t="str">
        <f>HYPERLINK("http://www.uniprot.org/uniprot/Q75JC9#expression","Q75JC9")</f>
        <v>Q75JC9</v>
      </c>
      <c r="BR363" s="2">
        <v>34</v>
      </c>
      <c r="BS363" s="2">
        <v>60</v>
      </c>
      <c r="BT363" s="2">
        <v>79</v>
      </c>
      <c r="BU363" s="2" t="s">
        <v>1919</v>
      </c>
      <c r="BV363" s="9"/>
      <c r="CB363" s="9" t="str">
        <f>HYPERLINK(".\links\CDD\AGAP006621-PA-CDD.txt","SCA7, SCA7, zinc-binding domain")</f>
        <v>SCA7, SCA7, zinc-binding domain</v>
      </c>
      <c r="CC363" s="15">
        <v>5.0000000000000004E-18</v>
      </c>
      <c r="CD363" s="2">
        <v>75.8</v>
      </c>
      <c r="CE363" s="2" t="s">
        <v>3899</v>
      </c>
      <c r="CF363" s="2" t="s">
        <v>3900</v>
      </c>
      <c r="CG363" s="9" t="str">
        <f>HYPERLINK(".\links\KOG\AGAP006621-PA-KOG.txt","Uncharacterized conserved protein")</f>
        <v>Uncharacterized conserved protein</v>
      </c>
      <c r="CH363" s="15">
        <v>1E-8</v>
      </c>
      <c r="CI363" s="2">
        <v>11</v>
      </c>
      <c r="CJ363" s="2" t="s">
        <v>3901</v>
      </c>
      <c r="CK363" s="2" t="s">
        <v>191</v>
      </c>
      <c r="CL363" s="9" t="str">
        <f>HYPERLINK(".\links\PFAM\AGAP006621-PA-PFAM.txt","SCA7, SCA7, zinc-binding domain")</f>
        <v>SCA7, SCA7, zinc-binding domain</v>
      </c>
      <c r="CM363" s="15">
        <v>1.0000000000000001E-18</v>
      </c>
      <c r="CN363" s="2">
        <v>75.8</v>
      </c>
      <c r="CO363" s="2" t="s">
        <v>3899</v>
      </c>
      <c r="CP363" s="9" t="str">
        <f>HYPERLINK(".\links\SMART\AGAP006621-PA-SMART.txt","AraC_E_bind, Bacterial transcription activator, effector binding domain")</f>
        <v>AraC_E_bind, Bacterial transcription activator, effector binding domain</v>
      </c>
      <c r="CQ363" s="15">
        <v>0.22</v>
      </c>
      <c r="CR363" s="2">
        <v>24.1</v>
      </c>
      <c r="CS363" s="2" t="s">
        <v>3902</v>
      </c>
      <c r="CT363" s="2" t="s">
        <v>3897</v>
      </c>
      <c r="CU363" s="2" t="s">
        <v>3897</v>
      </c>
      <c r="CV363" s="2" t="s">
        <v>3897</v>
      </c>
      <c r="CW363" s="2" t="str">
        <f>HYPERLINK(".\links\pep\AGAP006621-PA-pep.txt","AGAP006621-PA")</f>
        <v>AGAP006621-PA</v>
      </c>
      <c r="CX363" s="2" t="s">
        <v>95</v>
      </c>
      <c r="CY363" s="2">
        <v>1233</v>
      </c>
      <c r="CZ363" s="2" t="s">
        <v>113</v>
      </c>
      <c r="DA363" s="2" t="s">
        <v>3903</v>
      </c>
      <c r="DB363" s="2">
        <v>0</v>
      </c>
      <c r="DC363" s="2">
        <v>7</v>
      </c>
      <c r="DD363" s="2" t="str">
        <f>HYPERLINK("https://www.kegg.jp/kegg-bin/search_pathway_text?map=aga&amp;keyword=AGAP006621&amp;mode=1&amp;viewImage=true","AGAP006621")</f>
        <v>AGAP006621</v>
      </c>
      <c r="DE363" s="2" t="s">
        <v>3895</v>
      </c>
      <c r="DF363" s="2" t="s">
        <v>93</v>
      </c>
      <c r="DG363" s="2" t="s">
        <v>94</v>
      </c>
      <c r="DH363" s="2" t="str">
        <f>HYPERLINK("https://vectorbase.org/vectorbase/app/record/gene/AGAP006621","AGAP006621-RA")</f>
        <v>AGAP006621-RA</v>
      </c>
      <c r="DI363" s="2" t="s">
        <v>115</v>
      </c>
      <c r="DJ363" s="2">
        <v>4607</v>
      </c>
      <c r="DK363" s="2" t="str">
        <f>HYPERLINK(".\links\netoglyc\AGAP006621-PA-netoglyc.txt","49")</f>
        <v>49</v>
      </c>
      <c r="DL363" s="2">
        <v>24.2</v>
      </c>
      <c r="DM363" s="2">
        <v>10.7</v>
      </c>
      <c r="DN363" s="2">
        <v>5.4</v>
      </c>
      <c r="DO363" s="2">
        <v>0.2</v>
      </c>
      <c r="DP363" s="2" t="s">
        <v>3904</v>
      </c>
      <c r="DQ363" s="2" t="str">
        <f>HYPERLINK(".\links\Sigp\AGAP006621-PA-SigP.txt","CYT")</f>
        <v>CYT</v>
      </c>
      <c r="DR363" s="2" t="s">
        <v>102</v>
      </c>
      <c r="DS363" s="2">
        <v>125.935</v>
      </c>
      <c r="DT363" s="2">
        <v>9.2799999999999994</v>
      </c>
      <c r="DU363" s="2" t="s">
        <v>102</v>
      </c>
      <c r="DV363" s="2" t="s">
        <v>102</v>
      </c>
      <c r="DW363" s="2" t="s">
        <v>2855</v>
      </c>
      <c r="DX363" s="2">
        <v>1233</v>
      </c>
      <c r="DY363" s="12">
        <v>0</v>
      </c>
      <c r="DZ363" s="2" t="s">
        <v>102</v>
      </c>
      <c r="EA363" s="2" t="s">
        <v>102</v>
      </c>
      <c r="EB363" s="2" t="s">
        <v>102</v>
      </c>
      <c r="EC363" s="2" t="str">
        <f>HYPERLINK(".\links\gpi\AGAP006621-PA-gpi.txt","N")</f>
        <v>N</v>
      </c>
      <c r="ED363" s="2">
        <v>0.35</v>
      </c>
      <c r="EF363" s="2">
        <v>10</v>
      </c>
      <c r="EG363" s="2" t="s">
        <v>102</v>
      </c>
      <c r="EH363" s="2" t="s">
        <v>102</v>
      </c>
      <c r="EI363" s="2">
        <v>24.1686942416869</v>
      </c>
      <c r="EJ363" s="2">
        <v>5.3527980535279802</v>
      </c>
      <c r="EK363" s="2">
        <v>10.705596107056</v>
      </c>
      <c r="EL363" s="2">
        <v>16.058394160583902</v>
      </c>
      <c r="EM363" s="2">
        <v>1</v>
      </c>
      <c r="EN363" s="2">
        <v>2</v>
      </c>
      <c r="EO363" s="2">
        <v>3</v>
      </c>
      <c r="EP363" s="2" t="s">
        <v>102</v>
      </c>
      <c r="EQ363" s="2" t="s">
        <v>102</v>
      </c>
      <c r="ER363" s="2" t="s">
        <v>102</v>
      </c>
      <c r="ES363" s="2" t="s">
        <v>102</v>
      </c>
      <c r="ET363" s="2" t="str">
        <f>HYPERLINK(".\links\REFSEQ-INVERTEBRATE\AGAP006621-PA-REFSEQ-INVERTEBRATE.txt","AGAP006621-PA")</f>
        <v>AGAP006621-PA</v>
      </c>
      <c r="EU363" s="2" t="str">
        <f>HYPERLINK("http://www.ncbi.nlm.nih.gov/sutils/blink.cgi?pid=XP_001688935.1","0.0")</f>
        <v>0.0</v>
      </c>
      <c r="EV363" s="2" t="str">
        <f>HYPERLINK("http://www.ncbi.nlm.nih.gov/protein/XP_001688935.1","XP_001688935.1")</f>
        <v>XP_001688935.1</v>
      </c>
      <c r="EW363" s="2">
        <v>100</v>
      </c>
      <c r="EX363" s="2">
        <v>100</v>
      </c>
      <c r="EY363" s="2">
        <v>100</v>
      </c>
      <c r="EZ363" s="2" t="s">
        <v>105</v>
      </c>
    </row>
    <row r="364" spans="1:156" x14ac:dyDescent="0.25">
      <c r="A364" s="2" t="s">
        <v>3905</v>
      </c>
      <c r="B364" s="2">
        <v>-0.29365550275145003</v>
      </c>
      <c r="C364" s="2">
        <f t="shared" si="5"/>
        <v>0.81583228046642353</v>
      </c>
      <c r="D364" s="2">
        <v>6.6140730931222196</v>
      </c>
      <c r="E364" s="2">
        <v>10.1470749015871</v>
      </c>
      <c r="F364" s="2">
        <v>1.44530393647027E-3</v>
      </c>
      <c r="G364" s="2">
        <v>3.7286571450037997E-2</v>
      </c>
      <c r="H364" s="2" t="s">
        <v>3906</v>
      </c>
      <c r="I364" s="2" t="s">
        <v>94</v>
      </c>
      <c r="J364" s="2" t="str">
        <f>HYPERLINK("https://vectorbase.org/vectorbase/app/record/gene/AGAP005710","AGAP005710-RA")</f>
        <v>AGAP005710-RA</v>
      </c>
      <c r="K364" s="2" t="str">
        <f>HYPERLINK(".\links\pep\AGAP005710-PA-pep.txt","AGAP005710-PA")</f>
        <v>AGAP005710-PA</v>
      </c>
      <c r="L364" s="12" t="s">
        <v>95</v>
      </c>
      <c r="M364" s="2">
        <v>945</v>
      </c>
      <c r="N364" s="2">
        <v>0</v>
      </c>
      <c r="O364" s="2">
        <v>5</v>
      </c>
      <c r="P364" s="2" t="s">
        <v>3907</v>
      </c>
      <c r="Q364" s="9" t="s">
        <v>3908</v>
      </c>
      <c r="R364" s="2" t="s">
        <v>98</v>
      </c>
      <c r="S364" s="2" t="str">
        <f>HYPERLINK(".\links\KOG\AGAP005710-PA-KOG.txt","KOG")</f>
        <v>KOG</v>
      </c>
      <c r="T364" s="2">
        <v>0</v>
      </c>
      <c r="U364" s="2">
        <v>100</v>
      </c>
      <c r="V364" s="2" t="s">
        <v>3909</v>
      </c>
      <c r="W364" s="10" t="s">
        <v>3910</v>
      </c>
      <c r="X364" s="2" t="s">
        <v>3409</v>
      </c>
      <c r="Y364" s="2" t="str">
        <f>HYPERLINK(".\links\UNIPROTKB\AGAP005710-PA-UNIPROTKB.txt","UNIPROTKB")</f>
        <v>UNIPROTKB</v>
      </c>
      <c r="Z364" s="15">
        <v>3.9999999999999997E-49</v>
      </c>
      <c r="AA364" s="2">
        <v>89</v>
      </c>
      <c r="AB364" s="13" t="str">
        <f>HYPERLINK(".\links\pep\AGAP005710-PA-sulf.txt","4")</f>
        <v>4</v>
      </c>
      <c r="AC364" s="13" t="str">
        <f>HYPERLINK(".\links\Sigp\AGAP005710-PA-SigP.txt","SIG")</f>
        <v>SIG</v>
      </c>
      <c r="AD364" s="2" t="s">
        <v>277</v>
      </c>
      <c r="AE364" s="2">
        <v>105.886</v>
      </c>
      <c r="AF364" s="2">
        <v>5.83</v>
      </c>
      <c r="AG364" s="2">
        <v>103.03100000000001</v>
      </c>
      <c r="AH364" s="2">
        <v>5.71</v>
      </c>
      <c r="AI364" s="2" t="s">
        <v>3911</v>
      </c>
      <c r="AJ364" s="13" t="str">
        <f>HYPERLINK(".\links\tmhmm\AGAP005710-PA-tmhmm.txt","6")</f>
        <v>6</v>
      </c>
      <c r="AK364" s="2">
        <v>13.4</v>
      </c>
      <c r="AL364" s="2">
        <v>67.8</v>
      </c>
      <c r="AM364" s="2">
        <v>18.7</v>
      </c>
      <c r="AN364" s="13" t="str">
        <f>HYPERLINK(".\links\gpi\AGAP005710-PA-gpi.txt","N")</f>
        <v>N</v>
      </c>
      <c r="AO364" s="14" t="str">
        <f>HYPERLINK(".\links\netoglyc\AGAP005710-PA-netoglyc.txt","0")</f>
        <v>0</v>
      </c>
      <c r="AP364" s="13">
        <v>12.3</v>
      </c>
      <c r="AQ364" s="2">
        <v>5.8</v>
      </c>
      <c r="AR364" s="2">
        <v>4.4000000000000004</v>
      </c>
      <c r="AS364" s="2" t="s">
        <v>104</v>
      </c>
      <c r="AT364" s="9" t="str">
        <f>HYPERLINK(".\links\NR-LIGHT\AGAP005710-PA-NR-LIGHT.txt","AGAP005710-PA")</f>
        <v>AGAP005710-PA</v>
      </c>
      <c r="AU364" s="2" t="str">
        <f>HYPERLINK("http://www.ncbi.nlm.nih.gov/sutils/blink.cgi?pid=XP_315718.3","0.0")</f>
        <v>0.0</v>
      </c>
      <c r="AV364" s="2" t="str">
        <f>HYPERLINK("http://www.ncbi.nlm.nih.gov/protein/XP_315718.3","XP_315718.3")</f>
        <v>XP_315718.3</v>
      </c>
      <c r="AW364" s="2">
        <v>100</v>
      </c>
      <c r="AX364" s="2">
        <v>100</v>
      </c>
      <c r="AY364" s="2">
        <v>100</v>
      </c>
      <c r="AZ364" s="2" t="s">
        <v>105</v>
      </c>
      <c r="BA364" s="9" t="str">
        <f>HYPERLINK(".\links\REFSEQ-INVERTEBRATE\AGAP005710-PA-REFSEQ-INVERTEBRATE.txt","AGAP005710-PA")</f>
        <v>AGAP005710-PA</v>
      </c>
      <c r="BB364" s="2" t="str">
        <f>HYPERLINK("http://www.ncbi.nlm.nih.gov/sutils/blink.cgi?pid=XP_315718.3","0.0")</f>
        <v>0.0</v>
      </c>
      <c r="BC364" s="2" t="str">
        <f>HYPERLINK("http://www.ncbi.nlm.nih.gov/protein/XP_315718.3","XP_315718.3")</f>
        <v>XP_315718.3</v>
      </c>
      <c r="BD364" s="2">
        <v>100</v>
      </c>
      <c r="BE364" s="2">
        <v>100</v>
      </c>
      <c r="BF364" s="2">
        <v>100</v>
      </c>
      <c r="BG364" s="2" t="s">
        <v>105</v>
      </c>
      <c r="BH364" s="9" t="str">
        <f>HYPERLINK(".\links\REFSEQ-PROTOZOA\AGAP005710-PA-REFSEQ-PROTOZOA.txt","hypothetical protein CAOG_04143")</f>
        <v>hypothetical protein CAOG_04143</v>
      </c>
      <c r="BI364" s="2" t="str">
        <f>HYPERLINK("http://www.ncbi.nlm.nih.gov/sutils/blink.cgi?pid=XP_004347968.1","3E-046")</f>
        <v>3E-046</v>
      </c>
      <c r="BJ364" s="2" t="str">
        <f>HYPERLINK("http://www.ncbi.nlm.nih.gov/protein/XP_004347968.1","XP_004347968.1")</f>
        <v>XP_004347968.1</v>
      </c>
      <c r="BK364" s="2">
        <v>23</v>
      </c>
      <c r="BL364" s="2">
        <v>44</v>
      </c>
      <c r="BM364" s="2">
        <v>85</v>
      </c>
      <c r="BN364" s="2" t="s">
        <v>106</v>
      </c>
      <c r="BO364" s="9" t="str">
        <f>HYPERLINK(".\links\SWISSP\AGAP005710-PA-SWISSP.txt","Prominin-like protein")</f>
        <v>Prominin-like protein</v>
      </c>
      <c r="BP364" s="2" t="str">
        <f>HYPERLINK("http://www.uniprot.org/uniprot/P82295","1E-131")</f>
        <v>1E-131</v>
      </c>
      <c r="BQ364" s="2" t="str">
        <f>HYPERLINK("http://www.uniprot.org/uniprot/P82295#expression","P82295")</f>
        <v>P82295</v>
      </c>
      <c r="BR364" s="2">
        <v>30</v>
      </c>
      <c r="BS364" s="2">
        <v>50</v>
      </c>
      <c r="BT364" s="2">
        <v>91</v>
      </c>
      <c r="BU364" s="2" t="s">
        <v>107</v>
      </c>
      <c r="BV364" s="9" t="str">
        <f>HYPERLINK(".\links\FLYBASE\AGAP005710-PA-FLYBASE.txt","FBpp0306027")</f>
        <v>FBpp0306027</v>
      </c>
      <c r="BW364" s="2" t="str">
        <f>HYPERLINK("http://flybase.org/reports/FBgn0026189#alliance_summary_container","1E-113")</f>
        <v>1E-113</v>
      </c>
      <c r="BX364" s="2">
        <v>1013</v>
      </c>
      <c r="BY364" s="2">
        <v>29</v>
      </c>
      <c r="BZ364" s="2">
        <v>50</v>
      </c>
      <c r="CA364" s="2">
        <v>90</v>
      </c>
      <c r="CB364" s="9" t="str">
        <f>HYPERLINK(".\links\CDD\AGAP005710-PA-CDD.txt","Prominin, Prominin")</f>
        <v>Prominin, Prominin</v>
      </c>
      <c r="CC364" s="15">
        <v>0</v>
      </c>
      <c r="CD364" s="2">
        <v>104</v>
      </c>
      <c r="CE364" s="2" t="s">
        <v>3912</v>
      </c>
      <c r="CF364" s="2" t="s">
        <v>3913</v>
      </c>
      <c r="CG364" s="9" t="str">
        <f>HYPERLINK(".\links\KOG\AGAP005710-PA-KOG.txt","Polytopic membrane protein Prominin")</f>
        <v>Polytopic membrane protein Prominin</v>
      </c>
      <c r="CH364" s="15">
        <v>2E-99</v>
      </c>
      <c r="CI364" s="2">
        <v>96.8</v>
      </c>
      <c r="CJ364" s="2" t="s">
        <v>3914</v>
      </c>
      <c r="CK364" s="2" t="s">
        <v>191</v>
      </c>
      <c r="CL364" s="9" t="str">
        <f>HYPERLINK(".\links\PFAM\AGAP005710-PA-PFAM.txt","Prominin, Prominin")</f>
        <v>Prominin, Prominin</v>
      </c>
      <c r="CM364" s="15">
        <v>0</v>
      </c>
      <c r="CN364" s="2">
        <v>104</v>
      </c>
      <c r="CO364" s="2" t="s">
        <v>3912</v>
      </c>
      <c r="CP364" s="9" t="str">
        <f>HYPERLINK(".\links\SMART\AGAP005710-PA-SMART.txt","MUTSd, DNA-binding domain of DNA mismatch repair MUTS family")</f>
        <v>MUTSd, DNA-binding domain of DNA mismatch repair MUTS family</v>
      </c>
      <c r="CQ364" s="15">
        <v>8.0000000000000004E-4</v>
      </c>
      <c r="CR364" s="2">
        <v>20.100000000000001</v>
      </c>
      <c r="CS364" s="2" t="s">
        <v>3915</v>
      </c>
      <c r="CT364" s="2" t="s">
        <v>3909</v>
      </c>
      <c r="CU364" s="2" t="s">
        <v>3909</v>
      </c>
      <c r="CV364" s="2" t="s">
        <v>3909</v>
      </c>
      <c r="CW364" s="2" t="str">
        <f>HYPERLINK(".\links\pep\AGAP005710-PA-pep.txt","AGAP005710-PA")</f>
        <v>AGAP005710-PA</v>
      </c>
      <c r="CX364" s="2" t="s">
        <v>95</v>
      </c>
      <c r="CY364" s="2">
        <v>945</v>
      </c>
      <c r="CZ364" s="2" t="s">
        <v>113</v>
      </c>
      <c r="DA364" s="2" t="s">
        <v>3916</v>
      </c>
      <c r="DB364" s="2">
        <v>0</v>
      </c>
      <c r="DC364" s="2">
        <v>5</v>
      </c>
      <c r="DD364" s="2" t="str">
        <f>HYPERLINK("https://www.kegg.jp/kegg-bin/search_pathway_text?map=aga&amp;keyword=AGAP005710&amp;mode=1&amp;viewImage=true","AGAP005710")</f>
        <v>AGAP005710</v>
      </c>
      <c r="DE364" s="2" t="s">
        <v>3905</v>
      </c>
      <c r="DF364" s="2" t="s">
        <v>3906</v>
      </c>
      <c r="DG364" s="2" t="s">
        <v>94</v>
      </c>
      <c r="DH364" s="2" t="str">
        <f>HYPERLINK("https://vectorbase.org/vectorbase/app/record/gene/AGAP005710","AGAP005710-RA")</f>
        <v>AGAP005710-RA</v>
      </c>
      <c r="DI364" s="2" t="s">
        <v>90</v>
      </c>
      <c r="DJ364" s="2">
        <v>4050</v>
      </c>
      <c r="DK364" s="2" t="str">
        <f>HYPERLINK(".\links\netoglyc\AGAP005710-PA-netoglyc.txt","0")</f>
        <v>0</v>
      </c>
      <c r="DL364" s="2">
        <v>12.3</v>
      </c>
      <c r="DM364" s="2">
        <v>5.8</v>
      </c>
      <c r="DN364" s="2">
        <v>4.4000000000000004</v>
      </c>
      <c r="DO364" s="2" t="s">
        <v>104</v>
      </c>
      <c r="DP364" s="2" t="s">
        <v>3917</v>
      </c>
      <c r="DQ364" s="2" t="str">
        <f>HYPERLINK(".\links\Sigp\AGAP005710-PA-SigP.txt","SIG")</f>
        <v>SIG</v>
      </c>
      <c r="DR364" s="2" t="s">
        <v>277</v>
      </c>
      <c r="DS364" s="2">
        <v>105.886</v>
      </c>
      <c r="DT364" s="2">
        <v>5.83</v>
      </c>
      <c r="DU364" s="2">
        <v>103.03100000000001</v>
      </c>
      <c r="DV364" s="2">
        <v>5.71</v>
      </c>
      <c r="DW364" s="2" t="s">
        <v>3911</v>
      </c>
      <c r="DX364" s="2">
        <v>945</v>
      </c>
      <c r="DY364" s="12" t="str">
        <f>HYPERLINK(".\links\tmhmm\AGAP005710-PA-tmhmm.txt","6")</f>
        <v>6</v>
      </c>
      <c r="DZ364" s="2">
        <v>13.4</v>
      </c>
      <c r="EA364" s="2">
        <v>67.8</v>
      </c>
      <c r="EB364" s="2">
        <v>18.7</v>
      </c>
      <c r="EC364" s="2" t="str">
        <f>HYPERLINK(".\links\gpi\AGAP005710-PA-gpi.txt","Y-NoSP")</f>
        <v>Y-NoSP</v>
      </c>
      <c r="ED364" s="2">
        <v>0.17</v>
      </c>
      <c r="EF364" s="2">
        <v>21</v>
      </c>
      <c r="EG364" s="2" t="str">
        <f>HYPERLINK(".\links\pep\AGAP005710-PA-sulf.txt","4")</f>
        <v>4</v>
      </c>
      <c r="EH364" s="2" t="s">
        <v>102</v>
      </c>
      <c r="EI364" s="2">
        <v>12.2751322751323</v>
      </c>
      <c r="EJ364" s="2">
        <v>4.4444444444444402</v>
      </c>
      <c r="EK364" s="2">
        <v>5.8201058201058196</v>
      </c>
      <c r="EL364" s="2">
        <v>10.2645502645503</v>
      </c>
      <c r="EM364" s="2">
        <v>3</v>
      </c>
      <c r="EN364" s="2">
        <v>2</v>
      </c>
      <c r="EO364" s="2">
        <v>4</v>
      </c>
      <c r="EP364" s="2" t="s">
        <v>102</v>
      </c>
      <c r="EQ364" s="2" t="s">
        <v>102</v>
      </c>
      <c r="ER364" s="2" t="s">
        <v>102</v>
      </c>
      <c r="ES364" s="2" t="s">
        <v>102</v>
      </c>
      <c r="ET364" s="2" t="str">
        <f>HYPERLINK(".\links\REFSEQ-INVERTEBRATE\AGAP005710-PA-REFSEQ-INVERTEBRATE.txt","AGAP005710-PA")</f>
        <v>AGAP005710-PA</v>
      </c>
      <c r="EU364" s="2" t="str">
        <f>HYPERLINK("http://www.ncbi.nlm.nih.gov/sutils/blink.cgi?pid=XP_315718.3","0.0")</f>
        <v>0.0</v>
      </c>
      <c r="EV364" s="2" t="str">
        <f>HYPERLINK("http://www.ncbi.nlm.nih.gov/protein/XP_315718.3","XP_315718.3")</f>
        <v>XP_315718.3</v>
      </c>
      <c r="EW364" s="2">
        <v>100</v>
      </c>
      <c r="EX364" s="2">
        <v>100</v>
      </c>
      <c r="EY364" s="2">
        <v>100</v>
      </c>
      <c r="EZ364" s="2" t="s">
        <v>105</v>
      </c>
    </row>
    <row r="365" spans="1:156" x14ac:dyDescent="0.25">
      <c r="A365" s="2" t="s">
        <v>3918</v>
      </c>
      <c r="B365" s="2">
        <v>-0.29382537820963001</v>
      </c>
      <c r="C365" s="2">
        <f t="shared" si="5"/>
        <v>0.81573622293559001</v>
      </c>
      <c r="D365" s="2">
        <v>6.0866857587908596</v>
      </c>
      <c r="E365" s="2">
        <v>9.0063988100097898</v>
      </c>
      <c r="F365" s="2">
        <v>2.6903599929233202E-3</v>
      </c>
      <c r="G365" s="2">
        <v>4.77073030074684E-2</v>
      </c>
      <c r="H365" s="2" t="s">
        <v>93</v>
      </c>
      <c r="I365" s="2" t="s">
        <v>94</v>
      </c>
      <c r="J365" s="2" t="str">
        <f>HYPERLINK("https://vectorbase.org/vectorbase/app/record/gene/AGAP011763","AGAP011763-RA")</f>
        <v>AGAP011763-RA</v>
      </c>
      <c r="K365" s="2" t="str">
        <f>HYPERLINK(".\links\pep\AGAP011763-PA-pep.txt","AGAP011763-PA")</f>
        <v>AGAP011763-PA</v>
      </c>
      <c r="L365" s="12" t="s">
        <v>95</v>
      </c>
      <c r="M365" s="2">
        <v>1074</v>
      </c>
      <c r="N365" s="2">
        <v>0</v>
      </c>
      <c r="O365" s="2">
        <v>1</v>
      </c>
      <c r="P365" s="2" t="s">
        <v>102</v>
      </c>
      <c r="Q365" s="9" t="s">
        <v>738</v>
      </c>
      <c r="R365" s="2" t="s">
        <v>420</v>
      </c>
      <c r="S365" s="2" t="str">
        <f>HYPERLINK(".\links\KOG\AGAP011763-PA-KOG.txt","KOG")</f>
        <v>KOG</v>
      </c>
      <c r="T365" s="2">
        <v>2.9999999999999999E-16</v>
      </c>
      <c r="U365" s="2">
        <v>47.6</v>
      </c>
      <c r="V365" s="2" t="s">
        <v>3919</v>
      </c>
      <c r="W365" s="10" t="s">
        <v>740</v>
      </c>
      <c r="X365" s="2" t="s">
        <v>420</v>
      </c>
      <c r="Y365" s="2" t="str">
        <f>HYPERLINK(".\links\UNIPROTKB\AGAP011763-PA-UNIPROTKB.txt","UNIPROTKB")</f>
        <v>UNIPROTKB</v>
      </c>
      <c r="Z365" s="15">
        <v>1.9999999999999998E-21</v>
      </c>
      <c r="AA365" s="2">
        <v>40.6</v>
      </c>
      <c r="AB365" s="13" t="str">
        <f>HYPERLINK(".\links\pep\AGAP011763-PA-sulf.txt","1")</f>
        <v>1</v>
      </c>
      <c r="AC365" s="13" t="str">
        <f>HYPERLINK(".\links\Sigp\AGAP011763-PA-SigP.txt","CYT")</f>
        <v>CYT</v>
      </c>
      <c r="AD365" s="2" t="s">
        <v>102</v>
      </c>
      <c r="AE365" s="2">
        <v>117.82599999999999</v>
      </c>
      <c r="AF365" s="2">
        <v>5.84</v>
      </c>
      <c r="AG365" s="2" t="s">
        <v>102</v>
      </c>
      <c r="AH365" s="2" t="s">
        <v>102</v>
      </c>
      <c r="AI365" s="2" t="s">
        <v>124</v>
      </c>
      <c r="AJ365" s="13">
        <v>0</v>
      </c>
      <c r="AK365" s="2" t="s">
        <v>102</v>
      </c>
      <c r="AL365" s="2" t="s">
        <v>102</v>
      </c>
      <c r="AM365" s="2" t="s">
        <v>102</v>
      </c>
      <c r="AN365" s="13" t="str">
        <f>HYPERLINK(".\links\gpi\AGAP011763-PA-gpi.txt","N")</f>
        <v>N</v>
      </c>
      <c r="AO365" s="14" t="str">
        <f>HYPERLINK(".\links\netoglyc\AGAP011763-PA-netoglyc.txt","6")</f>
        <v>6</v>
      </c>
      <c r="AP365" s="13">
        <v>16.399999999999999</v>
      </c>
      <c r="AQ365" s="2">
        <v>7.3</v>
      </c>
      <c r="AR365" s="2">
        <v>4.9000000000000004</v>
      </c>
      <c r="AS365" s="2" t="s">
        <v>104</v>
      </c>
      <c r="AT365" s="9" t="str">
        <f>HYPERLINK(".\links\NR-LIGHT\AGAP011763-PA-NR-LIGHT.txt","AGAP011763-PA, partial")</f>
        <v>AGAP011763-PA, partial</v>
      </c>
      <c r="AU365" s="2" t="str">
        <f>HYPERLINK("http://www.ncbi.nlm.nih.gov/sutils/blink.cgi?pid=XP_320747.4","1E-155")</f>
        <v>1E-155</v>
      </c>
      <c r="AV365" s="2" t="str">
        <f>HYPERLINK("http://www.ncbi.nlm.nih.gov/protein/XP_320747.4","XP_320747.4")</f>
        <v>XP_320747.4</v>
      </c>
      <c r="AW365" s="2">
        <v>84</v>
      </c>
      <c r="AX365" s="2">
        <v>84</v>
      </c>
      <c r="AY365" s="2">
        <v>102</v>
      </c>
      <c r="AZ365" s="2" t="s">
        <v>105</v>
      </c>
      <c r="BA365" s="9" t="str">
        <f>HYPERLINK(".\links\REFSEQ-INVERTEBRATE\AGAP011763-PA-REFSEQ-INVERTEBRATE.txt","AGAP011763-PA, partial")</f>
        <v>AGAP011763-PA, partial</v>
      </c>
      <c r="BB365" s="2" t="str">
        <f>HYPERLINK("http://www.ncbi.nlm.nih.gov/sutils/blink.cgi?pid=XP_320747.4","1E-155")</f>
        <v>1E-155</v>
      </c>
      <c r="BC365" s="2" t="str">
        <f>HYPERLINK("http://www.ncbi.nlm.nih.gov/protein/XP_320747.4","XP_320747.4")</f>
        <v>XP_320747.4</v>
      </c>
      <c r="BD365" s="2">
        <v>84</v>
      </c>
      <c r="BE365" s="2">
        <v>84</v>
      </c>
      <c r="BF365" s="2">
        <v>102</v>
      </c>
      <c r="BG365" s="2" t="s">
        <v>105</v>
      </c>
      <c r="BH365" s="9" t="str">
        <f>HYPERLINK(".\links\REFSEQ-PROTOZOA\AGAP011763-PA-REFSEQ-PROTOZOA.txt","hypothetical protein PTSG_03771")</f>
        <v>hypothetical protein PTSG_03771</v>
      </c>
      <c r="BI365" s="2" t="str">
        <f>HYPERLINK("http://www.ncbi.nlm.nih.gov/sutils/blink.cgi?pid=XP_004995499.1","1E-017")</f>
        <v>1E-017</v>
      </c>
      <c r="BJ365" s="2" t="str">
        <f>HYPERLINK("http://www.ncbi.nlm.nih.gov/protein/XP_004995499.1","XP_004995499.1")</f>
        <v>XP_004995499.1</v>
      </c>
      <c r="BK365" s="2">
        <v>24</v>
      </c>
      <c r="BL365" s="2">
        <v>37</v>
      </c>
      <c r="BM365" s="2">
        <v>61</v>
      </c>
      <c r="BN365" s="2" t="s">
        <v>435</v>
      </c>
      <c r="BO365" s="9" t="str">
        <f>HYPERLINK(".\links\SWISSP\AGAP011763-PA-SWISSP.txt","Zinc finger protein 628")</f>
        <v>Zinc finger protein 628</v>
      </c>
      <c r="BP365" s="2" t="str">
        <f>HYPERLINK("http://www.uniprot.org/uniprot/Q8CJ78","3E-024")</f>
        <v>3E-024</v>
      </c>
      <c r="BQ365" s="2" t="str">
        <f>HYPERLINK("http://www.uniprot.org/uniprot/Q8CJ78#expression","Q8CJ78")</f>
        <v>Q8CJ78</v>
      </c>
      <c r="BR365" s="2">
        <v>26</v>
      </c>
      <c r="BS365" s="2">
        <v>35</v>
      </c>
      <c r="BT365" s="2">
        <v>40</v>
      </c>
      <c r="BU365" s="2" t="s">
        <v>662</v>
      </c>
      <c r="BV365" s="9" t="str">
        <f>HYPERLINK(".\links\FLYBASE\AGAP011763-PA-FLYBASE.txt","FBpp0083239")</f>
        <v>FBpp0083239</v>
      </c>
      <c r="BW365" s="2" t="str">
        <f>HYPERLINK("http://flybase.org/reports/FBgn0038766#alliance_summary_container","7E-21")</f>
        <v>7E-21</v>
      </c>
      <c r="BX365" s="2">
        <v>319</v>
      </c>
      <c r="BY365" s="2">
        <v>35</v>
      </c>
      <c r="BZ365" s="2">
        <v>45</v>
      </c>
      <c r="CA365" s="2">
        <v>50</v>
      </c>
      <c r="CB365" s="9" t="str">
        <f>HYPERLINK(".\links\CDD\AGAP011763-PA-CDD.txt","ZF_C2H2, Zinc finger, C2H2 type")</f>
        <v>ZF_C2H2, Zinc finger, C2H2 type</v>
      </c>
      <c r="CC365" s="15">
        <v>5.0000000000000002E-23</v>
      </c>
      <c r="CD365" s="2">
        <v>97.4</v>
      </c>
      <c r="CE365" s="2" t="s">
        <v>569</v>
      </c>
      <c r="CF365" s="2" t="s">
        <v>3920</v>
      </c>
      <c r="CG365" s="9" t="str">
        <f>HYPERLINK(".\links\KOG\AGAP011763-PA-KOG.txt","C2H2-type Zn-finger protein")</f>
        <v>C2H2-type Zn-finger protein</v>
      </c>
      <c r="CH365" s="15">
        <v>2.9999999999999999E-16</v>
      </c>
      <c r="CI365" s="2">
        <v>47.7</v>
      </c>
      <c r="CJ365" s="2" t="s">
        <v>743</v>
      </c>
      <c r="CK365" s="2" t="s">
        <v>309</v>
      </c>
      <c r="CL365" s="9" t="str">
        <f>HYPERLINK(".\links\PFAM\AGAP011763-PA-PFAM.txt","zf-AD, Zinc-finger associated domain (zf-AD)")</f>
        <v>zf-AD, Zinc-finger associated domain (zf-AD)</v>
      </c>
      <c r="CM365" s="15">
        <v>2.0000000000000001E-10</v>
      </c>
      <c r="CN365" s="2">
        <v>102.7</v>
      </c>
      <c r="CO365" s="2" t="s">
        <v>687</v>
      </c>
      <c r="CP365" s="9" t="str">
        <f>HYPERLINK(".\links\SMART\AGAP011763-PA-SMART.txt","zf-AD, Zinc-finger associated domain (zf-AD)")</f>
        <v>zf-AD, Zinc-finger associated domain (zf-AD)</v>
      </c>
      <c r="CQ365" s="15">
        <v>8.0000000000000006E-15</v>
      </c>
      <c r="CR365" s="2">
        <v>102.7</v>
      </c>
      <c r="CS365" s="2" t="s">
        <v>684</v>
      </c>
      <c r="CT365" s="2" t="s">
        <v>3919</v>
      </c>
      <c r="CU365" s="2" t="s">
        <v>3919</v>
      </c>
      <c r="CV365" s="2" t="s">
        <v>3919</v>
      </c>
      <c r="CW365" s="2" t="str">
        <f>HYPERLINK(".\links\pep\AGAP011763-PA-pep.txt","AGAP011763-PA")</f>
        <v>AGAP011763-PA</v>
      </c>
      <c r="CX365" s="2" t="s">
        <v>95</v>
      </c>
      <c r="CY365" s="2">
        <v>1074</v>
      </c>
      <c r="CZ365" s="2" t="s">
        <v>113</v>
      </c>
      <c r="DA365" s="2" t="s">
        <v>3921</v>
      </c>
      <c r="DB365" s="2">
        <v>0</v>
      </c>
      <c r="DC365" s="2">
        <v>1</v>
      </c>
      <c r="DD365" s="2" t="str">
        <f>HYPERLINK("https://www.kegg.jp/kegg-bin/search_pathway_text?map=aga&amp;keyword=AGAP011763&amp;mode=1&amp;viewImage=true","AGAP011763")</f>
        <v>AGAP011763</v>
      </c>
      <c r="DE365" s="2" t="s">
        <v>3918</v>
      </c>
      <c r="DF365" s="2" t="s">
        <v>93</v>
      </c>
      <c r="DG365" s="2" t="s">
        <v>94</v>
      </c>
      <c r="DH365" s="2" t="str">
        <f>HYPERLINK("https://vectorbase.org/vectorbase/app/record/gene/AGAP011763","AGAP011763-RA")</f>
        <v>AGAP011763-RA</v>
      </c>
      <c r="DI365" s="2" t="s">
        <v>135</v>
      </c>
      <c r="DJ365" s="2">
        <v>5507</v>
      </c>
      <c r="DK365" s="2" t="str">
        <f>HYPERLINK(".\links\netoglyc\AGAP011763-PA-netoglyc.txt","6")</f>
        <v>6</v>
      </c>
      <c r="DL365" s="2">
        <v>16.399999999999999</v>
      </c>
      <c r="DM365" s="2">
        <v>7.3</v>
      </c>
      <c r="DN365" s="2">
        <v>4.9000000000000004</v>
      </c>
      <c r="DO365" s="2" t="s">
        <v>104</v>
      </c>
      <c r="DP365" s="2" t="s">
        <v>3922</v>
      </c>
      <c r="DQ365" s="2" t="str">
        <f>HYPERLINK(".\links\Sigp\AGAP011763-PA-SigP.txt","CYT")</f>
        <v>CYT</v>
      </c>
      <c r="DR365" s="2" t="s">
        <v>102</v>
      </c>
      <c r="DS365" s="2">
        <v>117.82599999999999</v>
      </c>
      <c r="DT365" s="2">
        <v>5.84</v>
      </c>
      <c r="DU365" s="2" t="s">
        <v>102</v>
      </c>
      <c r="DV365" s="2" t="s">
        <v>102</v>
      </c>
      <c r="DW365" s="2" t="s">
        <v>124</v>
      </c>
      <c r="DX365" s="2">
        <v>1074</v>
      </c>
      <c r="DY365" s="12">
        <v>0</v>
      </c>
      <c r="DZ365" s="2" t="s">
        <v>102</v>
      </c>
      <c r="EA365" s="2" t="s">
        <v>102</v>
      </c>
      <c r="EB365" s="2" t="s">
        <v>102</v>
      </c>
      <c r="EC365" s="2" t="str">
        <f>HYPERLINK(".\links\gpi\AGAP011763-PA-gpi.txt","Y-NoSP")</f>
        <v>Y-NoSP</v>
      </c>
      <c r="ED365" s="2">
        <v>0.18</v>
      </c>
      <c r="EF365" s="2">
        <v>34</v>
      </c>
      <c r="EG365" s="2" t="str">
        <f>HYPERLINK(".\links\pep\AGAP011763-PA-sulf.txt","1")</f>
        <v>1</v>
      </c>
      <c r="EH365" s="2" t="s">
        <v>102</v>
      </c>
      <c r="EI365" s="2">
        <v>16.3873370577281</v>
      </c>
      <c r="EJ365" s="2">
        <v>4.9348230912476696</v>
      </c>
      <c r="EK365" s="2">
        <v>7.2625698324022299</v>
      </c>
      <c r="EL365" s="2">
        <v>12.1973929236499</v>
      </c>
      <c r="EM365" s="2">
        <v>1</v>
      </c>
      <c r="EN365" s="2">
        <v>3</v>
      </c>
      <c r="EO365" s="2">
        <v>3</v>
      </c>
      <c r="EP365" s="2" t="s">
        <v>102</v>
      </c>
      <c r="EQ365" s="2" t="s">
        <v>102</v>
      </c>
      <c r="ER365" s="2" t="s">
        <v>102</v>
      </c>
      <c r="ES365" s="2" t="s">
        <v>102</v>
      </c>
      <c r="ET365" s="2" t="str">
        <f>HYPERLINK(".\links\REFSEQ-INVERTEBRATE\AGAP011763-PA-REFSEQ-INVERTEBRATE.txt","gastrula zinc finger protein xFG20-1-like isoform X1")</f>
        <v>gastrula zinc finger protein xFG20-1-like isoform X1</v>
      </c>
      <c r="EU365" s="2" t="str">
        <f>HYPERLINK("http://www.ncbi.nlm.nih.gov/sutils/blink.cgi?pid=XP_035898444.1","0.0")</f>
        <v>0.0</v>
      </c>
      <c r="EV365" s="2" t="str">
        <f>HYPERLINK("http://www.ncbi.nlm.nih.gov/protein/XP_035898444.1","XP_035898444.1")</f>
        <v>XP_035898444.1</v>
      </c>
      <c r="EW365" s="2">
        <v>67</v>
      </c>
      <c r="EX365" s="2">
        <v>74</v>
      </c>
      <c r="EY365" s="2">
        <v>108</v>
      </c>
      <c r="EZ365" s="2" t="s">
        <v>370</v>
      </c>
    </row>
    <row r="366" spans="1:156" x14ac:dyDescent="0.25">
      <c r="A366" s="2" t="s">
        <v>3923</v>
      </c>
      <c r="B366" s="2">
        <v>-0.29602442838274901</v>
      </c>
      <c r="C366" s="2">
        <f t="shared" si="5"/>
        <v>0.81449377156647684</v>
      </c>
      <c r="D366" s="2">
        <v>6.1748500325405304</v>
      </c>
      <c r="E366" s="2">
        <v>8.8443247144225605</v>
      </c>
      <c r="F366" s="2">
        <v>2.9400165668655499E-3</v>
      </c>
      <c r="G366" s="2">
        <v>4.9803632520221103E-2</v>
      </c>
      <c r="H366" s="2" t="s">
        <v>93</v>
      </c>
      <c r="I366" s="2" t="s">
        <v>94</v>
      </c>
      <c r="J366" s="2" t="str">
        <f>HYPERLINK("https://vectorbase.org/vectorbase/app/record/gene/AGAP008903","AGAP008903-RA")</f>
        <v>AGAP008903-RA</v>
      </c>
      <c r="K366" s="2" t="str">
        <f>HYPERLINK(".\links\pep\AGAP008903-PA-pep.txt","AGAP008903-PA")</f>
        <v>AGAP008903-PA</v>
      </c>
      <c r="L366" s="12" t="s">
        <v>95</v>
      </c>
      <c r="M366" s="2">
        <v>976</v>
      </c>
      <c r="N366" s="2">
        <v>0</v>
      </c>
      <c r="O366" s="2">
        <v>1</v>
      </c>
      <c r="P366" s="2" t="s">
        <v>102</v>
      </c>
      <c r="Q366" s="9" t="s">
        <v>3924</v>
      </c>
      <c r="R366" s="2" t="s">
        <v>420</v>
      </c>
      <c r="S366" s="2" t="str">
        <f>HYPERLINK(".\links\KOG\AGAP008903-PA-KOG.txt","KOG")</f>
        <v>KOG</v>
      </c>
      <c r="T366" s="2">
        <v>0</v>
      </c>
      <c r="U366" s="2">
        <v>103.8</v>
      </c>
      <c r="V366" s="2" t="s">
        <v>3925</v>
      </c>
      <c r="W366" s="10" t="s">
        <v>3926</v>
      </c>
      <c r="X366" s="2" t="s">
        <v>420</v>
      </c>
      <c r="Y366" s="2" t="str">
        <f>HYPERLINK(".\links\KOG\AGAP008903-PA-KOG.txt","KOG")</f>
        <v>KOG</v>
      </c>
      <c r="Z366" s="15">
        <v>7.9999999999999999E-92</v>
      </c>
      <c r="AA366" s="2">
        <v>43</v>
      </c>
      <c r="AB366" s="13" t="s">
        <v>102</v>
      </c>
      <c r="AC366" s="13" t="str">
        <f>HYPERLINK(".\links\Sigp\AGAP008903-PA-SigP.txt","CYT")</f>
        <v>CYT</v>
      </c>
      <c r="AD366" s="2" t="s">
        <v>102</v>
      </c>
      <c r="AE366" s="2">
        <v>104.898</v>
      </c>
      <c r="AF366" s="2">
        <v>9.6999999999999993</v>
      </c>
      <c r="AG366" s="2" t="s">
        <v>102</v>
      </c>
      <c r="AH366" s="2" t="s">
        <v>102</v>
      </c>
      <c r="AI366" s="2" t="s">
        <v>889</v>
      </c>
      <c r="AJ366" s="13">
        <v>0</v>
      </c>
      <c r="AK366" s="2" t="s">
        <v>102</v>
      </c>
      <c r="AL366" s="2" t="s">
        <v>102</v>
      </c>
      <c r="AM366" s="2" t="s">
        <v>102</v>
      </c>
      <c r="AN366" s="13" t="str">
        <f>HYPERLINK(".\links\gpi\AGAP008903-PA-gpi.txt","N")</f>
        <v>N</v>
      </c>
      <c r="AO366" s="14" t="str">
        <f>HYPERLINK(".\links\netoglyc\AGAP008903-PA-netoglyc.txt","5")</f>
        <v>5</v>
      </c>
      <c r="AP366" s="13">
        <v>12.5</v>
      </c>
      <c r="AQ366" s="2">
        <v>11.6</v>
      </c>
      <c r="AR366" s="2">
        <v>6.5</v>
      </c>
      <c r="AS366" s="2">
        <v>0.6</v>
      </c>
      <c r="AT366" s="9" t="str">
        <f>HYPERLINK(".\links\NR-LIGHT\AGAP008903-PA-NR-LIGHT.txt","leukocyte receptor")</f>
        <v>leukocyte receptor</v>
      </c>
      <c r="AU366" s="2" t="str">
        <f>HYPERLINK("http://www.ncbi.nlm.nih.gov/sutils/blink.cgi?pid=KFB38658.1","0.0")</f>
        <v>0.0</v>
      </c>
      <c r="AV366" s="2" t="str">
        <f>HYPERLINK("http://www.ncbi.nlm.nih.gov/protein/KFB38658.1","KFB38658.1")</f>
        <v>KFB38658.1</v>
      </c>
      <c r="AW366" s="2">
        <v>68</v>
      </c>
      <c r="AX366" s="2">
        <v>73</v>
      </c>
      <c r="AY366" s="2">
        <v>104</v>
      </c>
      <c r="AZ366" s="2" t="s">
        <v>1522</v>
      </c>
      <c r="BA366" s="9" t="str">
        <f>HYPERLINK(".\links\REFSEQ-INVERTEBRATE\AGAP008903-PA-REFSEQ-INVERTEBRATE.txt","leukocyte receptor cluster member 8 homolog")</f>
        <v>leukocyte receptor cluster member 8 homolog</v>
      </c>
      <c r="BB366" s="2" t="str">
        <f>HYPERLINK("http://www.ncbi.nlm.nih.gov/sutils/blink.cgi?pid=XP_001658437.2","0.0")</f>
        <v>0.0</v>
      </c>
      <c r="BC366" s="2" t="str">
        <f>HYPERLINK("http://www.ncbi.nlm.nih.gov/protein/XP_001658437.2","XP_001658437.2")</f>
        <v>XP_001658437.2</v>
      </c>
      <c r="BD366" s="2">
        <v>55</v>
      </c>
      <c r="BE366" s="2">
        <v>63</v>
      </c>
      <c r="BF366" s="2">
        <v>110</v>
      </c>
      <c r="BG366" s="2" t="s">
        <v>391</v>
      </c>
      <c r="BH366" s="9" t="str">
        <f>HYPERLINK(".\links\REFSEQ-PROTOZOA\AGAP008903-PA-REFSEQ-PROTOZOA.txt","nucleus protein")</f>
        <v>nucleus protein</v>
      </c>
      <c r="BI366" s="2" t="str">
        <f>HYPERLINK("http://www.ncbi.nlm.nih.gov/sutils/blink.cgi?pid=XP_004342725.1","7E-065")</f>
        <v>7E-065</v>
      </c>
      <c r="BJ366" s="2" t="str">
        <f>HYPERLINK("http://www.ncbi.nlm.nih.gov/protein/XP_004342725.1","XP_004342725.1")</f>
        <v>XP_004342725.1</v>
      </c>
      <c r="BK366" s="2">
        <v>38</v>
      </c>
      <c r="BL366" s="2">
        <v>52</v>
      </c>
      <c r="BM366" s="2">
        <v>48</v>
      </c>
      <c r="BN366" s="2" t="s">
        <v>106</v>
      </c>
      <c r="BO366" s="9" t="str">
        <f>HYPERLINK(".\links\SWISSP\AGAP008903-PA-SWISSP.txt","Leukocyte receptor cluster member 8")</f>
        <v>Leukocyte receptor cluster member 8</v>
      </c>
      <c r="BP366" s="2" t="str">
        <f>HYPERLINK("http://www.uniprot.org/uniprot/Q96PV6","2E-093")</f>
        <v>2E-093</v>
      </c>
      <c r="BQ366" s="2" t="str">
        <f>HYPERLINK("http://www.uniprot.org/uniprot/Q96PV6#expression","Q96PV6")</f>
        <v>Q96PV6</v>
      </c>
      <c r="BR366" s="2">
        <v>38</v>
      </c>
      <c r="BS366" s="2">
        <v>50</v>
      </c>
      <c r="BT366" s="2">
        <v>79</v>
      </c>
      <c r="BU366" s="2" t="s">
        <v>127</v>
      </c>
      <c r="BV366" s="9" t="str">
        <f>HYPERLINK(".\links\FLYBASE\AGAP008903-PA-FLYBASE.txt","FBpp0290924")</f>
        <v>FBpp0290924</v>
      </c>
      <c r="BW366" s="2" t="str">
        <f>HYPERLINK("http://flybase.org/reports/FBgn0032305#alliance_summary_container","1E-131")</f>
        <v>1E-131</v>
      </c>
      <c r="BX366" s="2">
        <v>874</v>
      </c>
      <c r="BY366" s="2">
        <v>58</v>
      </c>
      <c r="BZ366" s="2">
        <v>74</v>
      </c>
      <c r="CA366" s="2">
        <v>38</v>
      </c>
      <c r="CB366" s="9" t="str">
        <f>HYPERLINK(".\links\CDD\AGAP008903-PA-CDD.txt","SAC3_GANP, SAC3/GANP family")</f>
        <v>SAC3_GANP, SAC3/GANP family</v>
      </c>
      <c r="CC366" s="15">
        <v>6.0000000000000001E-28</v>
      </c>
      <c r="CD366" s="2">
        <v>82.3</v>
      </c>
      <c r="CE366" s="2" t="s">
        <v>3927</v>
      </c>
      <c r="CF366" s="2" t="s">
        <v>3928</v>
      </c>
      <c r="CG366" s="9" t="str">
        <f>HYPERLINK(".\links\KOG\AGAP008903-PA-KOG.txt","Leucine permease transcriptional regulator")</f>
        <v>Leucine permease transcriptional regulator</v>
      </c>
      <c r="CH366" s="15">
        <v>9.9999999999999998E-122</v>
      </c>
      <c r="CI366" s="2">
        <v>103.9</v>
      </c>
      <c r="CJ366" s="2" t="s">
        <v>3929</v>
      </c>
      <c r="CK366" s="2" t="s">
        <v>309</v>
      </c>
      <c r="CL366" s="9" t="str">
        <f>HYPERLINK(".\links\PFAM\AGAP008903-PA-PFAM.txt","SAC3_GANP, SAC3/GANP family")</f>
        <v>SAC3_GANP, SAC3/GANP family</v>
      </c>
      <c r="CM366" s="15">
        <v>9.9999999999999997E-29</v>
      </c>
      <c r="CN366" s="2">
        <v>82.3</v>
      </c>
      <c r="CO366" s="2" t="s">
        <v>3927</v>
      </c>
      <c r="CP366" s="9" t="str">
        <f>HYPERLINK(".\links\SMART\AGAP008903-PA-SMART.txt","PRP, Major prion protein")</f>
        <v>PRP, Major prion protein</v>
      </c>
      <c r="CQ366" s="15">
        <v>0.16</v>
      </c>
      <c r="CR366" s="2">
        <v>9.1999999999999993</v>
      </c>
      <c r="CS366" s="2" t="s">
        <v>1331</v>
      </c>
      <c r="CT366" s="2" t="s">
        <v>3925</v>
      </c>
      <c r="CU366" s="2" t="s">
        <v>3925</v>
      </c>
      <c r="CV366" s="2" t="s">
        <v>3925</v>
      </c>
      <c r="CW366" s="2" t="str">
        <f>HYPERLINK(".\links\pep\AGAP008903-PA-pep.txt","AGAP008903-PA")</f>
        <v>AGAP008903-PA</v>
      </c>
      <c r="CX366" s="2" t="s">
        <v>95</v>
      </c>
      <c r="CY366" s="2">
        <v>976</v>
      </c>
      <c r="CZ366" s="2" t="s">
        <v>113</v>
      </c>
      <c r="DA366" s="2" t="s">
        <v>3930</v>
      </c>
      <c r="DB366" s="2">
        <v>0</v>
      </c>
      <c r="DC366" s="2">
        <v>1</v>
      </c>
      <c r="DD366" s="2" t="str">
        <f>HYPERLINK("https://www.kegg.jp/kegg-bin/search_pathway_text?map=aga&amp;keyword=AGAP008903&amp;mode=1&amp;viewImage=true","AGAP008903")</f>
        <v>AGAP008903</v>
      </c>
      <c r="DE366" s="2" t="s">
        <v>3923</v>
      </c>
      <c r="DF366" s="2" t="s">
        <v>93</v>
      </c>
      <c r="DG366" s="2" t="s">
        <v>94</v>
      </c>
      <c r="DH366" s="2" t="str">
        <f>HYPERLINK("https://vectorbase.org/vectorbase/app/record/gene/AGAP008903","AGAP008903-RA")</f>
        <v>AGAP008903-RA</v>
      </c>
      <c r="DI366" s="2" t="s">
        <v>135</v>
      </c>
      <c r="DJ366" s="2">
        <v>5885</v>
      </c>
      <c r="DK366" s="2" t="str">
        <f>HYPERLINK(".\links\netoglyc\AGAP008903-PA-netoglyc.txt","5")</f>
        <v>5</v>
      </c>
      <c r="DL366" s="2">
        <v>12.5</v>
      </c>
      <c r="DM366" s="2">
        <v>11.6</v>
      </c>
      <c r="DN366" s="2">
        <v>6.5</v>
      </c>
      <c r="DO366" s="2">
        <v>0.6</v>
      </c>
      <c r="DP366" s="2" t="s">
        <v>3931</v>
      </c>
      <c r="DQ366" s="2" t="str">
        <f>HYPERLINK(".\links\Sigp\AGAP008903-PA-SigP.txt","CYT")</f>
        <v>CYT</v>
      </c>
      <c r="DR366" s="2" t="s">
        <v>102</v>
      </c>
      <c r="DS366" s="2">
        <v>104.898</v>
      </c>
      <c r="DT366" s="2">
        <v>9.6999999999999993</v>
      </c>
      <c r="DU366" s="2" t="s">
        <v>102</v>
      </c>
      <c r="DV366" s="2" t="s">
        <v>102</v>
      </c>
      <c r="DW366" s="2" t="s">
        <v>889</v>
      </c>
      <c r="DX366" s="2">
        <v>976</v>
      </c>
      <c r="DY366" s="12">
        <v>0</v>
      </c>
      <c r="DZ366" s="2" t="s">
        <v>102</v>
      </c>
      <c r="EA366" s="2" t="s">
        <v>102</v>
      </c>
      <c r="EB366" s="2" t="s">
        <v>102</v>
      </c>
      <c r="EC366" s="2" t="str">
        <f>HYPERLINK(".\links\gpi\AGAP008903-PA-gpi.txt","Y-NoSP")</f>
        <v>Y-NoSP</v>
      </c>
      <c r="ED366" s="2">
        <v>0.32</v>
      </c>
      <c r="EF366" s="2">
        <v>10</v>
      </c>
      <c r="EG366" s="2" t="s">
        <v>102</v>
      </c>
      <c r="EH366" s="2" t="s">
        <v>102</v>
      </c>
      <c r="EI366" s="2">
        <v>12.5</v>
      </c>
      <c r="EJ366" s="2">
        <v>6.4549180327868898</v>
      </c>
      <c r="EK366" s="2">
        <v>11.577868852459</v>
      </c>
      <c r="EL366" s="2">
        <v>18.032786885245901</v>
      </c>
      <c r="EM366" s="2">
        <v>1</v>
      </c>
      <c r="EN366" s="2">
        <v>8</v>
      </c>
      <c r="EO366" s="2">
        <v>8</v>
      </c>
      <c r="EP366" s="2" t="s">
        <v>102</v>
      </c>
      <c r="EQ366" s="2" t="s">
        <v>102</v>
      </c>
      <c r="ER366" s="2" t="s">
        <v>102</v>
      </c>
      <c r="ES366" s="2" t="s">
        <v>102</v>
      </c>
      <c r="ET366" s="2" t="str">
        <f>HYPERLINK(".\links\REFSEQ-INVERTEBRATE\AGAP008903-PA-REFSEQ-INVERTEBRATE.txt","leukocyte receptor cluster member 8 homolog")</f>
        <v>leukocyte receptor cluster member 8 homolog</v>
      </c>
      <c r="EU366" s="2" t="str">
        <f>HYPERLINK("http://www.ncbi.nlm.nih.gov/sutils/blink.cgi?pid=XP_035777741.1","0.0")</f>
        <v>0.0</v>
      </c>
      <c r="EV366" s="2" t="str">
        <f>HYPERLINK("http://www.ncbi.nlm.nih.gov/protein/XP_035777741.1","XP_035777741.1")</f>
        <v>XP_035777741.1</v>
      </c>
      <c r="EW366" s="2">
        <v>65</v>
      </c>
      <c r="EX366" s="2">
        <v>72</v>
      </c>
      <c r="EY366" s="2">
        <v>93</v>
      </c>
      <c r="EZ366" s="2" t="s">
        <v>3932</v>
      </c>
    </row>
    <row r="367" spans="1:156" x14ac:dyDescent="0.25">
      <c r="A367" s="2" t="s">
        <v>3933</v>
      </c>
      <c r="B367" s="2">
        <v>-0.29661971163276202</v>
      </c>
      <c r="C367" s="2">
        <f t="shared" si="5"/>
        <v>0.81415776536322204</v>
      </c>
      <c r="D367" s="2">
        <v>5.5363808405337798</v>
      </c>
      <c r="E367" s="2">
        <v>9.8146093678287993</v>
      </c>
      <c r="F367" s="2">
        <v>1.7313104478263799E-3</v>
      </c>
      <c r="G367" s="2">
        <v>4.0818336036672197E-2</v>
      </c>
      <c r="H367" s="2" t="s">
        <v>3934</v>
      </c>
      <c r="I367" s="2" t="s">
        <v>94</v>
      </c>
      <c r="J367" s="2" t="str">
        <f>HYPERLINK("https://vectorbase.org/vectorbase/app/record/gene/AGAP011705","AGAP011705-RA")</f>
        <v>AGAP011705-RA</v>
      </c>
      <c r="K367" s="2" t="str">
        <f>HYPERLINK(".\links\pep\AGAP011705-PA-pep.txt","AGAP011705-PA")</f>
        <v>AGAP011705-PA</v>
      </c>
      <c r="L367" s="12" t="s">
        <v>95</v>
      </c>
      <c r="M367" s="2">
        <v>1116</v>
      </c>
      <c r="N367" s="2">
        <v>0</v>
      </c>
      <c r="O367" s="2">
        <v>3</v>
      </c>
      <c r="P367" s="2" t="s">
        <v>3935</v>
      </c>
      <c r="Q367" s="9" t="s">
        <v>1984</v>
      </c>
      <c r="R367" s="2" t="s">
        <v>196</v>
      </c>
      <c r="S367" s="2" t="str">
        <f>HYPERLINK(".\links\KOG\AGAP011705-PA-KOG.txt","KOG")</f>
        <v>KOG</v>
      </c>
      <c r="T367" s="2">
        <v>0</v>
      </c>
      <c r="U367" s="2">
        <v>109.9</v>
      </c>
      <c r="V367" s="2" t="s">
        <v>3936</v>
      </c>
      <c r="W367" s="10" t="s">
        <v>183</v>
      </c>
      <c r="X367" s="2" t="s">
        <v>196</v>
      </c>
      <c r="Y367" s="2" t="str">
        <f>HYPERLINK(".\links\KOG\AGAP011705-PA-KOG.txt","KOG")</f>
        <v>KOG</v>
      </c>
      <c r="Z367" s="15">
        <v>0</v>
      </c>
      <c r="AA367" s="2">
        <v>56.1</v>
      </c>
      <c r="AB367" s="13" t="str">
        <f>HYPERLINK(".\links\pep\AGAP011705-PA-sulf.txt","1")</f>
        <v>1</v>
      </c>
      <c r="AC367" s="13" t="str">
        <f>HYPERLINK(".\links\Sigp\AGAP011705-PA-SigP.txt","CYT")</f>
        <v>CYT</v>
      </c>
      <c r="AD367" s="2" t="s">
        <v>102</v>
      </c>
      <c r="AE367" s="2">
        <v>122.724</v>
      </c>
      <c r="AF367" s="2">
        <v>6.11</v>
      </c>
      <c r="AG367" s="2" t="s">
        <v>102</v>
      </c>
      <c r="AH367" s="2" t="s">
        <v>102</v>
      </c>
      <c r="AI367" s="2" t="s">
        <v>3937</v>
      </c>
      <c r="AJ367" s="13">
        <v>0</v>
      </c>
      <c r="AK367" s="2" t="s">
        <v>102</v>
      </c>
      <c r="AL367" s="2" t="s">
        <v>102</v>
      </c>
      <c r="AM367" s="2" t="s">
        <v>102</v>
      </c>
      <c r="AN367" s="13" t="str">
        <f>HYPERLINK(".\links\gpi\AGAP011705-PA-gpi.txt","N")</f>
        <v>N</v>
      </c>
      <c r="AO367" s="14" t="str">
        <f>HYPERLINK(".\links\netoglyc\AGAP011705-PA-netoglyc.txt","2")</f>
        <v>2</v>
      </c>
      <c r="AP367" s="13">
        <v>16.899999999999999</v>
      </c>
      <c r="AQ367" s="2">
        <v>6.9</v>
      </c>
      <c r="AR367" s="2">
        <v>4.5999999999999996</v>
      </c>
      <c r="AS367" s="2" t="s">
        <v>104</v>
      </c>
      <c r="AT367" s="9" t="str">
        <f>HYPERLINK(".\links\NR-LIGHT\AGAP011705-PA-NR-LIGHT.txt","AGAP011705-PA, partial")</f>
        <v>AGAP011705-PA, partial</v>
      </c>
      <c r="AU367" s="2" t="str">
        <f>HYPERLINK("http://www.ncbi.nlm.nih.gov/sutils/blink.cgi?pid=XP_320805.3","0.0")</f>
        <v>0.0</v>
      </c>
      <c r="AV367" s="2" t="str">
        <f>HYPERLINK("http://www.ncbi.nlm.nih.gov/protein/XP_320805.3","XP_320805.3")</f>
        <v>XP_320805.3</v>
      </c>
      <c r="AW367" s="2">
        <v>90</v>
      </c>
      <c r="AX367" s="2">
        <v>90</v>
      </c>
      <c r="AY367" s="2">
        <v>109</v>
      </c>
      <c r="AZ367" s="2" t="s">
        <v>105</v>
      </c>
      <c r="BA367" s="9" t="str">
        <f>HYPERLINK(".\links\REFSEQ-INVERTEBRATE\AGAP011705-PA-REFSEQ-INVERTEBRATE.txt","AGAP011705-PA, partial")</f>
        <v>AGAP011705-PA, partial</v>
      </c>
      <c r="BB367" s="2" t="str">
        <f>HYPERLINK("http://www.ncbi.nlm.nih.gov/sutils/blink.cgi?pid=XP_320805.3","0.0")</f>
        <v>0.0</v>
      </c>
      <c r="BC367" s="2" t="str">
        <f>HYPERLINK("http://www.ncbi.nlm.nih.gov/protein/XP_320805.3","XP_320805.3")</f>
        <v>XP_320805.3</v>
      </c>
      <c r="BD367" s="2">
        <v>90</v>
      </c>
      <c r="BE367" s="2">
        <v>90</v>
      </c>
      <c r="BF367" s="2">
        <v>109</v>
      </c>
      <c r="BG367" s="2" t="s">
        <v>105</v>
      </c>
      <c r="BH367" s="9" t="str">
        <f>HYPERLINK(".\links\REFSEQ-PROTOZOA\AGAP011705-PA-REFSEQ-PROTOZOA.txt","hypothetical protein")</f>
        <v>hypothetical protein</v>
      </c>
      <c r="BI367" s="2" t="str">
        <f>HYPERLINK("http://www.ncbi.nlm.nih.gov/sutils/blink.cgi?pid=XP_001745508.1","2E-023")</f>
        <v>2E-023</v>
      </c>
      <c r="BJ367" s="2" t="str">
        <f>HYPERLINK("http://www.ncbi.nlm.nih.gov/protein/XP_001745508.1","XP_001745508.1")</f>
        <v>XP_001745508.1</v>
      </c>
      <c r="BK367" s="2">
        <v>24</v>
      </c>
      <c r="BL367" s="2">
        <v>40</v>
      </c>
      <c r="BM367" s="2">
        <v>57</v>
      </c>
      <c r="BN367" s="2" t="s">
        <v>248</v>
      </c>
      <c r="BO367" s="9" t="str">
        <f>HYPERLINK(".\links\SWISSP\AGAP011705-PA-SWISSP.txt","UPF0518 protein AGAP011705")</f>
        <v>UPF0518 protein AGAP011705</v>
      </c>
      <c r="BP367" s="2" t="str">
        <f>HYPERLINK("http://www.uniprot.org/uniprot/Q7PZ36","0.0")</f>
        <v>0.0</v>
      </c>
      <c r="BQ367" s="2" t="str">
        <f>HYPERLINK("http://www.uniprot.org/uniprot/Q7PZ36#expression","Q7PZ36")</f>
        <v>Q7PZ36</v>
      </c>
      <c r="BR367" s="2">
        <v>90</v>
      </c>
      <c r="BS367" s="2">
        <v>90</v>
      </c>
      <c r="BT367" s="2">
        <v>109</v>
      </c>
      <c r="BU367" s="2" t="s">
        <v>249</v>
      </c>
      <c r="BV367" s="9" t="str">
        <f>HYPERLINK(".\links\FLYBASE\AGAP011705-PA-FLYBASE.txt","FBpp0077329")</f>
        <v>FBpp0077329</v>
      </c>
      <c r="BW367" s="2" t="str">
        <f>HYPERLINK("http://flybase.org/reports/FBgn0025681#alliance_summary_container","0.0")</f>
        <v>0.0</v>
      </c>
      <c r="BX367" s="2">
        <v>1041</v>
      </c>
      <c r="BY367" s="2">
        <v>54</v>
      </c>
      <c r="BZ367" s="2">
        <v>66</v>
      </c>
      <c r="CA367" s="2">
        <v>109</v>
      </c>
      <c r="CB367" s="9" t="str">
        <f>HYPERLINK(".\links\CDD\AGAP011705-PA-CDD.txt","RAI16-like, Retinoic acid induced 16-like protein")</f>
        <v>RAI16-like, Retinoic acid induced 16-like protein</v>
      </c>
      <c r="CC367" s="15">
        <v>1.0000000000000001E-114</v>
      </c>
      <c r="CD367" s="2">
        <v>100.8</v>
      </c>
      <c r="CE367" s="2" t="s">
        <v>3938</v>
      </c>
      <c r="CF367" s="2" t="s">
        <v>3939</v>
      </c>
      <c r="CG367" s="9" t="str">
        <f>HYPERLINK(".\links\KOG\AGAP011705-PA-KOG.txt","Uncharacterized conserved protein")</f>
        <v>Uncharacterized conserved protein</v>
      </c>
      <c r="CH367" s="15">
        <v>0</v>
      </c>
      <c r="CI367" s="2">
        <v>109.9</v>
      </c>
      <c r="CJ367" s="2" t="s">
        <v>3940</v>
      </c>
      <c r="CK367" s="2" t="s">
        <v>284</v>
      </c>
      <c r="CL367" s="9" t="str">
        <f>HYPERLINK(".\links\PFAM\AGAP011705-PA-PFAM.txt","RAI16-like, Retinoic acid induced 16-like protein")</f>
        <v>RAI16-like, Retinoic acid induced 16-like protein</v>
      </c>
      <c r="CM367" s="15">
        <v>1.0000000000000001E-115</v>
      </c>
      <c r="CN367" s="2">
        <v>100.8</v>
      </c>
      <c r="CO367" s="2" t="s">
        <v>3938</v>
      </c>
      <c r="CP367" s="9" t="str">
        <f>HYPERLINK(".\links\SMART\AGAP011705-PA-SMART.txt","VPS10, VPS10 domain")</f>
        <v>VPS10, VPS10 domain</v>
      </c>
      <c r="CQ367" s="15">
        <v>0.68</v>
      </c>
      <c r="CR367" s="2">
        <v>7</v>
      </c>
      <c r="CS367" s="2" t="s">
        <v>3941</v>
      </c>
      <c r="CT367" s="2" t="s">
        <v>3936</v>
      </c>
      <c r="CU367" s="2" t="s">
        <v>3936</v>
      </c>
      <c r="CV367" s="2" t="s">
        <v>3936</v>
      </c>
      <c r="CW367" s="2" t="str">
        <f>HYPERLINK(".\links\pep\AGAP011705-PA-pep.txt","AGAP011705-PA")</f>
        <v>AGAP011705-PA</v>
      </c>
      <c r="CX367" s="2" t="s">
        <v>95</v>
      </c>
      <c r="CY367" s="2">
        <v>1116</v>
      </c>
      <c r="CZ367" s="2" t="s">
        <v>113</v>
      </c>
      <c r="DA367" s="2" t="s">
        <v>3942</v>
      </c>
      <c r="DB367" s="2">
        <v>0</v>
      </c>
      <c r="DC367" s="2">
        <v>3</v>
      </c>
      <c r="DD367" s="2" t="str">
        <f>HYPERLINK("https://www.kegg.jp/kegg-bin/search_pathway_text?map=aga&amp;keyword=AGAP011705&amp;mode=1&amp;viewImage=true","AGAP011705")</f>
        <v>AGAP011705</v>
      </c>
      <c r="DE367" s="2" t="s">
        <v>3933</v>
      </c>
      <c r="DF367" s="2" t="s">
        <v>3934</v>
      </c>
      <c r="DG367" s="2" t="s">
        <v>94</v>
      </c>
      <c r="DH367" s="2" t="str">
        <f>HYPERLINK("https://vectorbase.org/vectorbase/app/record/gene/AGAP011705","AGAP011705-RA")</f>
        <v>AGAP011705-RA</v>
      </c>
      <c r="DI367" s="2" t="s">
        <v>90</v>
      </c>
      <c r="DJ367" s="2">
        <v>5640</v>
      </c>
      <c r="DK367" s="2" t="str">
        <f>HYPERLINK(".\links\netoglyc\AGAP011705-PA-netoglyc.txt","2")</f>
        <v>2</v>
      </c>
      <c r="DL367" s="2">
        <v>16.899999999999999</v>
      </c>
      <c r="DM367" s="2">
        <v>6.9</v>
      </c>
      <c r="DN367" s="2">
        <v>4.5999999999999996</v>
      </c>
      <c r="DO367" s="2" t="s">
        <v>104</v>
      </c>
      <c r="DP367" s="2" t="s">
        <v>3943</v>
      </c>
      <c r="DQ367" s="2" t="str">
        <f>HYPERLINK(".\links\Sigp\AGAP011705-PA-SigP.txt","CYT")</f>
        <v>CYT</v>
      </c>
      <c r="DR367" s="2" t="s">
        <v>102</v>
      </c>
      <c r="DS367" s="2">
        <v>122.724</v>
      </c>
      <c r="DT367" s="2">
        <v>6.11</v>
      </c>
      <c r="DU367" s="2" t="s">
        <v>102</v>
      </c>
      <c r="DV367" s="2" t="s">
        <v>102</v>
      </c>
      <c r="DW367" s="2" t="s">
        <v>3937</v>
      </c>
      <c r="DX367" s="2">
        <v>1116</v>
      </c>
      <c r="DY367" s="12">
        <v>0</v>
      </c>
      <c r="DZ367" s="2" t="s">
        <v>102</v>
      </c>
      <c r="EA367" s="2" t="s">
        <v>102</v>
      </c>
      <c r="EB367" s="2" t="s">
        <v>102</v>
      </c>
      <c r="EC367" s="2" t="str">
        <f>HYPERLINK(".\links\gpi\AGAP011705-PA-gpi.txt","N")</f>
        <v>N</v>
      </c>
      <c r="ED367" s="2">
        <v>0.23</v>
      </c>
      <c r="EF367" s="2">
        <v>17</v>
      </c>
      <c r="EG367" s="2" t="str">
        <f>HYPERLINK(".\links\pep\AGAP011705-PA-sulf.txt","1")</f>
        <v>1</v>
      </c>
      <c r="EH367" s="2" t="s">
        <v>102</v>
      </c>
      <c r="EI367" s="2">
        <v>16.935483870967701</v>
      </c>
      <c r="EJ367" s="2">
        <v>4.56989247311828</v>
      </c>
      <c r="EK367" s="2">
        <v>6.8996415770609296</v>
      </c>
      <c r="EL367" s="2">
        <v>11.469534050179201</v>
      </c>
      <c r="EM367" s="2">
        <v>2</v>
      </c>
      <c r="EN367" s="2" t="s">
        <v>102</v>
      </c>
      <c r="EO367" s="2">
        <v>4</v>
      </c>
      <c r="EP367" s="2" t="s">
        <v>102</v>
      </c>
      <c r="EQ367" s="2" t="s">
        <v>102</v>
      </c>
      <c r="ER367" s="2" t="s">
        <v>102</v>
      </c>
      <c r="ES367" s="2" t="s">
        <v>102</v>
      </c>
      <c r="ET367" s="2" t="str">
        <f>HYPERLINK(".\links\REFSEQ-INVERTEBRATE\AGAP011705-PA-REFSEQ-INVERTEBRATE.txt","AGAP011705-PA, partial")</f>
        <v>AGAP011705-PA, partial</v>
      </c>
      <c r="EU367" s="2" t="str">
        <f>HYPERLINK("http://www.ncbi.nlm.nih.gov/sutils/blink.cgi?pid=XP_320805.3","0.0")</f>
        <v>0.0</v>
      </c>
      <c r="EV367" s="2" t="str">
        <f>HYPERLINK("http://www.ncbi.nlm.nih.gov/protein/XP_320805.3","XP_320805.3")</f>
        <v>XP_320805.3</v>
      </c>
      <c r="EW367" s="2">
        <v>90</v>
      </c>
      <c r="EX367" s="2">
        <v>90</v>
      </c>
      <c r="EY367" s="2">
        <v>109</v>
      </c>
      <c r="EZ367" s="2" t="s">
        <v>105</v>
      </c>
    </row>
    <row r="368" spans="1:156" x14ac:dyDescent="0.25">
      <c r="A368" s="2" t="s">
        <v>3944</v>
      </c>
      <c r="B368" s="2">
        <v>-0.29723786079299003</v>
      </c>
      <c r="C368" s="2">
        <f t="shared" si="5"/>
        <v>0.81380899925378447</v>
      </c>
      <c r="D368" s="2">
        <v>7.7130744977780603</v>
      </c>
      <c r="E368" s="2">
        <v>11.0899682176557</v>
      </c>
      <c r="F368" s="2">
        <v>8.6795971974013703E-4</v>
      </c>
      <c r="G368" s="2">
        <v>3.0356607143661E-2</v>
      </c>
      <c r="H368" s="2" t="s">
        <v>93</v>
      </c>
      <c r="I368" s="2" t="s">
        <v>94</v>
      </c>
      <c r="J368" s="2" t="str">
        <f>HYPERLINK("https://vectorbase.org/vectorbase/app/record/gene/AGAP029565","AGAP029565-RA")</f>
        <v>AGAP029565-RA</v>
      </c>
      <c r="K368" s="2" t="str">
        <f>HYPERLINK(".\links\pep\AGAP029565-PA-pep.txt","AGAP029565-PA")</f>
        <v>AGAP029565-PA</v>
      </c>
      <c r="L368" s="12" t="s">
        <v>95</v>
      </c>
      <c r="M368" s="2">
        <v>736</v>
      </c>
      <c r="N368" s="2">
        <v>0</v>
      </c>
      <c r="O368" s="2">
        <v>4</v>
      </c>
      <c r="P368" s="2" t="s">
        <v>102</v>
      </c>
      <c r="Q368" s="9" t="s">
        <v>3945</v>
      </c>
      <c r="R368" s="2" t="s">
        <v>388</v>
      </c>
      <c r="S368" s="2" t="str">
        <f>HYPERLINK(".\links\KOG\AGAP029565-PA-KOG.txt","KOG")</f>
        <v>KOG</v>
      </c>
      <c r="T368" s="2">
        <v>0</v>
      </c>
      <c r="U368" s="2">
        <v>108.3</v>
      </c>
      <c r="V368" s="2" t="s">
        <v>3946</v>
      </c>
      <c r="W368" s="10" t="s">
        <v>3947</v>
      </c>
      <c r="X368" s="2" t="s">
        <v>388</v>
      </c>
      <c r="Y368" s="2" t="str">
        <f>HYPERLINK(".\links\KOG\AGAP029565-PA-KOG.txt","KOG")</f>
        <v>KOG</v>
      </c>
      <c r="Z368" s="2">
        <v>0</v>
      </c>
      <c r="AA368" s="2">
        <v>58.9</v>
      </c>
      <c r="AB368" s="13" t="str">
        <f>HYPERLINK(".\links\pep\AGAP029565-PA-sulf.txt","3")</f>
        <v>3</v>
      </c>
      <c r="AC368" s="13" t="str">
        <f>HYPERLINK(".\links\Sigp\AGAP029565-PA-SigP.txt","CYT")</f>
        <v>CYT</v>
      </c>
      <c r="AD368" s="2" t="s">
        <v>102</v>
      </c>
      <c r="AE368" s="2">
        <v>79.81</v>
      </c>
      <c r="AF368" s="2">
        <v>5.12</v>
      </c>
      <c r="AG368" s="2" t="s">
        <v>102</v>
      </c>
      <c r="AH368" s="2" t="s">
        <v>102</v>
      </c>
      <c r="AI368" s="2" t="s">
        <v>1326</v>
      </c>
      <c r="AJ368" s="13">
        <v>0</v>
      </c>
      <c r="AK368" s="2" t="s">
        <v>102</v>
      </c>
      <c r="AL368" s="2" t="s">
        <v>102</v>
      </c>
      <c r="AM368" s="2" t="s">
        <v>102</v>
      </c>
      <c r="AN368" s="9" t="str">
        <f>HYPERLINK(".\links\gpi\AGAP029565-PA-gpi.txt","N")</f>
        <v>N</v>
      </c>
      <c r="AO368" s="14" t="str">
        <f>HYPERLINK(".\links\netoglyc\AGAP029565-PA-netoglyc.txt","5")</f>
        <v>5</v>
      </c>
      <c r="AP368" s="13">
        <v>14.8</v>
      </c>
      <c r="AQ368" s="2">
        <v>10.1</v>
      </c>
      <c r="AR368" s="2">
        <v>4.5</v>
      </c>
      <c r="AS368" s="2" t="s">
        <v>104</v>
      </c>
      <c r="AT368" s="9" t="str">
        <f>HYPERLINK(".\links\NR-LIGHT\AGAP029565-PA-NR-LIGHT.txt","AGAP008755-PA, partial")</f>
        <v>AGAP008755-PA, partial</v>
      </c>
      <c r="AU368" s="2" t="str">
        <f>HYPERLINK("http://www.ncbi.nlm.nih.gov/sutils/blink.cgi?pid=XP_557912.3","0.0")</f>
        <v>0.0</v>
      </c>
      <c r="AV368" s="2" t="str">
        <f>HYPERLINK("http://www.ncbi.nlm.nih.gov/protein/XP_557912.3","XP_557912.3")</f>
        <v>XP_557912.3</v>
      </c>
      <c r="AW368" s="2">
        <v>94</v>
      </c>
      <c r="AX368" s="2">
        <v>94</v>
      </c>
      <c r="AY368" s="2">
        <v>104</v>
      </c>
      <c r="AZ368" s="2" t="s">
        <v>105</v>
      </c>
      <c r="BA368" s="9" t="str">
        <f>HYPERLINK(".\links\REFSEQ-INVERTEBRATE\AGAP029565-PA-REFSEQ-INVERTEBRATE.txt","AGAP008755-PA, partial")</f>
        <v>AGAP008755-PA, partial</v>
      </c>
      <c r="BB368" s="2" t="str">
        <f>HYPERLINK("http://www.ncbi.nlm.nih.gov/sutils/blink.cgi?pid=XP_557912.3","0.0")</f>
        <v>0.0</v>
      </c>
      <c r="BC368" s="2" t="str">
        <f>HYPERLINK("http://www.ncbi.nlm.nih.gov/protein/XP_557912.3","XP_557912.3")</f>
        <v>XP_557912.3</v>
      </c>
      <c r="BD368" s="2">
        <v>94</v>
      </c>
      <c r="BE368" s="2">
        <v>94</v>
      </c>
      <c r="BF368" s="2">
        <v>104</v>
      </c>
      <c r="BG368" s="2" t="s">
        <v>105</v>
      </c>
      <c r="BH368" s="9" t="str">
        <f>HYPERLINK(".\links\REFSEQ-PROTOZOA\AGAP029565-PA-REFSEQ-PROTOZOA.txt","hypothetical protein SAMD00019534_016940")</f>
        <v>hypothetical protein SAMD00019534_016940</v>
      </c>
      <c r="BI368" s="2" t="str">
        <f>HYPERLINK("http://www.ncbi.nlm.nih.gov/sutils/blink.cgi?pid=XP_012757739.1","6E-096")</f>
        <v>6E-096</v>
      </c>
      <c r="BJ368" s="2" t="str">
        <f>HYPERLINK("http://www.ncbi.nlm.nih.gov/protein/XP_012757739.1","XP_012757739.1")</f>
        <v>XP_012757739.1</v>
      </c>
      <c r="BK368" s="2">
        <v>31</v>
      </c>
      <c r="BL368" s="2">
        <v>49</v>
      </c>
      <c r="BM368" s="2">
        <v>103</v>
      </c>
      <c r="BN368" s="2" t="s">
        <v>186</v>
      </c>
      <c r="BO368" s="9" t="str">
        <f>HYPERLINK(".\links\SWISSP\AGAP029565-PA-SWISSP.txt","Striatin-4")</f>
        <v>Striatin-4</v>
      </c>
      <c r="BP368" s="2" t="str">
        <f>HYPERLINK("http://www.uniprot.org/uniprot/Q9NRL3","1E-175")</f>
        <v>1E-175</v>
      </c>
      <c r="BQ368" s="2" t="str">
        <f>HYPERLINK("http://www.uniprot.org/uniprot/Q9NRL3#expression","Q9NRL3")</f>
        <v>Q9NRL3</v>
      </c>
      <c r="BR368" s="2">
        <v>46</v>
      </c>
      <c r="BS368" s="2">
        <v>59</v>
      </c>
      <c r="BT368" s="2">
        <v>101</v>
      </c>
      <c r="BU368" s="2" t="s">
        <v>127</v>
      </c>
      <c r="BV368" s="9" t="str">
        <f>HYPERLINK(".\links\FLYBASE\AGAP029565-PA-FLYBASE.txt","FBpp0297142")</f>
        <v>FBpp0297142</v>
      </c>
      <c r="BW368" s="2" t="str">
        <f>HYPERLINK("http://flybase.org/reports/FBgn0044323#alliance_summary_container","0.0")</f>
        <v>0.0</v>
      </c>
      <c r="BX368" s="2">
        <v>749</v>
      </c>
      <c r="BY368" s="2">
        <v>67</v>
      </c>
      <c r="BZ368" s="2">
        <v>79</v>
      </c>
      <c r="CA368" s="2">
        <v>92</v>
      </c>
      <c r="CB368" s="9" t="str">
        <f>HYPERLINK(".\links\CDD\AGAP029565-PA-CDD.txt","WD40, WD40 domain, found in a number of eukaryotic proteins that cover a wide variety of functions including adaptor/regulatory modules in signal transduction, pre-mRNA processing and cytoskeleton assembly")</f>
        <v>WD40, WD40 domain, found in a number of eukaryotic proteins that cover a wide variety of functions including adaptor/regulatory modules in signal transduction, pre-mRNA processing and cytoskeleton assembly</v>
      </c>
      <c r="CC368" s="15">
        <v>3.0000000000000001E-54</v>
      </c>
      <c r="CD368" s="2">
        <v>112.1</v>
      </c>
      <c r="CE368" s="2" t="s">
        <v>1716</v>
      </c>
      <c r="CF368" s="2" t="s">
        <v>3948</v>
      </c>
      <c r="CG368" s="9" t="str">
        <f>HYPERLINK(".\links\KOG\AGAP029565-PA-KOG.txt","contains WD-40 repeats")</f>
        <v>contains WD-40 repeats</v>
      </c>
      <c r="CH368" s="15">
        <v>1E-161</v>
      </c>
      <c r="CI368" s="2">
        <v>108.3</v>
      </c>
      <c r="CJ368" s="2" t="s">
        <v>3949</v>
      </c>
      <c r="CK368" s="2" t="s">
        <v>700</v>
      </c>
      <c r="CL368" s="9" t="str">
        <f>HYPERLINK(".\links\PFAM\AGAP029565-PA-PFAM.txt","Striatin, Striatin family")</f>
        <v>Striatin, Striatin family</v>
      </c>
      <c r="CM368" s="15">
        <v>2.9999999999999999E-38</v>
      </c>
      <c r="CN368" s="2">
        <v>151.19999999999999</v>
      </c>
      <c r="CO368" s="2" t="s">
        <v>3950</v>
      </c>
      <c r="CP368" s="9" t="str">
        <f>HYPERLINK(".\links\SMART\AGAP029565-PA-SMART.txt","WD40, WD40 repeats")</f>
        <v>WD40, WD40 repeats</v>
      </c>
      <c r="CQ368" s="15">
        <v>9.9999999999999995E-8</v>
      </c>
      <c r="CR368" s="2">
        <v>85</v>
      </c>
      <c r="CS368" s="2" t="s">
        <v>1720</v>
      </c>
      <c r="CT368" s="2" t="s">
        <v>3946</v>
      </c>
      <c r="CU368" s="2" t="s">
        <v>3946</v>
      </c>
      <c r="CV368" s="2" t="s">
        <v>3946</v>
      </c>
      <c r="CW368" s="2" t="str">
        <f>HYPERLINK(".\links\pep\AGAP029565-PA-pep.txt","AGAP029565-PA")</f>
        <v>AGAP029565-PA</v>
      </c>
      <c r="CX368" s="2" t="s">
        <v>95</v>
      </c>
      <c r="CY368" s="2">
        <v>736</v>
      </c>
      <c r="CZ368" s="2" t="s">
        <v>113</v>
      </c>
      <c r="DA368" s="2" t="s">
        <v>3951</v>
      </c>
      <c r="DB368" s="2">
        <v>0</v>
      </c>
      <c r="DC368" s="2">
        <v>4</v>
      </c>
      <c r="DD368" s="2" t="str">
        <f>HYPERLINK("https://www.kegg.jp/kegg-bin/search_pathway_text?map=aga&amp;keyword=AGAP029565&amp;mode=1&amp;viewImage=true","AGAP029565")</f>
        <v>AGAP029565</v>
      </c>
      <c r="DE368" s="2" t="s">
        <v>3944</v>
      </c>
      <c r="DF368" s="2" t="s">
        <v>93</v>
      </c>
      <c r="DG368" s="2" t="s">
        <v>94</v>
      </c>
      <c r="DH368" s="2" t="str">
        <f>HYPERLINK("https://vectorbase.org/vectorbase/app/record/gene/AGAP029565","AGAP029565-RA")</f>
        <v>AGAP029565-RA</v>
      </c>
      <c r="DI368" s="2" t="s">
        <v>90</v>
      </c>
      <c r="DJ368" s="2">
        <v>4364</v>
      </c>
      <c r="DK368" s="2" t="str">
        <f>HYPERLINK(".\links\netoglyc\AGAP029565-PA-netoglyc.txt","5")</f>
        <v>5</v>
      </c>
      <c r="DL368" s="2">
        <v>14.8</v>
      </c>
      <c r="DM368" s="2">
        <v>10.1</v>
      </c>
      <c r="DN368" s="2">
        <v>4.5</v>
      </c>
      <c r="DO368" s="2" t="s">
        <v>104</v>
      </c>
      <c r="DP368" s="2" t="s">
        <v>102</v>
      </c>
      <c r="DQ368" s="2" t="str">
        <f>HYPERLINK(".\links\Sigp\AGAP029565-PA-SigP.txt","CYT")</f>
        <v>CYT</v>
      </c>
      <c r="DR368" s="2" t="s">
        <v>102</v>
      </c>
      <c r="DS368" s="2">
        <v>79.81</v>
      </c>
      <c r="DT368" s="2">
        <v>5.12</v>
      </c>
      <c r="DU368" s="2" t="s">
        <v>102</v>
      </c>
      <c r="DV368" s="2" t="s">
        <v>102</v>
      </c>
      <c r="DW368" s="2" t="s">
        <v>1326</v>
      </c>
      <c r="DX368" s="2">
        <v>736</v>
      </c>
      <c r="DY368" s="12">
        <v>0</v>
      </c>
      <c r="DZ368" s="2" t="s">
        <v>102</v>
      </c>
      <c r="EA368" s="2" t="s">
        <v>102</v>
      </c>
      <c r="EB368" s="2" t="s">
        <v>102</v>
      </c>
      <c r="EC368" s="2" t="str">
        <f>HYPERLINK(".\links\gpi\AGAP029565-PA-gpi.txt","Y-NoSP")</f>
        <v>Y-NoSP</v>
      </c>
      <c r="ED368" s="2">
        <v>0.18</v>
      </c>
      <c r="EF368" s="2">
        <v>9</v>
      </c>
      <c r="EG368" s="2" t="str">
        <f>HYPERLINK(".\links\pep\AGAP029565-PA-sulf.txt","3")</f>
        <v>3</v>
      </c>
      <c r="EH368" s="2" t="s">
        <v>102</v>
      </c>
      <c r="EI368" s="2">
        <v>14.8097826086957</v>
      </c>
      <c r="EJ368" s="2">
        <v>4.4836956521739104</v>
      </c>
      <c r="EK368" s="2">
        <v>10.054347826087</v>
      </c>
      <c r="EL368" s="2">
        <v>14.538043478260899</v>
      </c>
      <c r="EM368" s="2" t="s">
        <v>102</v>
      </c>
      <c r="EN368" s="2">
        <v>3</v>
      </c>
      <c r="EO368" s="2">
        <v>4</v>
      </c>
      <c r="EP368" s="2" t="s">
        <v>102</v>
      </c>
      <c r="EQ368" s="2" t="s">
        <v>102</v>
      </c>
      <c r="ER368" s="2" t="s">
        <v>102</v>
      </c>
      <c r="ES368" s="2" t="s">
        <v>102</v>
      </c>
      <c r="ET368" s="2" t="str">
        <f>HYPERLINK(".\links\REFSEQ-INVERTEBRATE\AGAP029565-PA-REFSEQ-INVERTEBRATE.txt","striatin-4 isoform X1")</f>
        <v>striatin-4 isoform X1</v>
      </c>
      <c r="EU368" s="2" t="str">
        <f>HYPERLINK("http://www.ncbi.nlm.nih.gov/sutils/blink.cgi?pid=XP_035911062.1","0.0")</f>
        <v>0.0</v>
      </c>
      <c r="EV368" s="2" t="str">
        <f>HYPERLINK("http://www.ncbi.nlm.nih.gov/protein/XP_035911062.1","XP_035911062.1")</f>
        <v>XP_035911062.1</v>
      </c>
      <c r="EW368" s="2">
        <v>97</v>
      </c>
      <c r="EX368" s="2">
        <v>97</v>
      </c>
      <c r="EY368" s="2">
        <v>100</v>
      </c>
      <c r="EZ368" s="2" t="s">
        <v>370</v>
      </c>
    </row>
    <row r="369" spans="1:156" x14ac:dyDescent="0.25">
      <c r="A369" s="2" t="s">
        <v>3952</v>
      </c>
      <c r="B369" s="2">
        <v>-0.29797134222618799</v>
      </c>
      <c r="C369" s="2">
        <f t="shared" si="5"/>
        <v>0.81339535530182305</v>
      </c>
      <c r="D369" s="2">
        <v>7.4313488295101102</v>
      </c>
      <c r="E369" s="2">
        <v>8.8289031205570403</v>
      </c>
      <c r="F369" s="2">
        <v>2.9649654676737699E-3</v>
      </c>
      <c r="G369" s="2">
        <v>4.9863028470861798E-2</v>
      </c>
      <c r="H369" s="2" t="s">
        <v>3953</v>
      </c>
      <c r="I369" s="2" t="s">
        <v>94</v>
      </c>
      <c r="J369" s="2" t="str">
        <f>HYPERLINK("https://vectorbase.org/vectorbase/app/record/gene/AGAP007892","AGAP007892-RA")</f>
        <v>AGAP007892-RA</v>
      </c>
      <c r="K369" s="2" t="str">
        <f>HYPERLINK(".\links\pep\AGAP007892-PA-pep.txt","AGAP007892-PA")</f>
        <v>AGAP007892-PA</v>
      </c>
      <c r="L369" s="12" t="s">
        <v>95</v>
      </c>
      <c r="M369" s="2">
        <v>2215</v>
      </c>
      <c r="N369" s="2">
        <v>0</v>
      </c>
      <c r="O369" s="2">
        <v>1</v>
      </c>
      <c r="P369" s="2" t="s">
        <v>3954</v>
      </c>
      <c r="Q369" s="9" t="s">
        <v>3955</v>
      </c>
      <c r="R369" s="2" t="s">
        <v>388</v>
      </c>
      <c r="S369" s="2" t="str">
        <f>HYPERLINK(".\links\CDD\AGAP007892-PA-CDD.txt","CDD")</f>
        <v>CDD</v>
      </c>
      <c r="T369" s="2">
        <v>9.0000000000000004E-72</v>
      </c>
      <c r="U369" s="2">
        <v>40.700000000000003</v>
      </c>
      <c r="V369" s="2" t="s">
        <v>3956</v>
      </c>
      <c r="W369" s="10" t="s">
        <v>3957</v>
      </c>
      <c r="X369" s="2" t="s">
        <v>388</v>
      </c>
      <c r="Y369" s="2" t="str">
        <f>HYPERLINK(".\links\COG\AGAP007892-PA-COG.txt","COG")</f>
        <v>COG</v>
      </c>
      <c r="Z369" s="15">
        <v>2.0000000000000001E-62</v>
      </c>
      <c r="AA369" s="2">
        <v>28.7</v>
      </c>
      <c r="AB369" s="13" t="str">
        <f>HYPERLINK(".\links\pep\AGAP007892-PA-sulf.txt","3")</f>
        <v>3</v>
      </c>
      <c r="AC369" s="13" t="str">
        <f>HYPERLINK(".\links\Sigp\AGAP007892-PA-SigP.txt","CYT")</f>
        <v>CYT</v>
      </c>
      <c r="AD369" s="2" t="s">
        <v>102</v>
      </c>
      <c r="AE369" s="2">
        <v>232.839</v>
      </c>
      <c r="AF369" s="2">
        <v>8.4</v>
      </c>
      <c r="AG369" s="2" t="s">
        <v>102</v>
      </c>
      <c r="AH369" s="2" t="s">
        <v>102</v>
      </c>
      <c r="AI369" s="2" t="s">
        <v>482</v>
      </c>
      <c r="AJ369" s="13">
        <v>0</v>
      </c>
      <c r="AK369" s="2" t="s">
        <v>102</v>
      </c>
      <c r="AL369" s="2" t="s">
        <v>102</v>
      </c>
      <c r="AM369" s="2" t="s">
        <v>102</v>
      </c>
      <c r="AN369" s="13" t="str">
        <f>HYPERLINK(".\links\gpi\AGAP007892-PA-gpi.txt","N")</f>
        <v>N</v>
      </c>
      <c r="AO369" s="14" t="str">
        <f>HYPERLINK(".\links\netoglyc\AGAP007892-PA-netoglyc.txt","17")</f>
        <v>17</v>
      </c>
      <c r="AP369" s="13">
        <v>18.7</v>
      </c>
      <c r="AQ369" s="2">
        <v>11.1</v>
      </c>
      <c r="AR369" s="2">
        <v>4.8</v>
      </c>
      <c r="AS369" s="2" t="s">
        <v>104</v>
      </c>
      <c r="AT369" s="9" t="str">
        <f>HYPERLINK(".\links\NR-LIGHT\AGAP007892-PA-NR-LIGHT.txt","AGAP007892-PA, partial")</f>
        <v>AGAP007892-PA, partial</v>
      </c>
      <c r="AU369" s="2" t="str">
        <f>HYPERLINK("http://www.ncbi.nlm.nih.gov/sutils/blink.cgi?pid=XP_317596.4","0.0")</f>
        <v>0.0</v>
      </c>
      <c r="AV369" s="2" t="str">
        <f>HYPERLINK("http://www.ncbi.nlm.nih.gov/protein/XP_317596.4","XP_317596.4")</f>
        <v>XP_317596.4</v>
      </c>
      <c r="AW369" s="2">
        <v>75</v>
      </c>
      <c r="AX369" s="2">
        <v>78</v>
      </c>
      <c r="AY369" s="2">
        <v>107</v>
      </c>
      <c r="AZ369" s="2" t="s">
        <v>105</v>
      </c>
      <c r="BA369" s="9" t="str">
        <f>HYPERLINK(".\links\REFSEQ-INVERTEBRATE\AGAP007892-PA-REFSEQ-INVERTEBRATE.txt","AGAP007892-PA, partial")</f>
        <v>AGAP007892-PA, partial</v>
      </c>
      <c r="BB369" s="2" t="str">
        <f>HYPERLINK("http://www.ncbi.nlm.nih.gov/sutils/blink.cgi?pid=XP_317596.4","0.0")</f>
        <v>0.0</v>
      </c>
      <c r="BC369" s="2" t="str">
        <f>HYPERLINK("http://www.ncbi.nlm.nih.gov/protein/XP_317596.4","XP_317596.4")</f>
        <v>XP_317596.4</v>
      </c>
      <c r="BD369" s="2">
        <v>75</v>
      </c>
      <c r="BE369" s="2">
        <v>78</v>
      </c>
      <c r="BF369" s="2">
        <v>107</v>
      </c>
      <c r="BG369" s="2" t="s">
        <v>105</v>
      </c>
      <c r="BH369" s="9" t="str">
        <f>HYPERLINK(".\links\REFSEQ-PROTOZOA\AGAP007892-PA-REFSEQ-PROTOZOA.txt","hypothetical protein SARC_03201")</f>
        <v>hypothetical protein SARC_03201</v>
      </c>
      <c r="BI369" s="2" t="str">
        <f>HYPERLINK("http://www.ncbi.nlm.nih.gov/sutils/blink.cgi?pid=XP_014158484.1","2E-096")</f>
        <v>2E-096</v>
      </c>
      <c r="BJ369" s="2" t="str">
        <f>HYPERLINK("http://www.ncbi.nlm.nih.gov/protein/XP_014158484.1","XP_014158484.1")</f>
        <v>XP_014158484.1</v>
      </c>
      <c r="BK369" s="2">
        <v>25</v>
      </c>
      <c r="BL369" s="2">
        <v>41</v>
      </c>
      <c r="BM369" s="2">
        <v>51</v>
      </c>
      <c r="BN369" s="2" t="s">
        <v>393</v>
      </c>
      <c r="BO369" s="9" t="str">
        <f>HYPERLINK(".\links\SWISSP\AGAP007892-PA-SWISSP.txt","Paired amphipathic helix protein Sin3a")</f>
        <v>Paired amphipathic helix protein Sin3a</v>
      </c>
      <c r="BP369" s="2" t="str">
        <f>HYPERLINK("http://www.uniprot.org/uniprot/Q60520","1E-148")</f>
        <v>1E-148</v>
      </c>
      <c r="BQ369" s="2" t="str">
        <f>HYPERLINK("http://www.uniprot.org/uniprot/Q60520#expression","Q60520")</f>
        <v>Q60520</v>
      </c>
      <c r="BR369" s="2">
        <v>57</v>
      </c>
      <c r="BS369" s="2">
        <v>73</v>
      </c>
      <c r="BT369" s="2">
        <v>37</v>
      </c>
      <c r="BU369" s="2" t="s">
        <v>662</v>
      </c>
      <c r="BV369" s="9" t="str">
        <f>HYPERLINK(".\links\FLYBASE\AGAP007892-PA-FLYBASE.txt","FBpp0308713")</f>
        <v>FBpp0308713</v>
      </c>
      <c r="BW369" s="2" t="str">
        <f>HYPERLINK("http://flybase.org/reports/FBgn0022764#alliance_summary_container","0.0")</f>
        <v>0.0</v>
      </c>
      <c r="BX369" s="2">
        <v>1747</v>
      </c>
      <c r="BY369" s="2">
        <v>57</v>
      </c>
      <c r="BZ369" s="2">
        <v>69</v>
      </c>
      <c r="CA369" s="2">
        <v>53</v>
      </c>
      <c r="CB369" s="9" t="str">
        <f>HYPERLINK(".\links\CDD\AGAP007892-PA-CDD.txt","SIN3, Histone deacetylase complex, SIN3 component")</f>
        <v>SIN3, Histone deacetylase complex, SIN3 component</v>
      </c>
      <c r="CC369" s="15">
        <v>9.0000000000000004E-72</v>
      </c>
      <c r="CD369" s="2">
        <v>40.799999999999997</v>
      </c>
      <c r="CE369" s="2" t="s">
        <v>3958</v>
      </c>
      <c r="CF369" s="2" t="s">
        <v>3959</v>
      </c>
      <c r="CG369" s="9" t="str">
        <f>HYPERLINK(".\links\KOG\AGAP007892-PA-KOG.txt","SIN3 component")</f>
        <v>SIN3 component</v>
      </c>
      <c r="CH369" s="15">
        <v>2.9999999999999998E-31</v>
      </c>
      <c r="CI369" s="2">
        <v>49.8</v>
      </c>
      <c r="CJ369" s="2" t="s">
        <v>3960</v>
      </c>
      <c r="CK369" s="2" t="s">
        <v>398</v>
      </c>
      <c r="CL369" s="9" t="str">
        <f>HYPERLINK(".\links\PFAM\AGAP007892-PA-PFAM.txt","Sin3a_C, C-terminal domain of Sin3a protein")</f>
        <v>Sin3a_C, C-terminal domain of Sin3a protein</v>
      </c>
      <c r="CM369" s="15">
        <v>1E-59</v>
      </c>
      <c r="CN369" s="2">
        <v>77.3</v>
      </c>
      <c r="CO369" s="2" t="s">
        <v>3961</v>
      </c>
      <c r="CP369" s="9" t="str">
        <f>HYPERLINK(".\links\SMART\AGAP007892-PA-SMART.txt","HDAC_interact, Histone deacetylase (HDAC) interacting")</f>
        <v>HDAC_interact, Histone deacetylase (HDAC) interacting</v>
      </c>
      <c r="CQ369" s="15">
        <v>2.9999999999999999E-46</v>
      </c>
      <c r="CR369" s="2">
        <v>100</v>
      </c>
      <c r="CS369" s="2" t="s">
        <v>3962</v>
      </c>
      <c r="CT369" s="2" t="s">
        <v>3956</v>
      </c>
      <c r="CU369" s="2" t="s">
        <v>3956</v>
      </c>
      <c r="CV369" s="2" t="s">
        <v>3956</v>
      </c>
      <c r="CW369" s="2" t="str">
        <f>HYPERLINK(".\links\pep\AGAP007892-PA-pep.txt","AGAP007892-PA")</f>
        <v>AGAP007892-PA</v>
      </c>
      <c r="CX369" s="2" t="s">
        <v>95</v>
      </c>
      <c r="CY369" s="2">
        <v>2215</v>
      </c>
      <c r="CZ369" s="2" t="s">
        <v>113</v>
      </c>
      <c r="DA369" s="2" t="s">
        <v>3963</v>
      </c>
      <c r="DB369" s="2">
        <v>0</v>
      </c>
      <c r="DC369" s="2">
        <v>1</v>
      </c>
      <c r="DD369" s="2" t="str">
        <f>HYPERLINK("https://www.kegg.jp/kegg-bin/search_pathway_text?map=aga&amp;keyword=AGAP007892&amp;mode=1&amp;viewImage=true","AGAP007892")</f>
        <v>AGAP007892</v>
      </c>
      <c r="DE369" s="2" t="s">
        <v>3952</v>
      </c>
      <c r="DF369" s="2" t="s">
        <v>3953</v>
      </c>
      <c r="DG369" s="2" t="s">
        <v>94</v>
      </c>
      <c r="DH369" s="2" t="str">
        <f>HYPERLINK("https://vectorbase.org/vectorbase/app/record/gene/AGAP007892","AGAP007892-RA")</f>
        <v>AGAP007892-RA</v>
      </c>
      <c r="DI369" s="2" t="s">
        <v>135</v>
      </c>
      <c r="DJ369" s="2">
        <v>8421</v>
      </c>
      <c r="DK369" s="2" t="str">
        <f>HYPERLINK(".\links\netoglyc\AGAP007892-PA-netoglyc.txt","17")</f>
        <v>17</v>
      </c>
      <c r="DL369" s="2">
        <v>18.7</v>
      </c>
      <c r="DM369" s="2">
        <v>11.1</v>
      </c>
      <c r="DN369" s="2">
        <v>4.8</v>
      </c>
      <c r="DO369" s="2" t="s">
        <v>104</v>
      </c>
      <c r="DP369" s="2" t="s">
        <v>3964</v>
      </c>
      <c r="DQ369" s="2" t="str">
        <f>HYPERLINK(".\links\Sigp\AGAP007892-PA-SigP.txt","CYT")</f>
        <v>CYT</v>
      </c>
      <c r="DR369" s="2" t="s">
        <v>102</v>
      </c>
      <c r="DS369" s="2">
        <v>232.839</v>
      </c>
      <c r="DT369" s="2">
        <v>8.4</v>
      </c>
      <c r="DU369" s="2" t="s">
        <v>102</v>
      </c>
      <c r="DV369" s="2" t="s">
        <v>102</v>
      </c>
      <c r="DW369" s="2" t="s">
        <v>482</v>
      </c>
      <c r="DX369" s="2">
        <v>2215</v>
      </c>
      <c r="DY369" s="12">
        <v>0</v>
      </c>
      <c r="DZ369" s="2" t="s">
        <v>102</v>
      </c>
      <c r="EA369" s="2" t="s">
        <v>102</v>
      </c>
      <c r="EB369" s="2" t="s">
        <v>102</v>
      </c>
      <c r="EC369" s="2" t="str">
        <f>HYPERLINK(".\links\gpi\AGAP007892-PA-gpi.txt","Y-NoSP")</f>
        <v>Y-NoSP</v>
      </c>
      <c r="ED369" s="2">
        <v>0.3</v>
      </c>
      <c r="EF369" s="2">
        <v>23</v>
      </c>
      <c r="EG369" s="2" t="str">
        <f>HYPERLINK(".\links\pep\AGAP007892-PA-sulf.txt","3")</f>
        <v>3</v>
      </c>
      <c r="EH369" s="2" t="s">
        <v>102</v>
      </c>
      <c r="EI369" s="2">
        <v>18.7358916478555</v>
      </c>
      <c r="EJ369" s="2">
        <v>4.7855530474040604</v>
      </c>
      <c r="EK369" s="2">
        <v>11.1060948081264</v>
      </c>
      <c r="EL369" s="2">
        <v>15.891647855530501</v>
      </c>
      <c r="EM369" s="2">
        <v>8</v>
      </c>
      <c r="EN369" s="2">
        <v>1</v>
      </c>
      <c r="EO369" s="2">
        <v>2</v>
      </c>
      <c r="EP369" s="2" t="s">
        <v>102</v>
      </c>
      <c r="EQ369" s="2" t="s">
        <v>102</v>
      </c>
      <c r="ER369" s="2" t="s">
        <v>102</v>
      </c>
      <c r="ES369" s="2" t="s">
        <v>102</v>
      </c>
      <c r="ET369" s="2" t="str">
        <f>HYPERLINK(".\links\REFSEQ-INVERTEBRATE\AGAP007892-PA-REFSEQ-INVERTEBRATE.txt","uncharacterized protein LOC118514103 isoform X2")</f>
        <v>uncharacterized protein LOC118514103 isoform X2</v>
      </c>
      <c r="EU369" s="2" t="str">
        <f>HYPERLINK("http://www.ncbi.nlm.nih.gov/sutils/blink.cgi?pid=XP_035916565.1","0.0")</f>
        <v>0.0</v>
      </c>
      <c r="EV369" s="2" t="str">
        <f>HYPERLINK("http://www.ncbi.nlm.nih.gov/protein/XP_035916565.1","XP_035916565.1")</f>
        <v>XP_035916565.1</v>
      </c>
      <c r="EW369" s="2">
        <v>69</v>
      </c>
      <c r="EX369" s="2">
        <v>76</v>
      </c>
      <c r="EY369" s="2">
        <v>103</v>
      </c>
      <c r="EZ369" s="2" t="s">
        <v>370</v>
      </c>
    </row>
    <row r="370" spans="1:156" x14ac:dyDescent="0.25">
      <c r="A370" s="2" t="s">
        <v>3965</v>
      </c>
      <c r="B370" s="2">
        <v>-0.299607487694593</v>
      </c>
      <c r="C370" s="2">
        <f t="shared" si="5"/>
        <v>0.81247341495401382</v>
      </c>
      <c r="D370" s="2">
        <v>7.4709508750414297</v>
      </c>
      <c r="E370" s="2">
        <v>8.9755286954076396</v>
      </c>
      <c r="F370" s="2">
        <v>2.7361939804125199E-3</v>
      </c>
      <c r="G370" s="2">
        <v>4.8323982079534297E-2</v>
      </c>
      <c r="H370" s="2" t="s">
        <v>93</v>
      </c>
      <c r="I370" s="2" t="s">
        <v>94</v>
      </c>
      <c r="J370" s="2" t="str">
        <f>HYPERLINK("https://vectorbase.org/vectorbase/app/record/gene/AGAP005826","AGAP005826-RA")</f>
        <v>AGAP005826-RA</v>
      </c>
      <c r="K370" s="2" t="str">
        <f>HYPERLINK(".\links\pep\AGAP005826-PA-pep.txt","AGAP005826-PA")</f>
        <v>AGAP005826-PA</v>
      </c>
      <c r="L370" s="12" t="s">
        <v>95</v>
      </c>
      <c r="M370" s="2">
        <v>941</v>
      </c>
      <c r="N370" s="2">
        <v>0</v>
      </c>
      <c r="O370" s="2">
        <v>2</v>
      </c>
      <c r="P370" s="2" t="s">
        <v>102</v>
      </c>
      <c r="Q370" s="9" t="s">
        <v>3966</v>
      </c>
      <c r="R370" s="2" t="s">
        <v>771</v>
      </c>
      <c r="S370" s="2" t="str">
        <f>HYPERLINK(".\links\SMART\AGAP005826-PA-SMART.txt","SMART")</f>
        <v>SMART</v>
      </c>
      <c r="T370" s="2">
        <v>3.9999999999999998E-20</v>
      </c>
      <c r="U370" s="2">
        <v>111.7</v>
      </c>
      <c r="V370" s="2" t="s">
        <v>3967</v>
      </c>
      <c r="W370" s="10" t="s">
        <v>3968</v>
      </c>
      <c r="X370" s="2" t="s">
        <v>771</v>
      </c>
      <c r="Y370" s="2" t="str">
        <f>HYPERLINK(".\links\UNIPROTKB\AGAP005826-PA-UNIPROTKB.txt","UNIPROTKB")</f>
        <v>UNIPROTKB</v>
      </c>
      <c r="Z370" s="2">
        <v>0</v>
      </c>
      <c r="AA370" s="2">
        <v>112</v>
      </c>
      <c r="AB370" s="13" t="str">
        <f>HYPERLINK(".\links\pep\AGAP005826-PA-sulf.txt","1")</f>
        <v>1</v>
      </c>
      <c r="AC370" s="13" t="str">
        <f>HYPERLINK(".\links\Sigp\AGAP005826-PA-SigP.txt","CYT")</f>
        <v>CYT</v>
      </c>
      <c r="AD370" s="2" t="s">
        <v>102</v>
      </c>
      <c r="AE370" s="2">
        <v>100.729</v>
      </c>
      <c r="AF370" s="2">
        <v>8.15</v>
      </c>
      <c r="AG370" s="2" t="s">
        <v>102</v>
      </c>
      <c r="AH370" s="2" t="s">
        <v>102</v>
      </c>
      <c r="AI370" s="2" t="s">
        <v>198</v>
      </c>
      <c r="AJ370" s="13">
        <v>0</v>
      </c>
      <c r="AK370" s="2" t="s">
        <v>102</v>
      </c>
      <c r="AL370" s="2" t="s">
        <v>102</v>
      </c>
      <c r="AM370" s="2" t="s">
        <v>102</v>
      </c>
      <c r="AN370" s="13" t="str">
        <f>HYPERLINK(".\links\gpi\AGAP005826-PA-gpi.txt","N")</f>
        <v>N</v>
      </c>
      <c r="AO370" s="14" t="str">
        <f>HYPERLINK(".\links\netoglyc\AGAP005826-PA-netoglyc.txt","6")</f>
        <v>6</v>
      </c>
      <c r="AP370" s="13">
        <v>19.399999999999999</v>
      </c>
      <c r="AQ370" s="2">
        <v>10.7</v>
      </c>
      <c r="AR370" s="2">
        <v>7.1</v>
      </c>
      <c r="AS370" s="2" t="s">
        <v>104</v>
      </c>
      <c r="AT370" s="9" t="str">
        <f>HYPERLINK(".\links\NR-LIGHT\AGAP005826-PA-NR-LIGHT.txt","AGAP005826-PA")</f>
        <v>AGAP005826-PA</v>
      </c>
      <c r="AU370" s="2" t="str">
        <f>HYPERLINK("http://www.ncbi.nlm.nih.gov/sutils/blink.cgi?pid=XP_315852.4","0.0")</f>
        <v>0.0</v>
      </c>
      <c r="AV370" s="2" t="str">
        <f>HYPERLINK("http://www.ncbi.nlm.nih.gov/protein/XP_315852.4","XP_315852.4")</f>
        <v>XP_315852.4</v>
      </c>
      <c r="AW370" s="2">
        <v>87</v>
      </c>
      <c r="AX370" s="2">
        <v>88</v>
      </c>
      <c r="AY370" s="2">
        <v>113</v>
      </c>
      <c r="AZ370" s="2" t="s">
        <v>105</v>
      </c>
      <c r="BA370" s="9" t="str">
        <f>HYPERLINK(".\links\REFSEQ-INVERTEBRATE\AGAP005826-PA-REFSEQ-INVERTEBRATE.txt","AGAP005826-PA")</f>
        <v>AGAP005826-PA</v>
      </c>
      <c r="BB370" s="2" t="str">
        <f>HYPERLINK("http://www.ncbi.nlm.nih.gov/sutils/blink.cgi?pid=XP_315852.4","0.0")</f>
        <v>0.0</v>
      </c>
      <c r="BC370" s="2" t="str">
        <f>HYPERLINK("http://www.ncbi.nlm.nih.gov/protein/XP_315852.4","XP_315852.4")</f>
        <v>XP_315852.4</v>
      </c>
      <c r="BD370" s="2">
        <v>87</v>
      </c>
      <c r="BE370" s="2">
        <v>88</v>
      </c>
      <c r="BF370" s="2">
        <v>113</v>
      </c>
      <c r="BG370" s="2" t="s">
        <v>105</v>
      </c>
      <c r="BH370" s="9" t="str">
        <f>HYPERLINK(".\links\REFSEQ-PROTOZOA\AGAP005826-PA-REFSEQ-PROTOZOA.txt","proteophosphoglycan 5")</f>
        <v>proteophosphoglycan 5</v>
      </c>
      <c r="BI370" s="2" t="str">
        <f>HYPERLINK("http://www.ncbi.nlm.nih.gov/sutils/blink.cgi?pid=XP_003722449.1","1E-014")</f>
        <v>1E-014</v>
      </c>
      <c r="BJ370" s="2" t="str">
        <f>HYPERLINK("http://www.ncbi.nlm.nih.gov/protein/XP_003722449.1","XP_003722449.1")</f>
        <v>XP_003722449.1</v>
      </c>
      <c r="BK370" s="2">
        <v>18</v>
      </c>
      <c r="BL370" s="2">
        <v>34</v>
      </c>
      <c r="BM370" s="2">
        <v>4</v>
      </c>
      <c r="BN370" s="2" t="s">
        <v>3969</v>
      </c>
      <c r="BO370" s="9" t="str">
        <f>HYPERLINK(".\links\SWISSP\AGAP005826-PA-SWISSP.txt","Protein daughter of sevenless")</f>
        <v>Protein daughter of sevenless</v>
      </c>
      <c r="BP370" s="2" t="str">
        <f>HYPERLINK("http://www.uniprot.org/uniprot/Q9VZZ9","1E-127")</f>
        <v>1E-127</v>
      </c>
      <c r="BQ370" s="2" t="str">
        <f>HYPERLINK("http://www.uniprot.org/uniprot/Q9VZZ9#expression","Q9VZZ9")</f>
        <v>Q9VZZ9</v>
      </c>
      <c r="BR370" s="2">
        <v>35</v>
      </c>
      <c r="BS370" s="2">
        <v>47</v>
      </c>
      <c r="BT370" s="2">
        <v>113</v>
      </c>
      <c r="BU370" s="2" t="s">
        <v>107</v>
      </c>
      <c r="BV370" s="9" t="str">
        <f>HYPERLINK(".\links\FLYBASE\AGAP005826-PA-FLYBASE.txt","FBpp0072803")</f>
        <v>FBpp0072803</v>
      </c>
      <c r="BW370" s="2" t="str">
        <f>HYPERLINK("http://flybase.org/reports/FBgn0016794#alliance_summary_container","1E-125")</f>
        <v>1E-125</v>
      </c>
      <c r="BX370" s="2">
        <v>878</v>
      </c>
      <c r="BY370" s="2">
        <v>34</v>
      </c>
      <c r="BZ370" s="2">
        <v>47</v>
      </c>
      <c r="CA370" s="2">
        <v>112</v>
      </c>
      <c r="CB370" s="9" t="str">
        <f>HYPERLINK(".\links\CDD\AGAP005826-PA-CDD.txt","PH_Gab2_2, Grb2-associated binding protein family pleckstrin homology (PH) domain")</f>
        <v>PH_Gab2_2, Grb2-associated binding protein family pleckstrin homology (PH) domain</v>
      </c>
      <c r="CC370" s="15">
        <v>8.0000000000000003E-62</v>
      </c>
      <c r="CD370" s="2">
        <v>100</v>
      </c>
      <c r="CE370" s="2" t="s">
        <v>3970</v>
      </c>
      <c r="CF370" s="2" t="s">
        <v>3971</v>
      </c>
      <c r="CG370" s="9" t="str">
        <f>HYPERLINK(".\links\KOG\AGAP005826-PA-KOG.txt","Predicted dual-specificity phosphatase")</f>
        <v>Predicted dual-specificity phosphatase</v>
      </c>
      <c r="CH370" s="15">
        <v>9.9999999999999995E-7</v>
      </c>
      <c r="CI370" s="2">
        <v>6.2</v>
      </c>
      <c r="CJ370" s="2" t="s">
        <v>3972</v>
      </c>
      <c r="CK370" s="2" t="s">
        <v>191</v>
      </c>
      <c r="CL370" s="9" t="str">
        <f>HYPERLINK(".\links\PFAM\AGAP005826-PA-PFAM.txt","PH, PH domain")</f>
        <v>PH, PH domain</v>
      </c>
      <c r="CM370" s="15">
        <v>5.0000000000000004E-19</v>
      </c>
      <c r="CN370" s="2">
        <v>111.4</v>
      </c>
      <c r="CO370" s="2" t="s">
        <v>3973</v>
      </c>
      <c r="CP370" s="9" t="str">
        <f>HYPERLINK(".\links\SMART\AGAP005826-PA-SMART.txt","PH, Pleckstrin homology domain")</f>
        <v>PH, Pleckstrin homology domain</v>
      </c>
      <c r="CQ370" s="15">
        <v>3.9999999999999998E-20</v>
      </c>
      <c r="CR370" s="2">
        <v>111.8</v>
      </c>
      <c r="CS370" s="2" t="s">
        <v>3974</v>
      </c>
      <c r="CT370" s="2" t="s">
        <v>3967</v>
      </c>
      <c r="CU370" s="2" t="s">
        <v>3967</v>
      </c>
      <c r="CV370" s="2" t="s">
        <v>3967</v>
      </c>
      <c r="CW370" s="2" t="str">
        <f>HYPERLINK(".\links\pep\AGAP005826-PA-pep.txt","AGAP005826-PA")</f>
        <v>AGAP005826-PA</v>
      </c>
      <c r="CX370" s="2" t="s">
        <v>95</v>
      </c>
      <c r="CY370" s="2">
        <v>941</v>
      </c>
      <c r="CZ370" s="2" t="s">
        <v>113</v>
      </c>
      <c r="DA370" s="2" t="s">
        <v>3975</v>
      </c>
      <c r="DB370" s="2">
        <v>0</v>
      </c>
      <c r="DC370" s="2">
        <v>2</v>
      </c>
      <c r="DD370" s="2" t="str">
        <f>HYPERLINK("https://www.kegg.jp/kegg-bin/search_pathway_text?map=aga&amp;keyword=AGAP005826&amp;mode=1&amp;viewImage=true","AGAP005826")</f>
        <v>AGAP005826</v>
      </c>
      <c r="DE370" s="2" t="s">
        <v>3965</v>
      </c>
      <c r="DF370" s="2" t="s">
        <v>93</v>
      </c>
      <c r="DG370" s="2" t="s">
        <v>94</v>
      </c>
      <c r="DH370" s="2" t="str">
        <f>HYPERLINK("https://vectorbase.org/vectorbase/app/record/gene/AGAP005826","AGAP005826-RA")</f>
        <v>AGAP005826-RA</v>
      </c>
      <c r="DI370" s="2" t="s">
        <v>135</v>
      </c>
      <c r="DJ370" s="2">
        <v>6332</v>
      </c>
      <c r="DK370" s="2" t="str">
        <f>HYPERLINK(".\links\netoglyc\AGAP005826-PA-netoglyc.txt","6")</f>
        <v>6</v>
      </c>
      <c r="DL370" s="2">
        <v>19.399999999999999</v>
      </c>
      <c r="DM370" s="2">
        <v>10.7</v>
      </c>
      <c r="DN370" s="2">
        <v>7.1</v>
      </c>
      <c r="DO370" s="2" t="s">
        <v>104</v>
      </c>
      <c r="DP370" s="2" t="s">
        <v>3976</v>
      </c>
      <c r="DQ370" s="2" t="str">
        <f>HYPERLINK(".\links\Sigp\AGAP005826-PA-SigP.txt","CYT")</f>
        <v>CYT</v>
      </c>
      <c r="DR370" s="2" t="s">
        <v>102</v>
      </c>
      <c r="DS370" s="2">
        <v>100.729</v>
      </c>
      <c r="DT370" s="2">
        <v>8.15</v>
      </c>
      <c r="DU370" s="2" t="s">
        <v>102</v>
      </c>
      <c r="DV370" s="2" t="s">
        <v>102</v>
      </c>
      <c r="DW370" s="2" t="s">
        <v>198</v>
      </c>
      <c r="DX370" s="2">
        <v>941</v>
      </c>
      <c r="DY370" s="12">
        <v>0</v>
      </c>
      <c r="DZ370" s="2" t="s">
        <v>102</v>
      </c>
      <c r="EA370" s="2" t="s">
        <v>102</v>
      </c>
      <c r="EB370" s="2" t="s">
        <v>102</v>
      </c>
      <c r="EC370" s="2" t="str">
        <f>HYPERLINK(".\links\gpi\AGAP005826-PA-gpi.txt","N")</f>
        <v>N</v>
      </c>
      <c r="ED370" s="2">
        <v>0.27</v>
      </c>
      <c r="EF370" s="2">
        <v>11</v>
      </c>
      <c r="EG370" s="2" t="str">
        <f>HYPERLINK(".\links\pep\AGAP005826-PA-sulf.txt","1")</f>
        <v>1</v>
      </c>
      <c r="EH370" s="2" t="s">
        <v>102</v>
      </c>
      <c r="EI370" s="2">
        <v>19.447396386822501</v>
      </c>
      <c r="EJ370" s="2">
        <v>7.1200850159404903</v>
      </c>
      <c r="EK370" s="2">
        <v>10.733262486716299</v>
      </c>
      <c r="EL370" s="2">
        <v>17.8533475026567</v>
      </c>
      <c r="EM370" s="2">
        <v>3</v>
      </c>
      <c r="EN370" s="2">
        <v>4</v>
      </c>
      <c r="EO370" s="2">
        <v>5</v>
      </c>
      <c r="EP370" s="2" t="s">
        <v>102</v>
      </c>
      <c r="EQ370" s="2" t="s">
        <v>102</v>
      </c>
      <c r="ER370" s="2" t="s">
        <v>102</v>
      </c>
      <c r="ES370" s="2" t="s">
        <v>102</v>
      </c>
      <c r="ET370" s="2" t="str">
        <f>HYPERLINK(".\links\REFSEQ-INVERTEBRATE\AGAP005826-PA-REFSEQ-INVERTEBRATE.txt","AGAP005826-PA")</f>
        <v>AGAP005826-PA</v>
      </c>
      <c r="EU370" s="2" t="str">
        <f>HYPERLINK("http://www.ncbi.nlm.nih.gov/sutils/blink.cgi?pid=XP_315852.4","0.0")</f>
        <v>0.0</v>
      </c>
      <c r="EV370" s="2" t="str">
        <f>HYPERLINK("http://www.ncbi.nlm.nih.gov/protein/XP_315852.4","XP_315852.4")</f>
        <v>XP_315852.4</v>
      </c>
      <c r="EW370" s="2">
        <v>87</v>
      </c>
      <c r="EX370" s="2">
        <v>88</v>
      </c>
      <c r="EY370" s="2">
        <v>113</v>
      </c>
      <c r="EZ370" s="2" t="s">
        <v>105</v>
      </c>
    </row>
    <row r="371" spans="1:156" x14ac:dyDescent="0.25">
      <c r="A371" s="2" t="s">
        <v>3977</v>
      </c>
      <c r="B371" s="2">
        <v>-0.29966465986480201</v>
      </c>
      <c r="C371" s="2">
        <f t="shared" si="5"/>
        <v>0.812441218303529</v>
      </c>
      <c r="D371" s="2">
        <v>7.26452311670052</v>
      </c>
      <c r="E371" s="2">
        <v>9.5300884496739595</v>
      </c>
      <c r="F371" s="2">
        <v>2.0213037840134999E-3</v>
      </c>
      <c r="G371" s="2">
        <v>4.3865623944505203E-2</v>
      </c>
      <c r="H371" s="2" t="s">
        <v>3978</v>
      </c>
      <c r="I371" s="2" t="s">
        <v>94</v>
      </c>
      <c r="J371" s="2" t="str">
        <f>HYPERLINK("https://vectorbase.org/vectorbase/app/record/gene/AGAP003560","AGAP003560-RA")</f>
        <v>AGAP003560-RA</v>
      </c>
      <c r="K371" s="2" t="str">
        <f>HYPERLINK(".\links\pep\AGAP003560-PA-pep.txt","AGAP003560-PA")</f>
        <v>AGAP003560-PA</v>
      </c>
      <c r="L371" s="12" t="s">
        <v>95</v>
      </c>
      <c r="M371" s="2">
        <v>1562</v>
      </c>
      <c r="N371" s="2">
        <v>0</v>
      </c>
      <c r="O371" s="2">
        <v>6</v>
      </c>
      <c r="P371" s="2" t="s">
        <v>3979</v>
      </c>
      <c r="Q371" s="9" t="s">
        <v>3980</v>
      </c>
      <c r="R371" s="2" t="s">
        <v>2281</v>
      </c>
      <c r="S371" s="2" t="str">
        <f>HYPERLINK(".\links\KOG\AGAP003560-PA-KOG.txt","KOG")</f>
        <v>KOG</v>
      </c>
      <c r="T371" s="2">
        <v>0</v>
      </c>
      <c r="U371" s="2">
        <v>103.9</v>
      </c>
      <c r="V371" s="2" t="s">
        <v>3981</v>
      </c>
      <c r="W371" s="10" t="s">
        <v>3982</v>
      </c>
      <c r="X371" s="2" t="s">
        <v>2281</v>
      </c>
      <c r="Y371" s="2" t="str">
        <f>HYPERLINK(".\links\REFSEQ-PROTOZOA\AGAP003560-PA-REFSEQ-PROTOZOA.txt","REFSEQ-PROTOZOA")</f>
        <v>REFSEQ-PROTOZOA</v>
      </c>
      <c r="Z371" s="2">
        <v>0</v>
      </c>
      <c r="AA371" s="2">
        <v>102</v>
      </c>
      <c r="AB371" s="13" t="str">
        <f>HYPERLINK(".\links\pep\AGAP003560-PA-sulf.txt","5")</f>
        <v>5</v>
      </c>
      <c r="AC371" s="13" t="str">
        <f>HYPERLINK(".\links\Sigp\AGAP003560-PA-SigP.txt","SIG")</f>
        <v>SIG</v>
      </c>
      <c r="AD371" s="2" t="s">
        <v>228</v>
      </c>
      <c r="AE371" s="2">
        <v>175.33600000000001</v>
      </c>
      <c r="AF371" s="2">
        <v>5.61</v>
      </c>
      <c r="AG371" s="2">
        <v>173.40600000000001</v>
      </c>
      <c r="AH371" s="2">
        <v>5.59</v>
      </c>
      <c r="AI371" s="2" t="s">
        <v>3983</v>
      </c>
      <c r="AJ371" s="13">
        <v>0</v>
      </c>
      <c r="AK371" s="2" t="s">
        <v>102</v>
      </c>
      <c r="AL371" s="2" t="s">
        <v>102</v>
      </c>
      <c r="AM371" s="2" t="s">
        <v>102</v>
      </c>
      <c r="AN371" s="13" t="str">
        <f>HYPERLINK(".\links\gpi\AGAP003560-PA-gpi.txt","N")</f>
        <v>N</v>
      </c>
      <c r="AO371" s="14" t="str">
        <f>HYPERLINK(".\links\netoglyc\AGAP003560-PA-netoglyc.txt","1")</f>
        <v>1</v>
      </c>
      <c r="AP371" s="13">
        <v>12.5</v>
      </c>
      <c r="AQ371" s="2">
        <v>6</v>
      </c>
      <c r="AR371" s="2">
        <v>4.3</v>
      </c>
      <c r="AS371" s="2" t="s">
        <v>104</v>
      </c>
      <c r="AT371" s="9" t="str">
        <f>HYPERLINK(".\links\NR-LIGHT\AGAP003560-PA-NR-LIGHT.txt","AGAP003560-PA")</f>
        <v>AGAP003560-PA</v>
      </c>
      <c r="AU371" s="2" t="str">
        <f>HYPERLINK("http://www.ncbi.nlm.nih.gov/sutils/blink.cgi?pid=XP_313307.5","0.0")</f>
        <v>0.0</v>
      </c>
      <c r="AV371" s="2" t="str">
        <f>HYPERLINK("http://www.ncbi.nlm.nih.gov/protein/XP_313307.5","XP_313307.5")</f>
        <v>XP_313307.5</v>
      </c>
      <c r="AW371" s="2">
        <v>100</v>
      </c>
      <c r="AX371" s="2">
        <v>100</v>
      </c>
      <c r="AY371" s="2">
        <v>100</v>
      </c>
      <c r="AZ371" s="2" t="s">
        <v>105</v>
      </c>
      <c r="BA371" s="9" t="str">
        <f>HYPERLINK(".\links\REFSEQ-INVERTEBRATE\AGAP003560-PA-REFSEQ-INVERTEBRATE.txt","AGAP003560-PA")</f>
        <v>AGAP003560-PA</v>
      </c>
      <c r="BB371" s="2" t="str">
        <f>HYPERLINK("http://www.ncbi.nlm.nih.gov/sutils/blink.cgi?pid=XP_313307.5","0.0")</f>
        <v>0.0</v>
      </c>
      <c r="BC371" s="2" t="str">
        <f>HYPERLINK("http://www.ncbi.nlm.nih.gov/protein/XP_313307.5","XP_313307.5")</f>
        <v>XP_313307.5</v>
      </c>
      <c r="BD371" s="2">
        <v>100</v>
      </c>
      <c r="BE371" s="2">
        <v>100</v>
      </c>
      <c r="BF371" s="2">
        <v>100</v>
      </c>
      <c r="BG371" s="2" t="s">
        <v>105</v>
      </c>
      <c r="BH371" s="9" t="str">
        <f>HYPERLINK(".\links\REFSEQ-PROTOZOA\AGAP003560-PA-REFSEQ-PROTOZOA.txt","hypothetical protein GUITHDRAFT_99661")</f>
        <v>hypothetical protein GUITHDRAFT_99661</v>
      </c>
      <c r="BI371" s="2" t="str">
        <f>HYPERLINK("http://www.ncbi.nlm.nih.gov/sutils/blink.cgi?pid=XP_005842001.1","0.0")</f>
        <v>0.0</v>
      </c>
      <c r="BJ371" s="2" t="str">
        <f>HYPERLINK("http://www.ncbi.nlm.nih.gov/protein/XP_005842001.1","XP_005842001.1")</f>
        <v>XP_005842001.1</v>
      </c>
      <c r="BK371" s="2">
        <v>33</v>
      </c>
      <c r="BL371" s="2">
        <v>50</v>
      </c>
      <c r="BM371" s="2">
        <v>105</v>
      </c>
      <c r="BN371" s="2" t="s">
        <v>279</v>
      </c>
      <c r="BO371" s="9" t="str">
        <f>HYPERLINK(".\links\SWISSP\AGAP003560-PA-SWISSP.txt","UDP-glucose:glycoprotein glucosyltransferase")</f>
        <v>UDP-glucose:glycoprotein glucosyltransferase</v>
      </c>
      <c r="BP371" s="2" t="str">
        <f>HYPERLINK("http://www.uniprot.org/uniprot/Q09332","0.0")</f>
        <v>0.0</v>
      </c>
      <c r="BQ371" s="2" t="str">
        <f>HYPERLINK("http://www.uniprot.org/uniprot/Q09332#expression","Q09332")</f>
        <v>Q09332</v>
      </c>
      <c r="BR371" s="2">
        <v>57</v>
      </c>
      <c r="BS371" s="2">
        <v>74</v>
      </c>
      <c r="BT371" s="2">
        <v>99</v>
      </c>
      <c r="BU371" s="2" t="s">
        <v>107</v>
      </c>
      <c r="BV371" s="9" t="str">
        <f>HYPERLINK(".\links\FLYBASE\AGAP003560-PA-FLYBASE.txt","FBpp0074831")</f>
        <v>FBpp0074831</v>
      </c>
      <c r="BW371" s="2" t="str">
        <f>HYPERLINK("http://flybase.org/reports/FBgn0014075#alliance_summary_container","0.0")</f>
        <v>0.0</v>
      </c>
      <c r="BX371" s="2">
        <v>1548</v>
      </c>
      <c r="BY371" s="2">
        <v>57</v>
      </c>
      <c r="BZ371" s="2">
        <v>74</v>
      </c>
      <c r="CA371" s="2">
        <v>99</v>
      </c>
      <c r="CB371" s="9" t="str">
        <f>HYPERLINK(".\links\CDD\AGAP003560-PA-CDD.txt","UDP-g_GGTase, UDP-glucose:Glycoprotein Glucosyltransferase")</f>
        <v>UDP-g_GGTase, UDP-glucose:Glycoprotein Glucosyltransferase</v>
      </c>
      <c r="CC371" s="15">
        <v>0</v>
      </c>
      <c r="CD371" s="2">
        <v>109.5</v>
      </c>
      <c r="CE371" s="2" t="s">
        <v>3984</v>
      </c>
      <c r="CF371" s="2" t="s">
        <v>3985</v>
      </c>
      <c r="CG371" s="9" t="str">
        <f>HYPERLINK(".\links\KOG\AGAP003560-PA-KOG.txt","UDP-glucose:glycoprotein glucosyltransferase")</f>
        <v>UDP-glucose:glycoprotein glucosyltransferase</v>
      </c>
      <c r="CH371" s="15">
        <v>0</v>
      </c>
      <c r="CI371" s="2">
        <v>103.9</v>
      </c>
      <c r="CJ371" s="2" t="s">
        <v>3986</v>
      </c>
      <c r="CK371" s="2" t="s">
        <v>2307</v>
      </c>
      <c r="CL371" s="9" t="str">
        <f>HYPERLINK(".\links\PFAM\AGAP003560-PA-PFAM.txt","UDP-g_GGTase, UDP-glucose:Glycoprotein Glucosyltransferase")</f>
        <v>UDP-g_GGTase, UDP-glucose:Glycoprotein Glucosyltransferase</v>
      </c>
      <c r="CM371" s="15">
        <v>0</v>
      </c>
      <c r="CN371" s="2">
        <v>109.5</v>
      </c>
      <c r="CO371" s="2" t="s">
        <v>3984</v>
      </c>
      <c r="CP371" s="9" t="str">
        <f>HYPERLINK(".\links\SMART\AGAP003560-PA-SMART.txt","LYZ1, Alpha-lactalbumin / lysozyme C")</f>
        <v>LYZ1, Alpha-lactalbumin / lysozyme C</v>
      </c>
      <c r="CQ371" s="15">
        <v>1.5</v>
      </c>
      <c r="CR371" s="2">
        <v>15</v>
      </c>
      <c r="CS371" s="2" t="s">
        <v>269</v>
      </c>
      <c r="CT371" s="2" t="s">
        <v>3981</v>
      </c>
      <c r="CU371" s="2" t="s">
        <v>3981</v>
      </c>
      <c r="CV371" s="2" t="s">
        <v>3981</v>
      </c>
      <c r="CW371" s="2" t="str">
        <f>HYPERLINK(".\links\pep\AGAP003560-PA-pep.txt","AGAP003560-PA")</f>
        <v>AGAP003560-PA</v>
      </c>
      <c r="CX371" s="2" t="s">
        <v>95</v>
      </c>
      <c r="CY371" s="2">
        <v>1562</v>
      </c>
      <c r="CZ371" s="2" t="s">
        <v>113</v>
      </c>
      <c r="DA371" s="2" t="s">
        <v>3987</v>
      </c>
      <c r="DB371" s="2">
        <v>0</v>
      </c>
      <c r="DC371" s="2">
        <v>6</v>
      </c>
      <c r="DD371" s="2" t="str">
        <f>HYPERLINK("https://www.kegg.jp/kegg-bin/search_pathway_text?map=aga&amp;keyword=AGAP003560&amp;mode=1&amp;viewImage=true","AGAP003560")</f>
        <v>AGAP003560</v>
      </c>
      <c r="DE371" s="2" t="s">
        <v>3977</v>
      </c>
      <c r="DF371" s="2" t="s">
        <v>3978</v>
      </c>
      <c r="DG371" s="2" t="s">
        <v>94</v>
      </c>
      <c r="DH371" s="2" t="str">
        <f>HYPERLINK("https://vectorbase.org/vectorbase/app/record/gene/AGAP003560","AGAP003560-RA")</f>
        <v>AGAP003560-RA</v>
      </c>
      <c r="DI371" s="2" t="s">
        <v>115</v>
      </c>
      <c r="DJ371" s="2">
        <v>5280</v>
      </c>
      <c r="DK371" s="2" t="str">
        <f>HYPERLINK(".\links\netoglyc\AGAP003560-PA-netoglyc.txt","1")</f>
        <v>1</v>
      </c>
      <c r="DL371" s="2">
        <v>12.5</v>
      </c>
      <c r="DM371" s="2">
        <v>6</v>
      </c>
      <c r="DN371" s="2">
        <v>4.3</v>
      </c>
      <c r="DO371" s="2" t="s">
        <v>104</v>
      </c>
      <c r="DP371" s="2" t="s">
        <v>3988</v>
      </c>
      <c r="DQ371" s="2" t="str">
        <f>HYPERLINK(".\links\Sigp\AGAP003560-PA-SigP.txt","SIG")</f>
        <v>SIG</v>
      </c>
      <c r="DR371" s="2" t="s">
        <v>228</v>
      </c>
      <c r="DS371" s="2">
        <v>175.33600000000001</v>
      </c>
      <c r="DT371" s="2">
        <v>5.61</v>
      </c>
      <c r="DU371" s="2">
        <v>173.40600000000001</v>
      </c>
      <c r="DV371" s="2">
        <v>5.59</v>
      </c>
      <c r="DW371" s="2" t="s">
        <v>3983</v>
      </c>
      <c r="DX371" s="2">
        <v>1562</v>
      </c>
      <c r="DY371" s="12">
        <v>0</v>
      </c>
      <c r="DZ371" s="2" t="s">
        <v>102</v>
      </c>
      <c r="EA371" s="2" t="s">
        <v>102</v>
      </c>
      <c r="EB371" s="2" t="s">
        <v>102</v>
      </c>
      <c r="EC371" s="2" t="str">
        <f>HYPERLINK(".\links\gpi\AGAP003560-PA-gpi.txt","N")</f>
        <v>N</v>
      </c>
      <c r="ED371" s="2">
        <v>0.14000000000000001</v>
      </c>
      <c r="EF371" s="2">
        <v>12</v>
      </c>
      <c r="EG371" s="2" t="str">
        <f>HYPERLINK(".\links\pep\AGAP003560-PA-sulf.txt","5")</f>
        <v>5</v>
      </c>
      <c r="EH371" s="2" t="s">
        <v>102</v>
      </c>
      <c r="EI371" s="2">
        <v>12.4839948783611</v>
      </c>
      <c r="EJ371" s="2">
        <v>4.2893725992317497</v>
      </c>
      <c r="EK371" s="2">
        <v>6.0179257362355996</v>
      </c>
      <c r="EL371" s="2">
        <v>10.3072983354673</v>
      </c>
      <c r="EM371" s="2" t="s">
        <v>102</v>
      </c>
      <c r="EN371" s="2">
        <v>1</v>
      </c>
      <c r="EO371" s="2">
        <v>6</v>
      </c>
      <c r="EP371" s="2" t="s">
        <v>102</v>
      </c>
      <c r="EQ371" s="2" t="s">
        <v>102</v>
      </c>
      <c r="ER371" s="2" t="s">
        <v>102</v>
      </c>
      <c r="ES371" s="2" t="s">
        <v>102</v>
      </c>
      <c r="ET371" s="2" t="str">
        <f>HYPERLINK(".\links\REFSEQ-INVERTEBRATE\AGAP003560-PA-REFSEQ-INVERTEBRATE.txt","AGAP003560-PA")</f>
        <v>AGAP003560-PA</v>
      </c>
      <c r="EU371" s="2" t="str">
        <f>HYPERLINK("http://www.ncbi.nlm.nih.gov/sutils/blink.cgi?pid=XP_313307.5","0.0")</f>
        <v>0.0</v>
      </c>
      <c r="EV371" s="2" t="str">
        <f>HYPERLINK("http://www.ncbi.nlm.nih.gov/protein/XP_313307.5","XP_313307.5")</f>
        <v>XP_313307.5</v>
      </c>
      <c r="EW371" s="2">
        <v>100</v>
      </c>
      <c r="EX371" s="2">
        <v>100</v>
      </c>
      <c r="EY371" s="2">
        <v>100</v>
      </c>
      <c r="EZ371" s="2" t="s">
        <v>105</v>
      </c>
    </row>
    <row r="372" spans="1:156" x14ac:dyDescent="0.25">
      <c r="A372" s="2" t="s">
        <v>3989</v>
      </c>
      <c r="B372" s="2">
        <v>-0.30046519354608803</v>
      </c>
      <c r="C372" s="2">
        <f t="shared" si="5"/>
        <v>0.81199052974598862</v>
      </c>
      <c r="D372" s="2">
        <v>7.2782803941331897</v>
      </c>
      <c r="E372" s="2">
        <v>8.9090973955086401</v>
      </c>
      <c r="F372" s="2">
        <v>2.8375348098956801E-3</v>
      </c>
      <c r="G372" s="2">
        <v>4.9145703956980501E-2</v>
      </c>
      <c r="H372" s="2" t="s">
        <v>93</v>
      </c>
      <c r="I372" s="2" t="s">
        <v>94</v>
      </c>
      <c r="J372" s="2" t="str">
        <f>HYPERLINK("https://vectorbase.org/vectorbase/app/record/gene/AGAP001418","AGAP001418-RA")</f>
        <v>AGAP001418-RA</v>
      </c>
      <c r="K372" s="2" t="str">
        <f>HYPERLINK(".\links\pep\AGAP001418-PA-pep.txt","AGAP001418-PA")</f>
        <v>AGAP001418-PA</v>
      </c>
      <c r="L372" s="12" t="s">
        <v>95</v>
      </c>
      <c r="M372" s="2">
        <v>806</v>
      </c>
      <c r="N372" s="2">
        <v>0</v>
      </c>
      <c r="O372" s="2">
        <v>3</v>
      </c>
      <c r="P372" s="2" t="s">
        <v>102</v>
      </c>
      <c r="Q372" s="9" t="s">
        <v>3990</v>
      </c>
      <c r="R372" s="2" t="s">
        <v>1875</v>
      </c>
      <c r="S372" s="2" t="str">
        <f>HYPERLINK(".\links\REFSEQ-INVERTEBRATE\AGAP001418-PA-REFSEQ-INVERTEBRATE.txt","REFSEQ-INVERTEBRATE")</f>
        <v>REFSEQ-INVERTEBRATE</v>
      </c>
      <c r="T372" s="2">
        <v>0</v>
      </c>
      <c r="U372" s="2">
        <v>100</v>
      </c>
      <c r="V372" s="2" t="s">
        <v>3991</v>
      </c>
      <c r="W372" s="10" t="s">
        <v>3992</v>
      </c>
      <c r="X372" s="2" t="s">
        <v>3993</v>
      </c>
      <c r="Y372" s="2" t="str">
        <f>HYPERLINK(".\links\REFSEQVERTEBRATE95\AGAP001418-PA-REFSEQVERTEBRATE95.txt","REFSEQVERTEBRATE95")</f>
        <v>REFSEQVERTEBRATE95</v>
      </c>
      <c r="Z372" s="15">
        <v>3.0000000000000001E-27</v>
      </c>
      <c r="AA372" s="2">
        <v>43</v>
      </c>
      <c r="AB372" s="13" t="str">
        <f>HYPERLINK(".\links\pep\AGAP001418-PA-sulf.txt","3")</f>
        <v>3</v>
      </c>
      <c r="AC372" s="13" t="str">
        <f>HYPERLINK(".\links\Sigp\AGAP001418-PA-SigP.txt","SIG")</f>
        <v>SIG</v>
      </c>
      <c r="AD372" s="2" t="s">
        <v>537</v>
      </c>
      <c r="AE372" s="2">
        <v>94.308999999999997</v>
      </c>
      <c r="AF372" s="2">
        <v>7.96</v>
      </c>
      <c r="AG372" s="2">
        <v>92.096000000000004</v>
      </c>
      <c r="AH372" s="2">
        <v>7.8</v>
      </c>
      <c r="AI372" s="2" t="s">
        <v>3994</v>
      </c>
      <c r="AJ372" s="13" t="str">
        <f>HYPERLINK(".\links\tmhmm\AGAP001418-PA-tmhmm.txt","1")</f>
        <v>1</v>
      </c>
      <c r="AK372" s="2">
        <v>2.7</v>
      </c>
      <c r="AL372" s="2">
        <v>96.5</v>
      </c>
      <c r="AM372" s="2">
        <v>0.7</v>
      </c>
      <c r="AN372" s="13" t="str">
        <f>HYPERLINK(".\links\gpi\AGAP001418-PA-gpi.txt","Y")</f>
        <v>Y</v>
      </c>
      <c r="AO372" s="14" t="str">
        <f>HYPERLINK(".\links\netoglyc\AGAP001418-PA-netoglyc.txt","0")</f>
        <v>0</v>
      </c>
      <c r="AP372" s="13">
        <v>10.3</v>
      </c>
      <c r="AQ372" s="2">
        <v>5.3</v>
      </c>
      <c r="AR372" s="2">
        <v>5.8</v>
      </c>
      <c r="AS372" s="2">
        <v>0.7</v>
      </c>
      <c r="AT372" s="9" t="str">
        <f>HYPERLINK(".\links\NR-LIGHT\AGAP001418-PA-NR-LIGHT.txt","AGAP001418-PA")</f>
        <v>AGAP001418-PA</v>
      </c>
      <c r="AU372" s="2" t="str">
        <f>HYPERLINK("http://www.ncbi.nlm.nih.gov/sutils/blink.cgi?pid=XP_321715.4","0.0")</f>
        <v>0.0</v>
      </c>
      <c r="AV372" s="2" t="str">
        <f>HYPERLINK("http://www.ncbi.nlm.nih.gov/protein/XP_321715.4","XP_321715.4")</f>
        <v>XP_321715.4</v>
      </c>
      <c r="AW372" s="2">
        <v>100</v>
      </c>
      <c r="AX372" s="2">
        <v>100</v>
      </c>
      <c r="AY372" s="2">
        <v>100</v>
      </c>
      <c r="AZ372" s="2" t="s">
        <v>105</v>
      </c>
      <c r="BA372" s="9" t="str">
        <f>HYPERLINK(".\links\REFSEQ-INVERTEBRATE\AGAP001418-PA-REFSEQ-INVERTEBRATE.txt","AGAP001418-PA")</f>
        <v>AGAP001418-PA</v>
      </c>
      <c r="BB372" s="2" t="str">
        <f>HYPERLINK("http://www.ncbi.nlm.nih.gov/sutils/blink.cgi?pid=XP_321715.4","0.0")</f>
        <v>0.0</v>
      </c>
      <c r="BC372" s="2" t="str">
        <f>HYPERLINK("http://www.ncbi.nlm.nih.gov/protein/XP_321715.4","XP_321715.4")</f>
        <v>XP_321715.4</v>
      </c>
      <c r="BD372" s="2">
        <v>100</v>
      </c>
      <c r="BE372" s="2">
        <v>100</v>
      </c>
      <c r="BF372" s="2">
        <v>100</v>
      </c>
      <c r="BG372" s="2" t="s">
        <v>105</v>
      </c>
      <c r="BH372" s="9" t="str">
        <f>HYPERLINK(".\links\REFSEQ-PROTOZOA\AGAP001418-PA-REFSEQ-PROTOZOA.txt","calcium binding egf domain containing protein")</f>
        <v>calcium binding egf domain containing protein</v>
      </c>
      <c r="BI372" s="2" t="str">
        <f>HYPERLINK("http://www.ncbi.nlm.nih.gov/sutils/blink.cgi?pid=XP_004337908.1","0.27")</f>
        <v>0.27</v>
      </c>
      <c r="BJ372" s="2" t="str">
        <f>HYPERLINK("http://www.ncbi.nlm.nih.gov/protein/XP_004337908.1","XP_004337908.1")</f>
        <v>XP_004337908.1</v>
      </c>
      <c r="BK372" s="2">
        <v>35</v>
      </c>
      <c r="BL372" s="2">
        <v>47</v>
      </c>
      <c r="BM372" s="2">
        <v>6</v>
      </c>
      <c r="BN372" s="2" t="s">
        <v>600</v>
      </c>
      <c r="BO372" s="9" t="str">
        <f>HYPERLINK(".\links\SWISSP\AGAP001418-PA-SWISSP.txt","Probable G-protein coupled receptor 158")</f>
        <v>Probable G-protein coupled receptor 158</v>
      </c>
      <c r="BP372" s="2" t="str">
        <f>HYPERLINK("http://www.uniprot.org/uniprot/D4A6L0","1E-013")</f>
        <v>1E-013</v>
      </c>
      <c r="BQ372" s="2" t="str">
        <f>HYPERLINK("http://www.uniprot.org/uniprot/D4A6L0#expression","D4A6L0")</f>
        <v>D4A6L0</v>
      </c>
      <c r="BR372" s="2">
        <v>38</v>
      </c>
      <c r="BS372" s="2">
        <v>57</v>
      </c>
      <c r="BT372" s="2">
        <v>9</v>
      </c>
      <c r="BU372" s="2" t="s">
        <v>305</v>
      </c>
      <c r="BV372" s="9" t="str">
        <f>HYPERLINK(".\links\FLYBASE\AGAP001418-PA-FLYBASE.txt","FBpp0291398")</f>
        <v>FBpp0291398</v>
      </c>
      <c r="BW372" s="2" t="str">
        <f>HYPERLINK("http://flybase.org/reports/FBgn0051195#alliance_summary_container","0.0")</f>
        <v>0.0</v>
      </c>
      <c r="BX372" s="2">
        <v>807</v>
      </c>
      <c r="BY372" s="2">
        <v>76</v>
      </c>
      <c r="BZ372" s="2">
        <v>87</v>
      </c>
      <c r="CA372" s="2">
        <v>99</v>
      </c>
      <c r="CB372" s="9" t="str">
        <f>HYPERLINK(".\links\CDD\AGAP001418-PA-CDD.txt","DUF3505, Protein of unknown function (DUF3505)")</f>
        <v>DUF3505, Protein of unknown function (DUF3505)</v>
      </c>
      <c r="CC372" s="15">
        <v>2</v>
      </c>
      <c r="CD372" s="2">
        <v>76.8</v>
      </c>
      <c r="CE372" s="2" t="s">
        <v>3995</v>
      </c>
      <c r="CF372" s="2" t="s">
        <v>3996</v>
      </c>
      <c r="CG372" s="9" t="str">
        <f>HYPERLINK(".\links\KOG\AGAP001418-PA-KOG.txt","Fibrillins and related proteins containing Ca2+-binding EGF-like domains")</f>
        <v>Fibrillins and related proteins containing Ca2+-binding EGF-like domains</v>
      </c>
      <c r="CH372" s="15">
        <v>0.38</v>
      </c>
      <c r="CI372" s="2">
        <v>13.1</v>
      </c>
      <c r="CJ372" s="2" t="s">
        <v>3997</v>
      </c>
      <c r="CK372" s="2" t="s">
        <v>173</v>
      </c>
      <c r="CL372" s="9" t="str">
        <f>HYPERLINK(".\links\PFAM\AGAP001418-PA-PFAM.txt","DUF3505, Protein of unknown function (DUF3505)")</f>
        <v>DUF3505, Protein of unknown function (DUF3505)</v>
      </c>
      <c r="CM372" s="15">
        <v>0.38</v>
      </c>
      <c r="CN372" s="2">
        <v>76.8</v>
      </c>
      <c r="CO372" s="2" t="s">
        <v>3995</v>
      </c>
      <c r="CP372" s="9" t="str">
        <f>HYPERLINK(".\links\SMART\AGAP001418-PA-SMART.txt","EGF, Epidermal growth factor-like domain")</f>
        <v>EGF, Epidermal growth factor-like domain</v>
      </c>
      <c r="CQ372" s="15">
        <v>3.6999999999999998E-2</v>
      </c>
      <c r="CR372" s="2">
        <v>37.1</v>
      </c>
      <c r="CS372" s="2" t="s">
        <v>3998</v>
      </c>
      <c r="CT372" s="2" t="s">
        <v>3991</v>
      </c>
      <c r="CU372" s="2" t="s">
        <v>3991</v>
      </c>
      <c r="CV372" s="2" t="s">
        <v>3991</v>
      </c>
      <c r="CW372" s="2" t="str">
        <f>HYPERLINK(".\links\pep\AGAP001418-PA-pep.txt","AGAP001418-PA")</f>
        <v>AGAP001418-PA</v>
      </c>
      <c r="CX372" s="2" t="s">
        <v>95</v>
      </c>
      <c r="CY372" s="2">
        <v>806</v>
      </c>
      <c r="CZ372" s="2" t="s">
        <v>113</v>
      </c>
      <c r="DA372" s="2" t="s">
        <v>3999</v>
      </c>
      <c r="DB372" s="2">
        <v>0</v>
      </c>
      <c r="DC372" s="2">
        <v>3</v>
      </c>
      <c r="DD372" s="2" t="str">
        <f>HYPERLINK("https://www.kegg.jp/kegg-bin/search_pathway_text?map=aga&amp;keyword=AGAP001418&amp;mode=1&amp;viewImage=true","AGAP001418")</f>
        <v>AGAP001418</v>
      </c>
      <c r="DE372" s="2" t="s">
        <v>3989</v>
      </c>
      <c r="DF372" s="2" t="s">
        <v>93</v>
      </c>
      <c r="DG372" s="2" t="s">
        <v>94</v>
      </c>
      <c r="DH372" s="2" t="str">
        <f>HYPERLINK("https://vectorbase.org/vectorbase/app/record/gene/AGAP001418","AGAP001418-RA")</f>
        <v>AGAP001418-RA</v>
      </c>
      <c r="DI372" s="2" t="s">
        <v>90</v>
      </c>
      <c r="DJ372" s="2">
        <v>3125</v>
      </c>
      <c r="DK372" s="2" t="str">
        <f>HYPERLINK(".\links\netoglyc\AGAP001418-PA-netoglyc.txt","0")</f>
        <v>0</v>
      </c>
      <c r="DL372" s="2">
        <v>10.3</v>
      </c>
      <c r="DM372" s="2">
        <v>5.3</v>
      </c>
      <c r="DN372" s="2">
        <v>5.8</v>
      </c>
      <c r="DO372" s="2">
        <v>0.7</v>
      </c>
      <c r="DP372" s="2" t="s">
        <v>102</v>
      </c>
      <c r="DQ372" s="2" t="str">
        <f>HYPERLINK(".\links\Sigp\AGAP001418-PA-SigP.txt","SIG")</f>
        <v>SIG</v>
      </c>
      <c r="DR372" s="2" t="s">
        <v>537</v>
      </c>
      <c r="DS372" s="2">
        <v>94.308999999999997</v>
      </c>
      <c r="DT372" s="2">
        <v>7.96</v>
      </c>
      <c r="DU372" s="2">
        <v>92.096000000000004</v>
      </c>
      <c r="DV372" s="2">
        <v>7.8</v>
      </c>
      <c r="DW372" s="2" t="s">
        <v>3994</v>
      </c>
      <c r="DX372" s="2">
        <v>806</v>
      </c>
      <c r="DY372" s="12" t="str">
        <f>HYPERLINK(".\links\tmhmm\AGAP001418-PA-tmhmm.txt","1")</f>
        <v>1</v>
      </c>
      <c r="DZ372" s="2">
        <v>2.7</v>
      </c>
      <c r="EA372" s="2">
        <v>96.5</v>
      </c>
      <c r="EB372" s="2">
        <v>0.7</v>
      </c>
      <c r="EC372" s="2" t="str">
        <f>HYPERLINK(".\links\gpi\AGAP001418-PA-gpi.txt","Y-NoSP")</f>
        <v>Y-NoSP</v>
      </c>
      <c r="ED372" s="2">
        <v>0.24</v>
      </c>
      <c r="EF372" s="2">
        <v>17</v>
      </c>
      <c r="EG372" s="2" t="str">
        <f>HYPERLINK(".\links\pep\AGAP001418-PA-sulf.txt","3")</f>
        <v>3</v>
      </c>
      <c r="EH372" s="2" t="s">
        <v>102</v>
      </c>
      <c r="EI372" s="2">
        <v>10.297766749379701</v>
      </c>
      <c r="EJ372" s="2">
        <v>5.8312655086848597</v>
      </c>
      <c r="EK372" s="2">
        <v>5.3349875930521096</v>
      </c>
      <c r="EL372" s="2">
        <v>11.166253101737</v>
      </c>
      <c r="EM372" s="2">
        <v>2</v>
      </c>
      <c r="EN372" s="2">
        <v>3</v>
      </c>
      <c r="EO372" s="2">
        <v>3</v>
      </c>
      <c r="EP372" s="2" t="s">
        <v>102</v>
      </c>
      <c r="EQ372" s="2" t="s">
        <v>102</v>
      </c>
      <c r="ER372" s="2" t="s">
        <v>102</v>
      </c>
      <c r="ES372" s="2" t="s">
        <v>102</v>
      </c>
      <c r="ET372" s="2" t="str">
        <f>HYPERLINK(".\links\REFSEQ-INVERTEBRATE\AGAP001418-PA-REFSEQ-INVERTEBRATE.txt","AGAP001418-PA")</f>
        <v>AGAP001418-PA</v>
      </c>
      <c r="EU372" s="2" t="str">
        <f>HYPERLINK("http://www.ncbi.nlm.nih.gov/sutils/blink.cgi?pid=XP_321715.4","0.0")</f>
        <v>0.0</v>
      </c>
      <c r="EV372" s="2" t="str">
        <f>HYPERLINK("http://www.ncbi.nlm.nih.gov/protein/XP_321715.4","XP_321715.4")</f>
        <v>XP_321715.4</v>
      </c>
      <c r="EW372" s="2">
        <v>100</v>
      </c>
      <c r="EX372" s="2">
        <v>100</v>
      </c>
      <c r="EY372" s="2">
        <v>100</v>
      </c>
      <c r="EZ372" s="2" t="s">
        <v>105</v>
      </c>
    </row>
    <row r="373" spans="1:156" x14ac:dyDescent="0.25">
      <c r="A373" s="2" t="s">
        <v>4000</v>
      </c>
      <c r="B373" s="2">
        <v>-0.30159647039939003</v>
      </c>
      <c r="C373" s="2">
        <f t="shared" si="5"/>
        <v>0.81135406395881837</v>
      </c>
      <c r="D373" s="2">
        <v>5.9124395559688496</v>
      </c>
      <c r="E373" s="2">
        <v>10.7221437569443</v>
      </c>
      <c r="F373" s="2">
        <v>1.05860952289172E-3</v>
      </c>
      <c r="G373" s="2">
        <v>3.2910400151728497E-2</v>
      </c>
      <c r="H373" s="2" t="s">
        <v>4001</v>
      </c>
      <c r="I373" s="2" t="s">
        <v>94</v>
      </c>
      <c r="J373" s="2" t="str">
        <f>HYPERLINK("https://vectorbase.org/vectorbase/app/record/gene/AGAP010870","AGAP010870-RA")</f>
        <v>AGAP010870-RA</v>
      </c>
      <c r="K373" s="2" t="str">
        <f>HYPERLINK(".\links\pep\AGAP010870-PA-pep.txt","AGAP010870-PA")</f>
        <v>AGAP010870-PA</v>
      </c>
      <c r="L373" s="12" t="s">
        <v>95</v>
      </c>
      <c r="M373" s="2">
        <v>669</v>
      </c>
      <c r="N373" s="2">
        <v>0</v>
      </c>
      <c r="O373" s="2">
        <v>3</v>
      </c>
      <c r="P373" s="2" t="s">
        <v>4002</v>
      </c>
      <c r="Q373" s="9" t="s">
        <v>4003</v>
      </c>
      <c r="R373" s="2" t="s">
        <v>181</v>
      </c>
      <c r="S373" s="2" t="str">
        <f>HYPERLINK(".\links\CDD\AGAP010870-PA-CDD.txt","CDD")</f>
        <v>CDD</v>
      </c>
      <c r="T373" s="2">
        <v>0</v>
      </c>
      <c r="U373" s="2">
        <v>111.1</v>
      </c>
      <c r="V373" s="2" t="s">
        <v>4004</v>
      </c>
      <c r="W373" s="10" t="s">
        <v>4005</v>
      </c>
      <c r="X373" s="2" t="s">
        <v>345</v>
      </c>
      <c r="Y373" s="2" t="str">
        <f>HYPERLINK(".\links\REFSEQ-PROTOZOA\AGAP010870-PA-REFSEQ-PROTOZOA.txt","REFSEQ-PROTOZOA")</f>
        <v>REFSEQ-PROTOZOA</v>
      </c>
      <c r="Z373" s="2">
        <v>0</v>
      </c>
      <c r="AA373" s="2">
        <v>100</v>
      </c>
      <c r="AB373" s="13" t="s">
        <v>102</v>
      </c>
      <c r="AC373" s="13" t="str">
        <f>HYPERLINK(".\links\Sigp\AGAP010870-PA-SigP.txt","SIG")</f>
        <v>SIG</v>
      </c>
      <c r="AD373" s="2" t="s">
        <v>184</v>
      </c>
      <c r="AE373" s="2">
        <v>73.364000000000004</v>
      </c>
      <c r="AF373" s="2">
        <v>8.52</v>
      </c>
      <c r="AG373" s="2">
        <v>70.984999999999999</v>
      </c>
      <c r="AH373" s="2">
        <v>8.4600000000000009</v>
      </c>
      <c r="AI373" s="2" t="s">
        <v>4006</v>
      </c>
      <c r="AJ373" s="13" t="str">
        <f>HYPERLINK(".\links\tmhmm\AGAP010870-PA-tmhmm.txt","1")</f>
        <v>1</v>
      </c>
      <c r="AK373" s="2">
        <v>3.3</v>
      </c>
      <c r="AL373" s="2">
        <v>94.9</v>
      </c>
      <c r="AM373" s="2">
        <v>1.8</v>
      </c>
      <c r="AN373" s="13" t="str">
        <f>HYPERLINK(".\links\gpi\AGAP010870-PA-gpi.txt","N")</f>
        <v>N</v>
      </c>
      <c r="AO373" s="14" t="str">
        <f>HYPERLINK(".\links\netoglyc\AGAP010870-PA-netoglyc.txt","3")</f>
        <v>3</v>
      </c>
      <c r="AP373" s="13">
        <v>13.5</v>
      </c>
      <c r="AQ373" s="2">
        <v>8.1</v>
      </c>
      <c r="AR373" s="2">
        <v>4.2</v>
      </c>
      <c r="AS373" s="2" t="s">
        <v>104</v>
      </c>
      <c r="AT373" s="9" t="str">
        <f>HYPERLINK(".\links\NR-LIGHT\AGAP010870-PA-NR-LIGHT.txt","hypothetical protein ZHAS_00022208")</f>
        <v>hypothetical protein ZHAS_00022208</v>
      </c>
      <c r="AU373" s="2" t="str">
        <f>HYPERLINK("http://www.ncbi.nlm.nih.gov/sutils/blink.cgi?pid=KFB53960.1","0.0")</f>
        <v>0.0</v>
      </c>
      <c r="AV373" s="2" t="str">
        <f>HYPERLINK("http://www.ncbi.nlm.nih.gov/protein/KFB53960.1","KFB53960.1")</f>
        <v>KFB53960.1</v>
      </c>
      <c r="AW373" s="2">
        <v>91</v>
      </c>
      <c r="AX373" s="2">
        <v>96</v>
      </c>
      <c r="AY373" s="2">
        <v>101</v>
      </c>
      <c r="AZ373" s="2" t="s">
        <v>1522</v>
      </c>
      <c r="BA373" s="9" t="str">
        <f>HYPERLINK(".\links\REFSEQ-INVERTEBRATE\AGAP010870-PA-REFSEQ-INVERTEBRATE.txt","AGAP010870-PA, partial")</f>
        <v>AGAP010870-PA, partial</v>
      </c>
      <c r="BB373" s="2" t="str">
        <f>HYPERLINK("http://www.ncbi.nlm.nih.gov/sutils/blink.cgi?pid=XP_309835.2","0.0")</f>
        <v>0.0</v>
      </c>
      <c r="BC373" s="2" t="str">
        <f>HYPERLINK("http://www.ncbi.nlm.nih.gov/protein/XP_309835.2","XP_309835.2")</f>
        <v>XP_309835.2</v>
      </c>
      <c r="BD373" s="2">
        <v>93</v>
      </c>
      <c r="BE373" s="2">
        <v>94</v>
      </c>
      <c r="BF373" s="2">
        <v>103</v>
      </c>
      <c r="BG373" s="2" t="s">
        <v>105</v>
      </c>
      <c r="BH373" s="9" t="str">
        <f>HYPERLINK(".\links\REFSEQ-PROTOZOA\AGAP010870-PA-REFSEQ-PROTOZOA.txt","solute carrier family 27")</f>
        <v>solute carrier family 27</v>
      </c>
      <c r="BI373" s="2" t="str">
        <f>HYPERLINK("http://www.ncbi.nlm.nih.gov/sutils/blink.cgi?pid=XP_004343461.2","1E-131")</f>
        <v>1E-131</v>
      </c>
      <c r="BJ373" s="2" t="str">
        <f>HYPERLINK("http://www.ncbi.nlm.nih.gov/protein/XP_004343461.2","XP_004343461.2")</f>
        <v>XP_004343461.2</v>
      </c>
      <c r="BK373" s="2">
        <v>41</v>
      </c>
      <c r="BL373" s="2">
        <v>58</v>
      </c>
      <c r="BM373" s="2">
        <v>100</v>
      </c>
      <c r="BN373" s="2" t="s">
        <v>106</v>
      </c>
      <c r="BO373" s="9" t="str">
        <f>HYPERLINK(".\links\SWISSP\AGAP010870-PA-SWISSP.txt","Long-chain fatty acid transport protein 4")</f>
        <v>Long-chain fatty acid transport protein 4</v>
      </c>
      <c r="BP373" s="2" t="str">
        <f>HYPERLINK("http://www.uniprot.org/uniprot/Q4R3Y4","1E-149")</f>
        <v>1E-149</v>
      </c>
      <c r="BQ373" s="2" t="str">
        <f>HYPERLINK("http://www.uniprot.org/uniprot/Q4R3Y4#expression","Q4R3Y4")</f>
        <v>Q4R3Y4</v>
      </c>
      <c r="BR373" s="2">
        <v>44</v>
      </c>
      <c r="BS373" s="2">
        <v>62</v>
      </c>
      <c r="BT373" s="2">
        <v>96</v>
      </c>
      <c r="BU373" s="2" t="s">
        <v>683</v>
      </c>
      <c r="BV373" s="9" t="str">
        <f>HYPERLINK(".\links\FLYBASE\AGAP010870-PA-FLYBASE.txt","FBpp0072175")</f>
        <v>FBpp0072175</v>
      </c>
      <c r="BW373" s="2" t="str">
        <f>HYPERLINK("http://flybase.org/reports/FBgn0034999#alliance_summary_container","0.0")</f>
        <v>0.0</v>
      </c>
      <c r="BX373" s="2">
        <v>687</v>
      </c>
      <c r="BY373" s="2">
        <v>52</v>
      </c>
      <c r="BZ373" s="2">
        <v>70</v>
      </c>
      <c r="CA373" s="2">
        <v>98</v>
      </c>
      <c r="CB373" s="9" t="str">
        <f>HYPERLINK(".\links\CDD\AGAP010870-PA-CDD.txt","hsFATP4_like, Fatty acid transport proteins (FATP), including FATP4 and FATP1, and similar proteins")</f>
        <v>hsFATP4_like, Fatty acid transport proteins (FATP), including FATP4 and FATP1, and similar proteins</v>
      </c>
      <c r="CC373" s="15">
        <v>0</v>
      </c>
      <c r="CD373" s="2">
        <v>111.2</v>
      </c>
      <c r="CE373" s="2" t="s">
        <v>4007</v>
      </c>
      <c r="CF373" s="2" t="s">
        <v>4008</v>
      </c>
      <c r="CG373" s="9" t="str">
        <f>HYPERLINK(".\links\KOG\AGAP010870-PA-KOG.txt","Very long-chain acyl-CoA synthetase/fatty acid transporter")</f>
        <v>Very long-chain acyl-CoA synthetase/fatty acid transporter</v>
      </c>
      <c r="CH373" s="15">
        <v>0</v>
      </c>
      <c r="CI373" s="2">
        <v>101.2</v>
      </c>
      <c r="CJ373" s="2" t="s">
        <v>4009</v>
      </c>
      <c r="CK373" s="2" t="s">
        <v>3802</v>
      </c>
      <c r="CL373" s="9" t="str">
        <f>HYPERLINK(".\links\PFAM\AGAP010870-PA-PFAM.txt","AMP-binding, AMP-binding enzyme")</f>
        <v>AMP-binding, AMP-binding enzyme</v>
      </c>
      <c r="CM373" s="15">
        <v>3.9999999999999997E-49</v>
      </c>
      <c r="CN373" s="2">
        <v>109.9</v>
      </c>
      <c r="CO373" s="2" t="s">
        <v>527</v>
      </c>
      <c r="CP373" s="9" t="str">
        <f>HYPERLINK(".\links\SMART\AGAP010870-PA-SMART.txt","PHB, prohibitin homologues")</f>
        <v>PHB, prohibitin homologues</v>
      </c>
      <c r="CQ373" s="15">
        <v>0.47</v>
      </c>
      <c r="CR373" s="2">
        <v>33.799999999999997</v>
      </c>
      <c r="CS373" s="2" t="s">
        <v>4010</v>
      </c>
      <c r="CT373" s="2" t="s">
        <v>4004</v>
      </c>
      <c r="CU373" s="2" t="s">
        <v>4004</v>
      </c>
      <c r="CV373" s="2" t="s">
        <v>4004</v>
      </c>
      <c r="CW373" s="2" t="str">
        <f>HYPERLINK(".\links\pep\AGAP010870-PA-pep.txt","AGAP010870-PA")</f>
        <v>AGAP010870-PA</v>
      </c>
      <c r="CX373" s="2" t="s">
        <v>95</v>
      </c>
      <c r="CY373" s="2">
        <v>669</v>
      </c>
      <c r="CZ373" s="2" t="s">
        <v>113</v>
      </c>
      <c r="DA373" s="2" t="s">
        <v>4011</v>
      </c>
      <c r="DB373" s="2">
        <v>0</v>
      </c>
      <c r="DC373" s="2">
        <v>3</v>
      </c>
      <c r="DD373" s="2" t="str">
        <f>HYPERLINK("https://www.kegg.jp/kegg-bin/search_pathway_text?map=aga&amp;keyword=AGAP010870&amp;mode=1&amp;viewImage=true","AGAP010870")</f>
        <v>AGAP010870</v>
      </c>
      <c r="DE373" s="2" t="s">
        <v>4000</v>
      </c>
      <c r="DF373" s="2" t="s">
        <v>4001</v>
      </c>
      <c r="DG373" s="2" t="s">
        <v>94</v>
      </c>
      <c r="DH373" s="2" t="str">
        <f>HYPERLINK("https://vectorbase.org/vectorbase/app/record/gene/AGAP010870","AGAP010870-RA")</f>
        <v>AGAP010870-RA</v>
      </c>
      <c r="DI373" s="2" t="s">
        <v>118</v>
      </c>
      <c r="DJ373" s="2">
        <v>2908</v>
      </c>
      <c r="DK373" s="2" t="str">
        <f>HYPERLINK(".\links\netoglyc\AGAP010870-PA-netoglyc.txt","3")</f>
        <v>3</v>
      </c>
      <c r="DL373" s="2">
        <v>13.5</v>
      </c>
      <c r="DM373" s="2">
        <v>8.1</v>
      </c>
      <c r="DN373" s="2">
        <v>4.2</v>
      </c>
      <c r="DO373" s="2" t="s">
        <v>104</v>
      </c>
      <c r="DP373" s="2" t="s">
        <v>102</v>
      </c>
      <c r="DQ373" s="2" t="str">
        <f>HYPERLINK(".\links\Sigp\AGAP010870-PA-SigP.txt","SIG")</f>
        <v>SIG</v>
      </c>
      <c r="DR373" s="2" t="s">
        <v>184</v>
      </c>
      <c r="DS373" s="2">
        <v>73.364000000000004</v>
      </c>
      <c r="DT373" s="2">
        <v>8.52</v>
      </c>
      <c r="DU373" s="2">
        <v>70.984999999999999</v>
      </c>
      <c r="DV373" s="2">
        <v>8.4600000000000009</v>
      </c>
      <c r="DW373" s="2" t="s">
        <v>4006</v>
      </c>
      <c r="DX373" s="2">
        <v>669</v>
      </c>
      <c r="DY373" s="12" t="str">
        <f>HYPERLINK(".\links\tmhmm\AGAP010870-PA-tmhmm.txt","1")</f>
        <v>1</v>
      </c>
      <c r="DZ373" s="2">
        <v>3.3</v>
      </c>
      <c r="EA373" s="2">
        <v>94.9</v>
      </c>
      <c r="EB373" s="2">
        <v>1.8</v>
      </c>
      <c r="EC373" s="2" t="str">
        <f>HYPERLINK(".\links\gpi\AGAP010870-PA-gpi.txt","Y-NoSP")</f>
        <v>Y-NoSP</v>
      </c>
      <c r="ED373" s="2">
        <v>0.19</v>
      </c>
      <c r="EF373" s="2">
        <v>12</v>
      </c>
      <c r="EG373" s="2" t="s">
        <v>102</v>
      </c>
      <c r="EH373" s="2" t="s">
        <v>102</v>
      </c>
      <c r="EI373" s="2">
        <v>13.452914798206301</v>
      </c>
      <c r="EJ373" s="2">
        <v>4.1853512705530598</v>
      </c>
      <c r="EK373" s="2">
        <v>8.0717488789237706</v>
      </c>
      <c r="EL373" s="2">
        <v>12.2571001494768</v>
      </c>
      <c r="EM373" s="2" t="s">
        <v>102</v>
      </c>
      <c r="EN373" s="2">
        <v>4</v>
      </c>
      <c r="EO373" s="2">
        <v>4</v>
      </c>
      <c r="EP373" s="2" t="s">
        <v>102</v>
      </c>
      <c r="EQ373" s="2" t="s">
        <v>102</v>
      </c>
      <c r="ER373" s="2" t="s">
        <v>102</v>
      </c>
      <c r="ES373" s="2" t="s">
        <v>102</v>
      </c>
      <c r="ET373" s="2" t="str">
        <f>HYPERLINK(".\links\REFSEQ-INVERTEBRATE\AGAP010870-PA-REFSEQ-INVERTEBRATE.txt","long-chain fatty acid transport protein 4")</f>
        <v>long-chain fatty acid transport protein 4</v>
      </c>
      <c r="EU373" s="2" t="str">
        <f>HYPERLINK("http://www.ncbi.nlm.nih.gov/sutils/blink.cgi?pid=XP_035893999.1","0.0")</f>
        <v>0.0</v>
      </c>
      <c r="EV373" s="2" t="str">
        <f>HYPERLINK("http://www.ncbi.nlm.nih.gov/protein/XP_035893999.1","XP_035893999.1")</f>
        <v>XP_035893999.1</v>
      </c>
      <c r="EW373" s="2">
        <v>94</v>
      </c>
      <c r="EX373" s="2">
        <v>97</v>
      </c>
      <c r="EY373" s="2">
        <v>101</v>
      </c>
      <c r="EZ373" s="2" t="s">
        <v>370</v>
      </c>
    </row>
    <row r="374" spans="1:156" x14ac:dyDescent="0.25">
      <c r="A374" s="2" t="s">
        <v>4012</v>
      </c>
      <c r="B374" s="2">
        <v>-0.30288509129233698</v>
      </c>
      <c r="C374" s="2">
        <f t="shared" si="5"/>
        <v>0.8106296828713444</v>
      </c>
      <c r="D374" s="2">
        <v>6.8170586655545602</v>
      </c>
      <c r="E374" s="2">
        <v>11.2282000300245</v>
      </c>
      <c r="F374" s="2">
        <v>8.0563741911832099E-4</v>
      </c>
      <c r="G374" s="2">
        <v>3.0085860332520298E-2</v>
      </c>
      <c r="H374" s="2" t="s">
        <v>93</v>
      </c>
      <c r="I374" s="2" t="s">
        <v>94</v>
      </c>
      <c r="J374" s="2" t="str">
        <f>HYPERLINK("https://vectorbase.org/vectorbase/app/record/gene/AGAP002024","AGAP002024-RA")</f>
        <v>AGAP002024-RA</v>
      </c>
      <c r="K374" s="2" t="str">
        <f>HYPERLINK(".\links\pep\AGAP002024-PA-pep.txt","AGAP002024-PA")</f>
        <v>AGAP002024-PA</v>
      </c>
      <c r="L374" s="12" t="s">
        <v>95</v>
      </c>
      <c r="M374" s="2">
        <v>1281</v>
      </c>
      <c r="N374" s="2">
        <v>0</v>
      </c>
      <c r="O374" s="2">
        <v>1</v>
      </c>
      <c r="P374" s="2" t="s">
        <v>102</v>
      </c>
      <c r="Q374" s="9" t="s">
        <v>4013</v>
      </c>
      <c r="R374" s="2" t="s">
        <v>388</v>
      </c>
      <c r="S374" s="2" t="str">
        <f>HYPERLINK(".\links\KOG\AGAP002024-PA-KOG.txt","KOG")</f>
        <v>KOG</v>
      </c>
      <c r="T374" s="2">
        <v>9.9999999999999997E-48</v>
      </c>
      <c r="U374" s="2">
        <v>40.700000000000003</v>
      </c>
      <c r="V374" s="2" t="s">
        <v>4014</v>
      </c>
      <c r="W374" s="10" t="s">
        <v>4015</v>
      </c>
      <c r="X374" s="2" t="s">
        <v>355</v>
      </c>
      <c r="Y374" s="2" t="str">
        <f>HYPERLINK(".\links\CDD\AGAP002024-PA-CDD.txt","CDD")</f>
        <v>CDD</v>
      </c>
      <c r="Z374" s="2">
        <v>0</v>
      </c>
      <c r="AA374" s="2">
        <v>100.3</v>
      </c>
      <c r="AB374" s="13" t="str">
        <f>HYPERLINK(".\links\pep\AGAP002024-PA-sulf.txt","1")</f>
        <v>1</v>
      </c>
      <c r="AC374" s="13" t="str">
        <f>HYPERLINK(".\links\Sigp\AGAP002024-PA-SigP.txt","CYT")</f>
        <v>CYT</v>
      </c>
      <c r="AD374" s="2" t="s">
        <v>102</v>
      </c>
      <c r="AE374" s="2">
        <v>138.55099999999999</v>
      </c>
      <c r="AF374" s="2">
        <v>8.5399999999999991</v>
      </c>
      <c r="AG374" s="2" t="s">
        <v>102</v>
      </c>
      <c r="AH374" s="2" t="s">
        <v>102</v>
      </c>
      <c r="AI374" s="2" t="s">
        <v>124</v>
      </c>
      <c r="AJ374" s="13">
        <v>0</v>
      </c>
      <c r="AK374" s="2" t="s">
        <v>102</v>
      </c>
      <c r="AL374" s="2" t="s">
        <v>102</v>
      </c>
      <c r="AM374" s="2" t="s">
        <v>102</v>
      </c>
      <c r="AN374" s="13" t="str">
        <f>HYPERLINK(".\links\gpi\AGAP002024-PA-gpi.txt","N")</f>
        <v>N</v>
      </c>
      <c r="AO374" s="14" t="str">
        <f>HYPERLINK(".\links\netoglyc\AGAP002024-PA-netoglyc.txt","15")</f>
        <v>15</v>
      </c>
      <c r="AP374" s="13">
        <v>20.6</v>
      </c>
      <c r="AQ374" s="2">
        <v>7</v>
      </c>
      <c r="AR374" s="2">
        <v>6</v>
      </c>
      <c r="AS374" s="2" t="s">
        <v>104</v>
      </c>
      <c r="AT374" s="9" t="str">
        <f>HYPERLINK(".\links\NR-LIGHT\AGAP002024-PA-NR-LIGHT.txt","AGAP002024-PA")</f>
        <v>AGAP002024-PA</v>
      </c>
      <c r="AU374" s="2" t="str">
        <f>HYPERLINK("http://www.ncbi.nlm.nih.gov/sutils/blink.cgi?pid=XP_321030.5","0.0")</f>
        <v>0.0</v>
      </c>
      <c r="AV374" s="2" t="str">
        <f>HYPERLINK("http://www.ncbi.nlm.nih.gov/protein/XP_321030.5","XP_321030.5")</f>
        <v>XP_321030.5</v>
      </c>
      <c r="AW374" s="2">
        <v>95</v>
      </c>
      <c r="AX374" s="2">
        <v>95</v>
      </c>
      <c r="AY374" s="2">
        <v>100</v>
      </c>
      <c r="AZ374" s="2" t="s">
        <v>105</v>
      </c>
      <c r="BA374" s="9" t="str">
        <f>HYPERLINK(".\links\REFSEQ-INVERTEBRATE\AGAP002024-PA-REFSEQ-INVERTEBRATE.txt","AGAP002024-PA")</f>
        <v>AGAP002024-PA</v>
      </c>
      <c r="BB374" s="2" t="str">
        <f>HYPERLINK("http://www.ncbi.nlm.nih.gov/sutils/blink.cgi?pid=XP_321030.5","0.0")</f>
        <v>0.0</v>
      </c>
      <c r="BC374" s="2" t="str">
        <f>HYPERLINK("http://www.ncbi.nlm.nih.gov/protein/XP_321030.5","XP_321030.5")</f>
        <v>XP_321030.5</v>
      </c>
      <c r="BD374" s="2">
        <v>95</v>
      </c>
      <c r="BE374" s="2">
        <v>95</v>
      </c>
      <c r="BF374" s="2">
        <v>100</v>
      </c>
      <c r="BG374" s="2" t="s">
        <v>105</v>
      </c>
      <c r="BH374" s="9" t="str">
        <f>HYPERLINK(".\links\REFSEQ-PROTOZOA\AGAP002024-PA-REFSEQ-PROTOZOA.txt","proteophosphoglycan 5")</f>
        <v>proteophosphoglycan 5</v>
      </c>
      <c r="BI374" s="2" t="str">
        <f>HYPERLINK("http://www.ncbi.nlm.nih.gov/sutils/blink.cgi?pid=XP_003722449.1","2E-024")</f>
        <v>2E-024</v>
      </c>
      <c r="BJ374" s="2" t="str">
        <f>HYPERLINK("http://www.ncbi.nlm.nih.gov/protein/XP_003722449.1","XP_003722449.1")</f>
        <v>XP_003722449.1</v>
      </c>
      <c r="BK374" s="2">
        <v>20</v>
      </c>
      <c r="BL374" s="2">
        <v>37</v>
      </c>
      <c r="BM374" s="2">
        <v>4</v>
      </c>
      <c r="BN374" s="2" t="s">
        <v>3969</v>
      </c>
      <c r="BO374" s="9" t="str">
        <f>HYPERLINK(".\links\SWISSP\AGAP002024-PA-SWISSP.txt","F-BAR domain only protein 2")</f>
        <v>F-BAR domain only protein 2</v>
      </c>
      <c r="BP374" s="2" t="str">
        <f>HYPERLINK("http://www.uniprot.org/uniprot/Q5R807","1E-102")</f>
        <v>1E-102</v>
      </c>
      <c r="BQ374" s="2" t="str">
        <f>HYPERLINK("http://www.uniprot.org/uniprot/Q5R807#expression","Q5R807")</f>
        <v>Q5R807</v>
      </c>
      <c r="BR374" s="2">
        <v>39</v>
      </c>
      <c r="BS374" s="2">
        <v>58</v>
      </c>
      <c r="BT374" s="2">
        <v>68</v>
      </c>
      <c r="BU374" s="2" t="s">
        <v>363</v>
      </c>
      <c r="BV374" s="9" t="str">
        <f>HYPERLINK(".\links\FLYBASE\AGAP002024-PA-FLYBASE.txt","FBpp0306714")</f>
        <v>FBpp0306714</v>
      </c>
      <c r="BW374" s="2" t="str">
        <f>HYPERLINK("http://flybase.org/reports/FBgn0037702#alliance_summary_container","0.0")</f>
        <v>0.0</v>
      </c>
      <c r="BX374" s="2">
        <v>1161</v>
      </c>
      <c r="BY374" s="2">
        <v>62</v>
      </c>
      <c r="BZ374" s="2">
        <v>74</v>
      </c>
      <c r="CA374" s="2">
        <v>54</v>
      </c>
      <c r="CB374" s="9" t="str">
        <f>HYPERLINK(".\links\CDD\AGAP002024-PA-CDD.txt","F-BAR_FCHO, The F-BAR (FES-CIP4 Homology and Bin/Amphiphysin/Rvs) domain of FCH domain Only proteins")</f>
        <v>F-BAR_FCHO, The F-BAR (FES-CIP4 Homology and Bin/Amphiphysin/Rvs) domain of FCH domain Only proteins</v>
      </c>
      <c r="CC374" s="15">
        <v>9.9999999999999999E-119</v>
      </c>
      <c r="CD374" s="2">
        <v>100.8</v>
      </c>
      <c r="CE374" s="2" t="s">
        <v>4016</v>
      </c>
      <c r="CF374" s="2" t="s">
        <v>4017</v>
      </c>
      <c r="CG374" s="9" t="str">
        <f>HYPERLINK(".\links\KOG\AGAP002024-PA-KOG.txt","Predicted proline-serine-threonine phosphatase-interacting protein (PSTPIP)")</f>
        <v>Predicted proline-serine-threonine phosphatase-interacting protein (PSTPIP)</v>
      </c>
      <c r="CH374" s="15">
        <v>9.9999999999999997E-48</v>
      </c>
      <c r="CI374" s="2">
        <v>40.799999999999997</v>
      </c>
      <c r="CJ374" s="2" t="s">
        <v>4018</v>
      </c>
      <c r="CK374" s="2" t="s">
        <v>700</v>
      </c>
      <c r="CL374" s="9" t="str">
        <f>HYPERLINK(".\links\PFAM\AGAP002024-PA-PFAM.txt","muHD, Muniscin C-terminal mu homology domain")</f>
        <v>muHD, Muniscin C-terminal mu homology domain</v>
      </c>
      <c r="CM374" s="15">
        <v>2.9999999999999999E-78</v>
      </c>
      <c r="CN374" s="2">
        <v>109.1</v>
      </c>
      <c r="CO374" s="2" t="s">
        <v>4019</v>
      </c>
      <c r="CP374" s="9" t="str">
        <f>HYPERLINK(".\links\SMART\AGAP002024-PA-SMART.txt","FCH, Fes/CIP4 homology domain")</f>
        <v>FCH, Fes/CIP4 homology domain</v>
      </c>
      <c r="CQ374" s="15">
        <v>9.9999999999999998E-13</v>
      </c>
      <c r="CR374" s="2">
        <v>98.9</v>
      </c>
      <c r="CS374" s="2" t="s">
        <v>4020</v>
      </c>
      <c r="CT374" s="2" t="s">
        <v>4014</v>
      </c>
      <c r="CU374" s="2" t="s">
        <v>4014</v>
      </c>
      <c r="CV374" s="2" t="s">
        <v>4014</v>
      </c>
      <c r="CW374" s="2" t="str">
        <f>HYPERLINK(".\links\pep\AGAP002024-PA-pep.txt","AGAP002024-PA")</f>
        <v>AGAP002024-PA</v>
      </c>
      <c r="CX374" s="2" t="s">
        <v>95</v>
      </c>
      <c r="CY374" s="2">
        <v>1281</v>
      </c>
      <c r="CZ374" s="2" t="s">
        <v>113</v>
      </c>
      <c r="DA374" s="2" t="s">
        <v>4021</v>
      </c>
      <c r="DB374" s="2">
        <v>0</v>
      </c>
      <c r="DC374" s="2">
        <v>1</v>
      </c>
      <c r="DD374" s="2" t="str">
        <f>HYPERLINK("https://www.kegg.jp/kegg-bin/search_pathway_text?map=aga&amp;keyword=AGAP002024&amp;mode=1&amp;viewImage=true","AGAP002024")</f>
        <v>AGAP002024</v>
      </c>
      <c r="DE374" s="2" t="s">
        <v>4012</v>
      </c>
      <c r="DF374" s="2" t="s">
        <v>93</v>
      </c>
      <c r="DG374" s="2" t="s">
        <v>94</v>
      </c>
      <c r="DH374" s="2" t="str">
        <f>HYPERLINK("https://vectorbase.org/vectorbase/app/record/gene/AGAP002024","AGAP002024-RA")</f>
        <v>AGAP002024-RA</v>
      </c>
      <c r="DI374" s="2" t="s">
        <v>115</v>
      </c>
      <c r="DJ374" s="2">
        <v>6584</v>
      </c>
      <c r="DK374" s="2" t="str">
        <f>HYPERLINK(".\links\netoglyc\AGAP002024-PA-netoglyc.txt","15")</f>
        <v>15</v>
      </c>
      <c r="DL374" s="2">
        <v>20.6</v>
      </c>
      <c r="DM374" s="2">
        <v>7</v>
      </c>
      <c r="DN374" s="2">
        <v>6</v>
      </c>
      <c r="DO374" s="2" t="s">
        <v>104</v>
      </c>
      <c r="DP374" s="2" t="s">
        <v>102</v>
      </c>
      <c r="DQ374" s="2" t="str">
        <f>HYPERLINK(".\links\Sigp\AGAP002024-PA-SigP.txt","CYT")</f>
        <v>CYT</v>
      </c>
      <c r="DR374" s="2" t="s">
        <v>102</v>
      </c>
      <c r="DS374" s="2">
        <v>138.55099999999999</v>
      </c>
      <c r="DT374" s="2">
        <v>8.5399999999999991</v>
      </c>
      <c r="DU374" s="2" t="s">
        <v>102</v>
      </c>
      <c r="DV374" s="2" t="s">
        <v>102</v>
      </c>
      <c r="DW374" s="2" t="s">
        <v>124</v>
      </c>
      <c r="DX374" s="2">
        <v>1281</v>
      </c>
      <c r="DY374" s="12">
        <v>0</v>
      </c>
      <c r="DZ374" s="2" t="s">
        <v>102</v>
      </c>
      <c r="EA374" s="2" t="s">
        <v>102</v>
      </c>
      <c r="EB374" s="2" t="s">
        <v>102</v>
      </c>
      <c r="EC374" s="2" t="str">
        <f>HYPERLINK(".\links\gpi\AGAP002024-PA-gpi.txt","Y-NoSP")</f>
        <v>Y-NoSP</v>
      </c>
      <c r="ED374" s="2">
        <v>0.24</v>
      </c>
      <c r="EF374" s="2">
        <v>7</v>
      </c>
      <c r="EG374" s="2" t="str">
        <f>HYPERLINK(".\links\pep\AGAP002024-PA-sulf.txt","1")</f>
        <v>1</v>
      </c>
      <c r="EH374" s="2" t="s">
        <v>102</v>
      </c>
      <c r="EI374" s="2">
        <v>20.6088992974239</v>
      </c>
      <c r="EJ374" s="2">
        <v>6.0109289617486299</v>
      </c>
      <c r="EK374" s="2">
        <v>7.0257611241217797</v>
      </c>
      <c r="EL374" s="2">
        <v>13.036690085870401</v>
      </c>
      <c r="EM374" s="2">
        <v>2</v>
      </c>
      <c r="EN374" s="2">
        <v>2</v>
      </c>
      <c r="EO374" s="2">
        <v>3</v>
      </c>
      <c r="EP374" s="2" t="s">
        <v>102</v>
      </c>
      <c r="EQ374" s="2" t="s">
        <v>102</v>
      </c>
      <c r="ER374" s="2" t="s">
        <v>102</v>
      </c>
      <c r="ES374" s="2" t="s">
        <v>102</v>
      </c>
      <c r="ET374" s="2" t="str">
        <f>HYPERLINK(".\links\REFSEQ-INVERTEBRATE\AGAP002024-PA-REFSEQ-INVERTEBRATE.txt","AGAP002024-PA")</f>
        <v>AGAP002024-PA</v>
      </c>
      <c r="EU374" s="2" t="str">
        <f>HYPERLINK("http://www.ncbi.nlm.nih.gov/sutils/blink.cgi?pid=XP_321030.5","0.0")</f>
        <v>0.0</v>
      </c>
      <c r="EV374" s="2" t="str">
        <f>HYPERLINK("http://www.ncbi.nlm.nih.gov/protein/XP_321030.5","XP_321030.5")</f>
        <v>XP_321030.5</v>
      </c>
      <c r="EW374" s="2">
        <v>93</v>
      </c>
      <c r="EX374" s="2">
        <v>94</v>
      </c>
      <c r="EY374" s="2">
        <v>100</v>
      </c>
      <c r="EZ374" s="2" t="s">
        <v>105</v>
      </c>
    </row>
    <row r="375" spans="1:156" x14ac:dyDescent="0.25">
      <c r="A375" s="2" t="s">
        <v>4022</v>
      </c>
      <c r="B375" s="2">
        <v>-0.30297056200672601</v>
      </c>
      <c r="C375" s="2">
        <f t="shared" si="5"/>
        <v>0.81058165952349814</v>
      </c>
      <c r="D375" s="2">
        <v>6.3472526178691204</v>
      </c>
      <c r="E375" s="2">
        <v>11.1740343022843</v>
      </c>
      <c r="F375" s="2">
        <v>8.2950059542886599E-4</v>
      </c>
      <c r="G375" s="2">
        <v>3.0183174475144601E-2</v>
      </c>
      <c r="H375" s="2" t="s">
        <v>4023</v>
      </c>
      <c r="I375" s="2" t="s">
        <v>94</v>
      </c>
      <c r="J375" s="2" t="str">
        <f>HYPERLINK("https://vectorbase.org/vectorbase/app/record/gene/AGAP005414","AGAP005414-RA")</f>
        <v>AGAP005414-RA</v>
      </c>
      <c r="K375" s="2" t="str">
        <f>HYPERLINK(".\links\pep\AGAP005414-PA-pep.txt","AGAP005414-PA")</f>
        <v>AGAP005414-PA</v>
      </c>
      <c r="L375" s="12" t="s">
        <v>95</v>
      </c>
      <c r="M375" s="2">
        <v>466</v>
      </c>
      <c r="N375" s="2">
        <v>0</v>
      </c>
      <c r="O375" s="2">
        <v>0</v>
      </c>
      <c r="P375" s="2" t="s">
        <v>4024</v>
      </c>
      <c r="Q375" s="9" t="s">
        <v>4025</v>
      </c>
      <c r="R375" s="2" t="s">
        <v>355</v>
      </c>
      <c r="S375" s="2" t="str">
        <f>HYPERLINK(".\links\REFSEQ-INVERTEBRATE\AGAP005414-PA-REFSEQ-INVERTEBRATE.txt","REFSEQ-INVERTEBRATE")</f>
        <v>REFSEQ-INVERTEBRATE</v>
      </c>
      <c r="T375" s="2">
        <v>0</v>
      </c>
      <c r="U375" s="2">
        <v>100</v>
      </c>
      <c r="V375" s="2" t="s">
        <v>4026</v>
      </c>
      <c r="W375" s="10" t="s">
        <v>4027</v>
      </c>
      <c r="X375" s="2" t="s">
        <v>196</v>
      </c>
      <c r="Y375" s="2" t="str">
        <f>HYPERLINK(".\links\ARTHORPODA\AGAP005414-PA-ARTHORPODA.txt","ARTHORPODA")</f>
        <v>ARTHORPODA</v>
      </c>
      <c r="Z375" s="2">
        <v>0</v>
      </c>
      <c r="AA375" s="2">
        <v>100</v>
      </c>
      <c r="AB375" s="13" t="str">
        <f>HYPERLINK(".\links\pep\AGAP005414-PA-sulf.txt","5")</f>
        <v>5</v>
      </c>
      <c r="AC375" s="13" t="str">
        <f>HYPERLINK(".\links\Sigp\AGAP005414-PA-SigP.txt","CYT")</f>
        <v>CYT</v>
      </c>
      <c r="AD375" s="2" t="s">
        <v>102</v>
      </c>
      <c r="AE375" s="2">
        <v>52.725999999999999</v>
      </c>
      <c r="AF375" s="2">
        <v>4.5999999999999996</v>
      </c>
      <c r="AG375" s="2" t="s">
        <v>102</v>
      </c>
      <c r="AH375" s="2" t="s">
        <v>102</v>
      </c>
      <c r="AI375" s="2" t="s">
        <v>211</v>
      </c>
      <c r="AJ375" s="13">
        <v>0</v>
      </c>
      <c r="AK375" s="2" t="s">
        <v>102</v>
      </c>
      <c r="AL375" s="2" t="s">
        <v>102</v>
      </c>
      <c r="AM375" s="2" t="s">
        <v>102</v>
      </c>
      <c r="AN375" s="13" t="str">
        <f>HYPERLINK(".\links\gpi\AGAP005414-PA-gpi.txt","N")</f>
        <v>N</v>
      </c>
      <c r="AO375" s="14" t="str">
        <f>HYPERLINK(".\links\netoglyc\AGAP005414-PA-netoglyc.txt","26")</f>
        <v>26</v>
      </c>
      <c r="AP375" s="13">
        <v>15</v>
      </c>
      <c r="AQ375" s="2">
        <v>4.3</v>
      </c>
      <c r="AR375" s="2">
        <v>5.6</v>
      </c>
      <c r="AS375" s="2" t="s">
        <v>104</v>
      </c>
      <c r="AT375" s="9" t="str">
        <f>HYPERLINK(".\links\NR-LIGHT\AGAP005414-PA-NR-LIGHT.txt","AGAP005414-PA")</f>
        <v>AGAP005414-PA</v>
      </c>
      <c r="AU375" s="2" t="str">
        <f>HYPERLINK("http://www.ncbi.nlm.nih.gov/sutils/blink.cgi?pid=XP_001688661.1","0.0")</f>
        <v>0.0</v>
      </c>
      <c r="AV375" s="2" t="str">
        <f>HYPERLINK("http://www.ncbi.nlm.nih.gov/protein/XP_001688661.1","XP_001688661.1")</f>
        <v>XP_001688661.1</v>
      </c>
      <c r="AW375" s="2">
        <v>100</v>
      </c>
      <c r="AX375" s="2">
        <v>100</v>
      </c>
      <c r="AY375" s="2">
        <v>100</v>
      </c>
      <c r="AZ375" s="2" t="s">
        <v>105</v>
      </c>
      <c r="BA375" s="9" t="str">
        <f>HYPERLINK(".\links\REFSEQ-INVERTEBRATE\AGAP005414-PA-REFSEQ-INVERTEBRATE.txt","AGAP005414-PA")</f>
        <v>AGAP005414-PA</v>
      </c>
      <c r="BB375" s="2" t="str">
        <f>HYPERLINK("http://www.ncbi.nlm.nih.gov/sutils/blink.cgi?pid=XP_001688661.1","0.0")</f>
        <v>0.0</v>
      </c>
      <c r="BC375" s="2" t="str">
        <f>HYPERLINK("http://www.ncbi.nlm.nih.gov/protein/XP_001688661.1","XP_001688661.1")</f>
        <v>XP_001688661.1</v>
      </c>
      <c r="BD375" s="2">
        <v>100</v>
      </c>
      <c r="BE375" s="2">
        <v>100</v>
      </c>
      <c r="BF375" s="2">
        <v>100</v>
      </c>
      <c r="BG375" s="2" t="s">
        <v>105</v>
      </c>
      <c r="BH375" s="9" t="str">
        <f>HYPERLINK(".\links\REFSEQ-PROTOZOA\AGAP005414-PA-REFSEQ-PROTOZOA.txt","hypothetical protein SPRG_01724")</f>
        <v>hypothetical protein SPRG_01724</v>
      </c>
      <c r="BI375" s="2" t="str">
        <f>HYPERLINK("http://www.ncbi.nlm.nih.gov/sutils/blink.cgi?pid=XP_012195481.1","3E-041")</f>
        <v>3E-041</v>
      </c>
      <c r="BJ375" s="2" t="str">
        <f>HYPERLINK("http://www.ncbi.nlm.nih.gov/protein/XP_012195481.1","XP_012195481.1")</f>
        <v>XP_012195481.1</v>
      </c>
      <c r="BK375" s="2">
        <v>33</v>
      </c>
      <c r="BL375" s="2">
        <v>49</v>
      </c>
      <c r="BM375" s="2">
        <v>96</v>
      </c>
      <c r="BN375" s="2" t="s">
        <v>1622</v>
      </c>
      <c r="BO375" s="9" t="str">
        <f>HYPERLINK(".\links\SWISSP\AGAP005414-PA-SWISSP.txt","UPF0489 protein C5orf22 homolog")</f>
        <v>UPF0489 protein C5orf22 homolog</v>
      </c>
      <c r="BP375" s="2" t="str">
        <f>HYPERLINK("http://www.uniprot.org/uniprot/Q6PAE6","4E-055")</f>
        <v>4E-055</v>
      </c>
      <c r="BQ375" s="2" t="str">
        <f>HYPERLINK("http://www.uniprot.org/uniprot/Q6PAE6#expression","Q6PAE6")</f>
        <v>Q6PAE6</v>
      </c>
      <c r="BR375" s="2">
        <v>34</v>
      </c>
      <c r="BS375" s="2">
        <v>52</v>
      </c>
      <c r="BT375" s="2">
        <v>97</v>
      </c>
      <c r="BU375" s="2" t="s">
        <v>625</v>
      </c>
      <c r="BV375" s="9" t="str">
        <f>HYPERLINK(".\links\FLYBASE\AGAP005414-PA-FLYBASE.txt","FBpp0074793")</f>
        <v>FBpp0074793</v>
      </c>
      <c r="BW375" s="2" t="str">
        <f>HYPERLINK("http://flybase.org/reports/FBgn0036846#alliance_summary_container","1E-98")</f>
        <v>1E-98</v>
      </c>
      <c r="BX375" s="2">
        <v>470</v>
      </c>
      <c r="BY375" s="2">
        <v>39</v>
      </c>
      <c r="BZ375" s="2">
        <v>62</v>
      </c>
      <c r="CA375" s="2">
        <v>81</v>
      </c>
      <c r="CB375" s="9" t="str">
        <f>HYPERLINK(".\links\CDD\AGAP005414-PA-CDD.txt","UPF0489, UPF0489 domain")</f>
        <v>UPF0489, UPF0489 domain</v>
      </c>
      <c r="CC375" s="15">
        <v>3.0000000000000002E-44</v>
      </c>
      <c r="CD375" s="2">
        <v>111.9</v>
      </c>
      <c r="CE375" s="2" t="s">
        <v>4028</v>
      </c>
      <c r="CF375" s="2" t="s">
        <v>4029</v>
      </c>
      <c r="CG375" s="9" t="str">
        <f>HYPERLINK(".\links\KOG\AGAP005414-PA-KOG.txt","subunit BDF1 and related bromodomain proteins")</f>
        <v>subunit BDF1 and related bromodomain proteins</v>
      </c>
      <c r="CH375" s="15">
        <v>7.0000000000000001E-3</v>
      </c>
      <c r="CI375" s="2">
        <v>14.8</v>
      </c>
      <c r="CJ375" s="2" t="s">
        <v>4030</v>
      </c>
      <c r="CK375" s="2" t="s">
        <v>309</v>
      </c>
      <c r="CL375" s="9" t="str">
        <f>HYPERLINK(".\links\PFAM\AGAP005414-PA-PFAM.txt","UPF0489, UPF0489 domain")</f>
        <v>UPF0489, UPF0489 domain</v>
      </c>
      <c r="CM375" s="15">
        <v>7E-45</v>
      </c>
      <c r="CN375" s="2">
        <v>111.9</v>
      </c>
      <c r="CO375" s="2" t="s">
        <v>4028</v>
      </c>
      <c r="CP375" s="9" t="str">
        <f>HYPERLINK(".\links\SMART\AGAP005414-PA-SMART.txt","MYSc, Myosin")</f>
        <v>MYSc, Myosin</v>
      </c>
      <c r="CQ375" s="15">
        <v>0.12</v>
      </c>
      <c r="CR375" s="2">
        <v>4.4000000000000004</v>
      </c>
      <c r="CS375" s="2" t="s">
        <v>383</v>
      </c>
      <c r="CT375" s="2" t="s">
        <v>4026</v>
      </c>
      <c r="CU375" s="2" t="s">
        <v>4026</v>
      </c>
      <c r="CV375" s="2" t="s">
        <v>4026</v>
      </c>
      <c r="CW375" s="2" t="str">
        <f>HYPERLINK(".\links\pep\AGAP005414-PA-pep.txt","AGAP005414-PA")</f>
        <v>AGAP005414-PA</v>
      </c>
      <c r="CX375" s="2" t="s">
        <v>95</v>
      </c>
      <c r="CY375" s="2">
        <v>466</v>
      </c>
      <c r="CZ375" s="2" t="s">
        <v>113</v>
      </c>
      <c r="DA375" s="2" t="s">
        <v>4031</v>
      </c>
      <c r="DB375" s="2">
        <v>0</v>
      </c>
      <c r="DC375" s="2">
        <v>0</v>
      </c>
      <c r="DD375" s="2" t="str">
        <f>HYPERLINK("https://www.kegg.jp/kegg-bin/search_pathway_text?map=aga&amp;keyword=AGAP005414&amp;mode=1&amp;viewImage=true","AGAP005414")</f>
        <v>AGAP005414</v>
      </c>
      <c r="DE375" s="2" t="s">
        <v>4022</v>
      </c>
      <c r="DF375" s="2" t="s">
        <v>4023</v>
      </c>
      <c r="DG375" s="2" t="s">
        <v>94</v>
      </c>
      <c r="DH375" s="2" t="str">
        <f>HYPERLINK("https://vectorbase.org/vectorbase/app/record/gene/AGAP005414","AGAP005414-RA")</f>
        <v>AGAP005414-RA</v>
      </c>
      <c r="DI375" s="2" t="s">
        <v>115</v>
      </c>
      <c r="DJ375" s="2">
        <v>1972</v>
      </c>
      <c r="DK375" s="2" t="str">
        <f>HYPERLINK(".\links\netoglyc\AGAP005414-PA-netoglyc.txt","26")</f>
        <v>26</v>
      </c>
      <c r="DL375" s="2">
        <v>15</v>
      </c>
      <c r="DM375" s="2">
        <v>4.3</v>
      </c>
      <c r="DN375" s="2">
        <v>5.6</v>
      </c>
      <c r="DO375" s="2" t="s">
        <v>104</v>
      </c>
      <c r="DP375" s="2" t="s">
        <v>4032</v>
      </c>
      <c r="DQ375" s="2" t="str">
        <f>HYPERLINK(".\links\Sigp\AGAP005414-PA-SigP.txt","CYT")</f>
        <v>CYT</v>
      </c>
      <c r="DR375" s="2" t="s">
        <v>102</v>
      </c>
      <c r="DS375" s="2">
        <v>52.731000000000002</v>
      </c>
      <c r="DT375" s="2">
        <v>4.5999999999999996</v>
      </c>
      <c r="DU375" s="2" t="s">
        <v>102</v>
      </c>
      <c r="DV375" s="2" t="s">
        <v>102</v>
      </c>
      <c r="DW375" s="2" t="s">
        <v>211</v>
      </c>
      <c r="DX375" s="2">
        <v>466</v>
      </c>
      <c r="DY375" s="12">
        <v>0</v>
      </c>
      <c r="DZ375" s="2" t="s">
        <v>102</v>
      </c>
      <c r="EA375" s="2" t="s">
        <v>102</v>
      </c>
      <c r="EB375" s="2" t="s">
        <v>102</v>
      </c>
      <c r="EC375" s="2" t="str">
        <f>HYPERLINK(".\links\gpi\AGAP005414-PA-gpi.txt","N")</f>
        <v>N</v>
      </c>
      <c r="ED375" s="2">
        <v>0.23</v>
      </c>
      <c r="EF375" s="2">
        <v>9</v>
      </c>
      <c r="EG375" s="2" t="str">
        <f>HYPERLINK(".\links\pep\AGAP005414-PA-sulf.txt","5")</f>
        <v>5</v>
      </c>
      <c r="EH375" s="2" t="s">
        <v>102</v>
      </c>
      <c r="EI375" s="2">
        <v>15.021459227467799</v>
      </c>
      <c r="EJ375" s="2">
        <v>5.5793991416309003</v>
      </c>
      <c r="EK375" s="2">
        <v>4.2918454935622297</v>
      </c>
      <c r="EL375" s="2">
        <v>9.8712446351931291</v>
      </c>
      <c r="EM375" s="2" t="s">
        <v>102</v>
      </c>
      <c r="EN375" s="2">
        <v>2</v>
      </c>
      <c r="EO375" s="2">
        <v>2</v>
      </c>
      <c r="EP375" s="2" t="s">
        <v>102</v>
      </c>
      <c r="EQ375" s="2" t="s">
        <v>102</v>
      </c>
      <c r="ER375" s="2" t="s">
        <v>102</v>
      </c>
      <c r="ES375" s="2" t="s">
        <v>102</v>
      </c>
      <c r="ET375" s="2" t="str">
        <f>HYPERLINK(".\links\REFSEQ-INVERTEBRATE\AGAP005414-PA-REFSEQ-INVERTEBRATE.txt","AGAP005414-PA")</f>
        <v>AGAP005414-PA</v>
      </c>
      <c r="EU375" s="2" t="str">
        <f>HYPERLINK("http://www.ncbi.nlm.nih.gov/sutils/blink.cgi?pid=XP_001688661.1","0.0")</f>
        <v>0.0</v>
      </c>
      <c r="EV375" s="2" t="str">
        <f>HYPERLINK("http://www.ncbi.nlm.nih.gov/protein/XP_001688661.1","XP_001688661.1")</f>
        <v>XP_001688661.1</v>
      </c>
      <c r="EW375" s="2">
        <v>100</v>
      </c>
      <c r="EX375" s="2">
        <v>100</v>
      </c>
      <c r="EY375" s="2">
        <v>100</v>
      </c>
      <c r="EZ375" s="2" t="s">
        <v>105</v>
      </c>
    </row>
    <row r="376" spans="1:156" x14ac:dyDescent="0.25">
      <c r="A376" s="2" t="s">
        <v>4033</v>
      </c>
      <c r="B376" s="2">
        <v>-0.30355017976149001</v>
      </c>
      <c r="C376" s="2">
        <f t="shared" si="5"/>
        <v>0.81025606531140115</v>
      </c>
      <c r="D376" s="2">
        <v>5.3631443668884797</v>
      </c>
      <c r="E376" s="2">
        <v>8.9002270697000192</v>
      </c>
      <c r="F376" s="2">
        <v>2.85135196161144E-3</v>
      </c>
      <c r="G376" s="2">
        <v>4.9212037796288598E-2</v>
      </c>
      <c r="H376" s="2" t="s">
        <v>93</v>
      </c>
      <c r="I376" s="2" t="s">
        <v>94</v>
      </c>
      <c r="J376" s="2" t="str">
        <f>HYPERLINK("https://vectorbase.org/vectorbase/app/record/gene/AGAP003657","AGAP003657-RA")</f>
        <v>AGAP003657-RA</v>
      </c>
      <c r="K376" s="2" t="str">
        <f>HYPERLINK(".\links\pep\AGAP003657-PA-pep.txt","AGAP003657-PA")</f>
        <v>AGAP003657-PA</v>
      </c>
      <c r="L376" s="12" t="s">
        <v>95</v>
      </c>
      <c r="M376" s="2">
        <v>339</v>
      </c>
      <c r="N376" s="2">
        <v>0</v>
      </c>
      <c r="O376" s="2">
        <v>0</v>
      </c>
      <c r="P376" s="2" t="s">
        <v>102</v>
      </c>
      <c r="Q376" s="9" t="s">
        <v>4034</v>
      </c>
      <c r="R376" s="2" t="s">
        <v>355</v>
      </c>
      <c r="S376" s="2" t="str">
        <f>HYPERLINK(".\links\KOG\AGAP003657-PA-KOG.txt","KOG")</f>
        <v>KOG</v>
      </c>
      <c r="T376" s="2">
        <v>5.9999999999999995E-8</v>
      </c>
      <c r="U376" s="2">
        <v>29.6</v>
      </c>
      <c r="V376" s="2" t="s">
        <v>4035</v>
      </c>
      <c r="W376" s="10" t="s">
        <v>4036</v>
      </c>
      <c r="X376" s="2" t="s">
        <v>196</v>
      </c>
      <c r="Y376" s="2" t="str">
        <f>HYPERLINK(".\links\ARTHORPODA\AGAP003657-PA-ARTHORPODA.txt","ARTHORPODA")</f>
        <v>ARTHORPODA</v>
      </c>
      <c r="Z376" s="15">
        <v>0</v>
      </c>
      <c r="AA376" s="2">
        <v>100</v>
      </c>
      <c r="AB376" s="13" t="str">
        <f>HYPERLINK(".\links\pep\AGAP003657-PA-sulf.txt","1")</f>
        <v>1</v>
      </c>
      <c r="AC376" s="13" t="str">
        <f>HYPERLINK(".\links\Sigp\AGAP003657-PA-SigP.txt","CYT")</f>
        <v>CYT</v>
      </c>
      <c r="AD376" s="2" t="s">
        <v>102</v>
      </c>
      <c r="AE376" s="2">
        <v>39.999000000000002</v>
      </c>
      <c r="AF376" s="2">
        <v>9.74</v>
      </c>
      <c r="AG376" s="2" t="s">
        <v>102</v>
      </c>
      <c r="AH376" s="2" t="s">
        <v>102</v>
      </c>
      <c r="AI376" s="2" t="s">
        <v>211</v>
      </c>
      <c r="AJ376" s="13">
        <v>0</v>
      </c>
      <c r="AK376" s="2" t="s">
        <v>102</v>
      </c>
      <c r="AL376" s="2" t="s">
        <v>102</v>
      </c>
      <c r="AM376" s="2" t="s">
        <v>102</v>
      </c>
      <c r="AN376" s="13" t="str">
        <f>HYPERLINK(".\links\gpi\AGAP003657-PA-gpi.txt","N")</f>
        <v>N</v>
      </c>
      <c r="AO376" s="14" t="str">
        <f>HYPERLINK(".\links\netoglyc\AGAP003657-PA-netoglyc.txt","14")</f>
        <v>14</v>
      </c>
      <c r="AP376" s="13">
        <v>12.1</v>
      </c>
      <c r="AQ376" s="2">
        <v>1.8</v>
      </c>
      <c r="AR376" s="2">
        <v>10.3</v>
      </c>
      <c r="AS376" s="2" t="s">
        <v>104</v>
      </c>
      <c r="AT376" s="9" t="str">
        <f>HYPERLINK(".\links\NR-LIGHT\AGAP003657-PA-NR-LIGHT.txt","AGAP003657-PA")</f>
        <v>AGAP003657-PA</v>
      </c>
      <c r="AU376" s="2" t="str">
        <f>HYPERLINK("http://www.ncbi.nlm.nih.gov/sutils/blink.cgi?pid=XP_001688442.2","0.0")</f>
        <v>0.0</v>
      </c>
      <c r="AV376" s="2" t="str">
        <f>HYPERLINK("http://www.ncbi.nlm.nih.gov/protein/XP_001688442.2","XP_001688442.2")</f>
        <v>XP_001688442.2</v>
      </c>
      <c r="AW376" s="2">
        <v>100</v>
      </c>
      <c r="AX376" s="2">
        <v>100</v>
      </c>
      <c r="AY376" s="2">
        <v>100</v>
      </c>
      <c r="AZ376" s="2" t="s">
        <v>105</v>
      </c>
      <c r="BA376" s="9" t="str">
        <f>HYPERLINK(".\links\REFSEQ-INVERTEBRATE\AGAP003657-PA-REFSEQ-INVERTEBRATE.txt","AGAP003657-PA")</f>
        <v>AGAP003657-PA</v>
      </c>
      <c r="BB376" s="2" t="str">
        <f>HYPERLINK("http://www.ncbi.nlm.nih.gov/sutils/blink.cgi?pid=XP_001688442.2","0.0")</f>
        <v>0.0</v>
      </c>
      <c r="BC376" s="2" t="str">
        <f>HYPERLINK("http://www.ncbi.nlm.nih.gov/protein/XP_001688442.2","XP_001688442.2")</f>
        <v>XP_001688442.2</v>
      </c>
      <c r="BD376" s="2">
        <v>100</v>
      </c>
      <c r="BE376" s="2">
        <v>100</v>
      </c>
      <c r="BF376" s="2">
        <v>100</v>
      </c>
      <c r="BG376" s="2" t="s">
        <v>105</v>
      </c>
      <c r="BH376" s="9" t="str">
        <f>HYPERLINK(".\links\REFSEQ-PROTOZOA\AGAP003657-PA-REFSEQ-PROTOZOA.txt","hypothetical protein ENH_00037410")</f>
        <v>hypothetical protein ENH_00037410</v>
      </c>
      <c r="BI376" s="2" t="str">
        <f>HYPERLINK("http://www.ncbi.nlm.nih.gov/sutils/blink.cgi?pid=XP_013435984.1","1E-022")</f>
        <v>1E-022</v>
      </c>
      <c r="BJ376" s="2" t="str">
        <f>HYPERLINK("http://www.ncbi.nlm.nih.gov/protein/XP_013435984.1","XP_013435984.1")</f>
        <v>XP_013435984.1</v>
      </c>
      <c r="BK376" s="2">
        <v>40</v>
      </c>
      <c r="BL376" s="2">
        <v>50</v>
      </c>
      <c r="BM376" s="2">
        <v>28</v>
      </c>
      <c r="BN376" s="2" t="s">
        <v>2642</v>
      </c>
      <c r="BO376" s="9" t="str">
        <f>HYPERLINK(".\links\SWISSP\AGAP003657-PA-SWISSP.txt","Putative mediator of RNA polymerase II transcription subunit 26")</f>
        <v>Putative mediator of RNA polymerase II transcription subunit 26</v>
      </c>
      <c r="BP376" s="2" t="str">
        <f>HYPERLINK("http://www.uniprot.org/uniprot/Q552X2","2E-020")</f>
        <v>2E-020</v>
      </c>
      <c r="BQ376" s="2" t="str">
        <f>HYPERLINK("http://www.uniprot.org/uniprot/Q552X2#expression","Q552X2")</f>
        <v>Q552X2</v>
      </c>
      <c r="BR376" s="2">
        <v>27</v>
      </c>
      <c r="BS376" s="2">
        <v>49</v>
      </c>
      <c r="BT376" s="2">
        <v>10</v>
      </c>
      <c r="BU376" s="2" t="s">
        <v>1919</v>
      </c>
      <c r="BV376" s="9" t="str">
        <f>HYPERLINK(".\links\FLYBASE\AGAP003657-PA-FLYBASE.txt","FBpp0289996")</f>
        <v>FBpp0289996</v>
      </c>
      <c r="BW376" s="2" t="str">
        <f>HYPERLINK("http://flybase.org/reports/FBgn0029893#alliance_summary_container","7.5")</f>
        <v>7.5</v>
      </c>
      <c r="BX376" s="2">
        <v>952</v>
      </c>
      <c r="BY376" s="2">
        <v>33</v>
      </c>
      <c r="BZ376" s="2">
        <v>49</v>
      </c>
      <c r="CA376" s="2">
        <v>11</v>
      </c>
      <c r="CB376" s="9" t="str">
        <f>HYPERLINK(".\links\CDD\AGAP003657-PA-CDD.txt","PAT1, Topoisomerase II-associated protein PAT1")</f>
        <v>PAT1, Topoisomerase II-associated protein PAT1</v>
      </c>
      <c r="CC376" s="15">
        <v>2.9999999999999998E-13</v>
      </c>
      <c r="CD376" s="2">
        <v>10.6</v>
      </c>
      <c r="CE376" s="2" t="s">
        <v>3695</v>
      </c>
      <c r="CF376" s="2" t="s">
        <v>4037</v>
      </c>
      <c r="CG376" s="9" t="str">
        <f>HYPERLINK(".\links\KOG\AGAP003657-PA-KOG.txt","subunit TRAP230")</f>
        <v>subunit TRAP230</v>
      </c>
      <c r="CH376" s="15">
        <v>4.9999999999999997E-12</v>
      </c>
      <c r="CI376" s="2">
        <v>5.8</v>
      </c>
      <c r="CJ376" s="2" t="s">
        <v>4038</v>
      </c>
      <c r="CK376" s="2" t="s">
        <v>309</v>
      </c>
      <c r="CL376" s="9" t="str">
        <f>HYPERLINK(".\links\PFAM\AGAP003657-PA-PFAM.txt","PAT1, Topoisomerase II-associated protein PAT1")</f>
        <v>PAT1, Topoisomerase II-associated protein PAT1</v>
      </c>
      <c r="CM376" s="15">
        <v>5.0000000000000002E-14</v>
      </c>
      <c r="CN376" s="2">
        <v>10.6</v>
      </c>
      <c r="CO376" s="2" t="s">
        <v>3695</v>
      </c>
      <c r="CP376" s="9" t="str">
        <f>HYPERLINK(".\links\SMART\AGAP003657-PA-SMART.txt","Amelogenin, Amelogenins, cell adhesion proteins, play a role in the biomineralisation of teeth")</f>
        <v>Amelogenin, Amelogenins, cell adhesion proteins, play a role in the biomineralisation of teeth</v>
      </c>
      <c r="CQ376" s="15">
        <v>1.0000000000000001E-5</v>
      </c>
      <c r="CR376" s="2">
        <v>49.1</v>
      </c>
      <c r="CS376" s="2" t="s">
        <v>311</v>
      </c>
      <c r="CT376" s="2" t="s">
        <v>4035</v>
      </c>
      <c r="CU376" s="2" t="s">
        <v>4035</v>
      </c>
      <c r="CV376" s="2" t="s">
        <v>4035</v>
      </c>
      <c r="CW376" s="2" t="str">
        <f>HYPERLINK(".\links\pep\AGAP003657-PA-pep.txt","AGAP003657-PA")</f>
        <v>AGAP003657-PA</v>
      </c>
      <c r="CX376" s="2" t="s">
        <v>95</v>
      </c>
      <c r="CY376" s="2">
        <v>339</v>
      </c>
      <c r="CZ376" s="2" t="s">
        <v>113</v>
      </c>
      <c r="DA376" s="2" t="s">
        <v>4039</v>
      </c>
      <c r="DB376" s="2">
        <v>0</v>
      </c>
      <c r="DC376" s="2">
        <v>0</v>
      </c>
      <c r="DD376" s="2" t="str">
        <f>HYPERLINK("https://www.kegg.jp/kegg-bin/search_pathway_text?map=aga&amp;keyword=AGAP003657&amp;mode=1&amp;viewImage=true","AGAP003657")</f>
        <v>AGAP003657</v>
      </c>
      <c r="DE376" s="2" t="s">
        <v>4033</v>
      </c>
      <c r="DF376" s="2" t="s">
        <v>93</v>
      </c>
      <c r="DG376" s="2" t="s">
        <v>94</v>
      </c>
      <c r="DH376" s="2" t="str">
        <f>HYPERLINK("https://vectorbase.org/vectorbase/app/record/gene/AGAP003657","AGAP003657-RA")</f>
        <v>AGAP003657-RA</v>
      </c>
      <c r="DI376" s="2" t="s">
        <v>90</v>
      </c>
      <c r="DJ376" s="2">
        <v>1830</v>
      </c>
      <c r="DK376" s="2" t="str">
        <f>HYPERLINK(".\links\netoglyc\AGAP003657-PA-netoglyc.txt","14")</f>
        <v>14</v>
      </c>
      <c r="DL376" s="2">
        <v>12.1</v>
      </c>
      <c r="DM376" s="2">
        <v>1.8</v>
      </c>
      <c r="DN376" s="2">
        <v>10.3</v>
      </c>
      <c r="DO376" s="2" t="s">
        <v>104</v>
      </c>
      <c r="DP376" s="2" t="s">
        <v>4040</v>
      </c>
      <c r="DQ376" s="2" t="str">
        <f>HYPERLINK(".\links\Sigp\AGAP003657-PA-SigP.txt","CYT")</f>
        <v>CYT</v>
      </c>
      <c r="DR376" s="2" t="s">
        <v>102</v>
      </c>
      <c r="DS376" s="2">
        <v>39.999000000000002</v>
      </c>
      <c r="DT376" s="2">
        <v>9.74</v>
      </c>
      <c r="DU376" s="2" t="s">
        <v>102</v>
      </c>
      <c r="DV376" s="2" t="s">
        <v>102</v>
      </c>
      <c r="DW376" s="2" t="s">
        <v>211</v>
      </c>
      <c r="DX376" s="2">
        <v>339</v>
      </c>
      <c r="DY376" s="12">
        <v>0</v>
      </c>
      <c r="DZ376" s="2" t="s">
        <v>102</v>
      </c>
      <c r="EA376" s="2" t="s">
        <v>102</v>
      </c>
      <c r="EB376" s="2" t="s">
        <v>102</v>
      </c>
      <c r="EC376" s="2" t="str">
        <f>HYPERLINK(".\links\gpi\AGAP003657-PA-gpi.txt","Y-NoSP")</f>
        <v>Y-NoSP</v>
      </c>
      <c r="ED376" s="2">
        <v>0.49</v>
      </c>
      <c r="EE376" s="2" t="s">
        <v>4041</v>
      </c>
      <c r="EF376" s="2">
        <v>0</v>
      </c>
      <c r="EG376" s="2" t="str">
        <f>HYPERLINK(".\links\pep\AGAP003657-PA-sulf.txt","1")</f>
        <v>1</v>
      </c>
      <c r="EH376" s="2" t="s">
        <v>102</v>
      </c>
      <c r="EI376" s="2">
        <v>12.094395280236</v>
      </c>
      <c r="EJ376" s="2">
        <v>10.324483775811199</v>
      </c>
      <c r="EK376" s="2">
        <v>1.76991150442478</v>
      </c>
      <c r="EL376" s="2">
        <v>12.094395280236</v>
      </c>
      <c r="EM376" s="2" t="s">
        <v>102</v>
      </c>
      <c r="EN376" s="2" t="s">
        <v>102</v>
      </c>
      <c r="EO376" s="2" t="s">
        <v>102</v>
      </c>
      <c r="EP376" s="2" t="s">
        <v>102</v>
      </c>
      <c r="EQ376" s="2" t="s">
        <v>102</v>
      </c>
      <c r="ER376" s="2" t="s">
        <v>102</v>
      </c>
      <c r="ES376" s="2" t="s">
        <v>102</v>
      </c>
      <c r="ET376" s="2" t="str">
        <f>HYPERLINK(".\links\REFSEQ-INVERTEBRATE\AGAP003657-PA-REFSEQ-INVERTEBRATE.txt","AGAP003657-PA")</f>
        <v>AGAP003657-PA</v>
      </c>
      <c r="EU376" s="2" t="str">
        <f>HYPERLINK("http://www.ncbi.nlm.nih.gov/sutils/blink.cgi?pid=XP_001688442.2","0.0")</f>
        <v>0.0</v>
      </c>
      <c r="EV376" s="2" t="str">
        <f>HYPERLINK("http://www.ncbi.nlm.nih.gov/protein/XP_001688442.2","XP_001688442.2")</f>
        <v>XP_001688442.2</v>
      </c>
      <c r="EW376" s="2">
        <v>100</v>
      </c>
      <c r="EX376" s="2">
        <v>100</v>
      </c>
      <c r="EY376" s="2">
        <v>100</v>
      </c>
      <c r="EZ376" s="2" t="s">
        <v>105</v>
      </c>
    </row>
    <row r="377" spans="1:156" x14ac:dyDescent="0.25">
      <c r="A377" s="2" t="s">
        <v>4042</v>
      </c>
      <c r="B377" s="2">
        <v>-0.30465389669147203</v>
      </c>
      <c r="C377" s="2">
        <f t="shared" si="5"/>
        <v>0.80963642546065628</v>
      </c>
      <c r="D377" s="2">
        <v>6.8237927532985596</v>
      </c>
      <c r="E377" s="2">
        <v>16.731750975822798</v>
      </c>
      <c r="F377" s="2">
        <v>4.30543882736159E-5</v>
      </c>
      <c r="G377" s="2">
        <v>7.8955731312014606E-3</v>
      </c>
      <c r="H377" s="2" t="s">
        <v>4043</v>
      </c>
      <c r="I377" s="2" t="s">
        <v>94</v>
      </c>
      <c r="J377" s="2" t="str">
        <f>HYPERLINK("https://vectorbase.org/vectorbase/app/record/gene/AGAP000558","AGAP000558-RB")</f>
        <v>AGAP000558-RB</v>
      </c>
      <c r="K377" s="2" t="str">
        <f>HYPERLINK(".\links\pep\AGAP000558-PB-pep.txt","AGAP000558-PB")</f>
        <v>AGAP000558-PB</v>
      </c>
      <c r="L377" s="12" t="s">
        <v>95</v>
      </c>
      <c r="M377" s="2">
        <v>696</v>
      </c>
      <c r="N377" s="2">
        <v>0</v>
      </c>
      <c r="O377" s="2">
        <v>1</v>
      </c>
      <c r="P377" s="2" t="s">
        <v>4044</v>
      </c>
      <c r="Q377" s="9" t="s">
        <v>4045</v>
      </c>
      <c r="R377" s="2" t="s">
        <v>2025</v>
      </c>
      <c r="S377" s="2" t="str">
        <f>HYPERLINK(".\links\CDD\AGAP000558-PB-CDD.txt","CDD")</f>
        <v>CDD</v>
      </c>
      <c r="T377" s="2">
        <v>0</v>
      </c>
      <c r="U377" s="2">
        <v>87.7</v>
      </c>
      <c r="V377" s="2" t="s">
        <v>4046</v>
      </c>
      <c r="W377" s="10" t="s">
        <v>4047</v>
      </c>
      <c r="X377" s="2" t="s">
        <v>2025</v>
      </c>
      <c r="Y377" s="2" t="str">
        <f>HYPERLINK(".\links\REFSEQ-PROTOZOA\AGAP000558-PB-REFSEQ-PROTOZOA.txt","REFSEQ-PROTOZOA")</f>
        <v>REFSEQ-PROTOZOA</v>
      </c>
      <c r="Z377" s="2">
        <v>0</v>
      </c>
      <c r="AA377" s="2">
        <v>100.6</v>
      </c>
      <c r="AB377" s="13" t="str">
        <f>HYPERLINK(".\links\pep\AGAP000558-PB-sulf.txt","1")</f>
        <v>1</v>
      </c>
      <c r="AC377" s="13" t="str">
        <f>HYPERLINK(".\links\Sigp\AGAP000558-PB-SigP.txt","CYT")</f>
        <v>CYT</v>
      </c>
      <c r="AD377" s="2" t="s">
        <v>102</v>
      </c>
      <c r="AE377" s="2">
        <v>77.784999999999997</v>
      </c>
      <c r="AF377" s="2">
        <v>5.67</v>
      </c>
      <c r="AG377" s="2" t="s">
        <v>102</v>
      </c>
      <c r="AH377" s="2" t="s">
        <v>102</v>
      </c>
      <c r="AI377" s="2" t="s">
        <v>4048</v>
      </c>
      <c r="AJ377" s="13" t="str">
        <f>HYPERLINK(".\links\tmhmm\AGAP000558-PB-tmhmm.txt","1")</f>
        <v>1</v>
      </c>
      <c r="AK377" s="2">
        <v>2.7</v>
      </c>
      <c r="AL377" s="2">
        <v>91.7</v>
      </c>
      <c r="AM377" s="2">
        <v>5.6</v>
      </c>
      <c r="AN377" s="13" t="str">
        <f>HYPERLINK(".\links\gpi\AGAP000558-PB-gpi.txt","N")</f>
        <v>N</v>
      </c>
      <c r="AO377" s="14" t="str">
        <f>HYPERLINK(".\links\netoglyc\AGAP000558-PB-netoglyc.txt","1")</f>
        <v>1</v>
      </c>
      <c r="AP377" s="13">
        <v>10.5</v>
      </c>
      <c r="AQ377" s="2">
        <v>10.6</v>
      </c>
      <c r="AR377" s="2">
        <v>5.3</v>
      </c>
      <c r="AS377" s="2" t="s">
        <v>104</v>
      </c>
      <c r="AT377" s="9" t="str">
        <f>HYPERLINK(".\links\NR-LIGHT\AGAP000558-PB-NR-LIGHT.txt","AGAP000558-PB")</f>
        <v>AGAP000558-PB</v>
      </c>
      <c r="AU377" s="2" t="str">
        <f>HYPERLINK("http://www.ncbi.nlm.nih.gov/sutils/blink.cgi?pid=XP_001688291.2","0.0")</f>
        <v>0.0</v>
      </c>
      <c r="AV377" s="2" t="str">
        <f>HYPERLINK("http://www.ncbi.nlm.nih.gov/protein/XP_001688291.2","XP_001688291.2")</f>
        <v>XP_001688291.2</v>
      </c>
      <c r="AW377" s="2">
        <v>100</v>
      </c>
      <c r="AX377" s="2">
        <v>100</v>
      </c>
      <c r="AY377" s="2">
        <v>100</v>
      </c>
      <c r="AZ377" s="2" t="s">
        <v>105</v>
      </c>
      <c r="BA377" s="9" t="str">
        <f>HYPERLINK(".\links\REFSEQ-INVERTEBRATE\AGAP000558-PB-REFSEQ-INVERTEBRATE.txt","AGAP000558-PB")</f>
        <v>AGAP000558-PB</v>
      </c>
      <c r="BB377" s="2" t="str">
        <f>HYPERLINK("http://www.ncbi.nlm.nih.gov/sutils/blink.cgi?pid=XP_001688291.2","0.0")</f>
        <v>0.0</v>
      </c>
      <c r="BC377" s="2" t="str">
        <f>HYPERLINK("http://www.ncbi.nlm.nih.gov/protein/XP_001688291.2","XP_001688291.2")</f>
        <v>XP_001688291.2</v>
      </c>
      <c r="BD377" s="2">
        <v>100</v>
      </c>
      <c r="BE377" s="2">
        <v>100</v>
      </c>
      <c r="BF377" s="2">
        <v>100</v>
      </c>
      <c r="BG377" s="2" t="s">
        <v>105</v>
      </c>
      <c r="BH377" s="9" t="str">
        <f>HYPERLINK(".\links\REFSEQ-PROTOZOA\AGAP000558-PB-REFSEQ-PROTOZOA.txt","hypothetical protein")</f>
        <v>hypothetical protein</v>
      </c>
      <c r="BI377" s="2" t="str">
        <f>HYPERLINK("http://www.ncbi.nlm.nih.gov/sutils/blink.cgi?pid=XP_001745225.1","1E-146")</f>
        <v>1E-146</v>
      </c>
      <c r="BJ377" s="2" t="str">
        <f>HYPERLINK("http://www.ncbi.nlm.nih.gov/protein/XP_001745225.1","XP_001745225.1")</f>
        <v>XP_001745225.1</v>
      </c>
      <c r="BK377" s="2">
        <v>49</v>
      </c>
      <c r="BL377" s="2">
        <v>63</v>
      </c>
      <c r="BM377" s="2">
        <v>99</v>
      </c>
      <c r="BN377" s="2" t="s">
        <v>248</v>
      </c>
      <c r="BO377" s="9" t="str">
        <f>HYPERLINK(".\links\SWISSP\AGAP000558-PB-SWISSP.txt","Mannosyl-oligosaccharide alpha-1,2-mannosidase IA")</f>
        <v>Mannosyl-oligosaccharide alpha-1,2-mannosidase IA</v>
      </c>
      <c r="BP377" s="2" t="str">
        <f>HYPERLINK("http://www.uniprot.org/uniprot/P53624","0.0")</f>
        <v>0.0</v>
      </c>
      <c r="BQ377" s="2" t="str">
        <f>HYPERLINK("http://www.uniprot.org/uniprot/P53624#expression","P53624")</f>
        <v>P53624</v>
      </c>
      <c r="BR377" s="2">
        <v>67</v>
      </c>
      <c r="BS377" s="2">
        <v>77</v>
      </c>
      <c r="BT377" s="2">
        <v>100</v>
      </c>
      <c r="BU377" s="2" t="s">
        <v>107</v>
      </c>
      <c r="BV377" s="9" t="str">
        <f>HYPERLINK(".\links\FLYBASE\AGAP000558-PB-FLYBASE.txt","FBpp0289743")</f>
        <v>FBpp0289743</v>
      </c>
      <c r="BW377" s="2" t="str">
        <f>HYPERLINK("http://flybase.org/reports/FBgn0259170#alliance_summary_container","0.0")</f>
        <v>0.0</v>
      </c>
      <c r="BX377" s="2">
        <v>667</v>
      </c>
      <c r="BY377" s="2">
        <v>67</v>
      </c>
      <c r="BZ377" s="2">
        <v>77</v>
      </c>
      <c r="CA377" s="2">
        <v>100</v>
      </c>
      <c r="CB377" s="9" t="str">
        <f>HYPERLINK(".\links\CDD\AGAP000558-PB-CDD.txt","Glyco_hydro_47, Glycosyl hydrolase family 47")</f>
        <v>Glyco_hydro_47, Glycosyl hydrolase family 47</v>
      </c>
      <c r="CC377" s="15">
        <v>0</v>
      </c>
      <c r="CD377" s="2">
        <v>101.5</v>
      </c>
      <c r="CE377" s="2" t="s">
        <v>4049</v>
      </c>
      <c r="CF377" s="2" t="s">
        <v>4050</v>
      </c>
      <c r="CG377" s="9" t="str">
        <f>HYPERLINK(".\links\KOG\AGAP000558-PB-KOG.txt","2-mannosidase and related glycosyl hydrolases")</f>
        <v>2-mannosidase and related glycosyl hydrolases</v>
      </c>
      <c r="CH377" s="15">
        <v>0</v>
      </c>
      <c r="CI377" s="2">
        <v>101.4</v>
      </c>
      <c r="CJ377" s="2" t="s">
        <v>4051</v>
      </c>
      <c r="CK377" s="2" t="s">
        <v>2307</v>
      </c>
      <c r="CL377" s="9" t="str">
        <f>HYPERLINK(".\links\PFAM\AGAP000558-PB-PFAM.txt","Glyco_hydro_47, Glycosyl hydrolase family 47")</f>
        <v>Glyco_hydro_47, Glycosyl hydrolase family 47</v>
      </c>
      <c r="CM377" s="15">
        <v>0</v>
      </c>
      <c r="CN377" s="2">
        <v>101.5</v>
      </c>
      <c r="CO377" s="2" t="s">
        <v>4049</v>
      </c>
      <c r="CP377" s="9" t="str">
        <f>HYPERLINK(".\links\SMART\AGAP000558-PB-SMART.txt","NurA, NurA nuclease")</f>
        <v>NurA, NurA nuclease</v>
      </c>
      <c r="CQ377" s="15">
        <v>0.15</v>
      </c>
      <c r="CR377" s="2">
        <v>11.8</v>
      </c>
      <c r="CS377" s="2" t="s">
        <v>4052</v>
      </c>
      <c r="CT377" s="2" t="s">
        <v>4046</v>
      </c>
      <c r="CU377" s="2" t="s">
        <v>4046</v>
      </c>
      <c r="CV377" s="2" t="s">
        <v>4046</v>
      </c>
      <c r="CW377" s="2" t="str">
        <f>HYPERLINK(".\links\pep\AGAP000558-PB-pep.txt","AGAP000558-PB")</f>
        <v>AGAP000558-PB</v>
      </c>
      <c r="CX377" s="2" t="s">
        <v>95</v>
      </c>
      <c r="CY377" s="2">
        <v>696</v>
      </c>
      <c r="CZ377" s="2" t="s">
        <v>113</v>
      </c>
      <c r="DA377" s="2" t="s">
        <v>4053</v>
      </c>
      <c r="DB377" s="2">
        <v>0</v>
      </c>
      <c r="DC377" s="2">
        <v>1</v>
      </c>
      <c r="DD377" s="2" t="str">
        <f>HYPERLINK("https://www.kegg.jp/kegg-bin/search_pathway_text?map=aga&amp;keyword=AGAP000558&amp;mode=1&amp;viewImage=true","AGAP000558")</f>
        <v>AGAP000558</v>
      </c>
      <c r="DE377" s="2" t="s">
        <v>4042</v>
      </c>
      <c r="DF377" s="2" t="s">
        <v>4043</v>
      </c>
      <c r="DG377" s="2" t="s">
        <v>94</v>
      </c>
      <c r="DH377" s="2" t="str">
        <f>HYPERLINK("https://vectorbase.org/vectorbase/app/record/gene/AGAP000558","AGAP000558-RB")</f>
        <v>AGAP000558-RB</v>
      </c>
      <c r="DI377" s="2" t="s">
        <v>90</v>
      </c>
      <c r="DJ377" s="2">
        <v>6548</v>
      </c>
      <c r="DK377" s="2" t="str">
        <f>HYPERLINK(".\links\netoglyc\AGAP000558-PB-netoglyc.txt","1")</f>
        <v>1</v>
      </c>
      <c r="DL377" s="2">
        <v>10.5</v>
      </c>
      <c r="DM377" s="2">
        <v>10.6</v>
      </c>
      <c r="DN377" s="2">
        <v>5.3</v>
      </c>
      <c r="DO377" s="2" t="s">
        <v>104</v>
      </c>
      <c r="DP377" s="2" t="s">
        <v>4054</v>
      </c>
      <c r="DQ377" s="2" t="str">
        <f>HYPERLINK(".\links\Sigp\AGAP000558-PB-SigP.txt","CYT")</f>
        <v>CYT</v>
      </c>
      <c r="DR377" s="2" t="s">
        <v>102</v>
      </c>
      <c r="DS377" s="2">
        <v>77.784999999999997</v>
      </c>
      <c r="DT377" s="2">
        <v>5.67</v>
      </c>
      <c r="DU377" s="2" t="s">
        <v>102</v>
      </c>
      <c r="DV377" s="2" t="s">
        <v>102</v>
      </c>
      <c r="DW377" s="2" t="s">
        <v>4048</v>
      </c>
      <c r="DX377" s="2">
        <v>696</v>
      </c>
      <c r="DY377" s="12" t="str">
        <f>HYPERLINK(".\links\tmhmm\AGAP000558-PB-tmhmm.txt","1")</f>
        <v>1</v>
      </c>
      <c r="DZ377" s="2">
        <v>2.7</v>
      </c>
      <c r="EA377" s="2">
        <v>91.7</v>
      </c>
      <c r="EB377" s="2">
        <v>5.6</v>
      </c>
      <c r="EC377" s="2" t="str">
        <f>HYPERLINK(".\links\gpi\AGAP000558-PB-gpi.txt","Y-NoSP")</f>
        <v>Y-NoSP</v>
      </c>
      <c r="ED377" s="2">
        <v>0.19</v>
      </c>
      <c r="EF377" s="2">
        <v>6</v>
      </c>
      <c r="EG377" s="2" t="str">
        <f>HYPERLINK(".\links\pep\AGAP000558-PB-sulf.txt","1")</f>
        <v>1</v>
      </c>
      <c r="EH377" s="2" t="s">
        <v>102</v>
      </c>
      <c r="EI377" s="2">
        <v>10.4885057471264</v>
      </c>
      <c r="EJ377" s="2">
        <v>5.3160919540229896</v>
      </c>
      <c r="EK377" s="2">
        <v>10.632183908046001</v>
      </c>
      <c r="EL377" s="2">
        <v>15.948275862069</v>
      </c>
      <c r="EM377" s="2" t="s">
        <v>102</v>
      </c>
      <c r="EN377" s="2">
        <v>1</v>
      </c>
      <c r="EO377" s="2">
        <v>1</v>
      </c>
      <c r="EP377" s="2" t="s">
        <v>102</v>
      </c>
      <c r="EQ377" s="2" t="s">
        <v>102</v>
      </c>
      <c r="ER377" s="2" t="s">
        <v>102</v>
      </c>
      <c r="ES377" s="2" t="s">
        <v>102</v>
      </c>
      <c r="ET377" s="2" t="str">
        <f>HYPERLINK(".\links\REFSEQ-INVERTEBRATE\AGAP000558-PB-REFSEQ-INVERTEBRATE.txt","AGAP000558-PB")</f>
        <v>AGAP000558-PB</v>
      </c>
      <c r="EU377" s="2" t="str">
        <f>HYPERLINK("http://www.ncbi.nlm.nih.gov/sutils/blink.cgi?pid=XP_001688291.2","0.0")</f>
        <v>0.0</v>
      </c>
      <c r="EV377" s="2" t="str">
        <f>HYPERLINK("http://www.ncbi.nlm.nih.gov/protein/XP_001688291.2","XP_001688291.2")</f>
        <v>XP_001688291.2</v>
      </c>
      <c r="EW377" s="2">
        <v>100</v>
      </c>
      <c r="EX377" s="2">
        <v>100</v>
      </c>
      <c r="EY377" s="2">
        <v>100</v>
      </c>
      <c r="EZ377" s="2" t="s">
        <v>105</v>
      </c>
    </row>
    <row r="378" spans="1:156" x14ac:dyDescent="0.25">
      <c r="A378" s="2" t="s">
        <v>4055</v>
      </c>
      <c r="B378" s="2">
        <v>-0.30782317438576601</v>
      </c>
      <c r="C378" s="2">
        <f t="shared" si="5"/>
        <v>0.80785978782673573</v>
      </c>
      <c r="D378" s="2">
        <v>7.7106921842791998</v>
      </c>
      <c r="E378" s="2">
        <v>10.134956779697999</v>
      </c>
      <c r="F378" s="2">
        <v>1.4548365471465301E-3</v>
      </c>
      <c r="G378" s="2">
        <v>3.7406794356270402E-2</v>
      </c>
      <c r="H378" s="2" t="s">
        <v>93</v>
      </c>
      <c r="I378" s="2" t="s">
        <v>94</v>
      </c>
      <c r="J378" s="2" t="str">
        <f>HYPERLINK("https://vectorbase.org/vectorbase/app/record/gene/AGAP009389","AGAP009389-RA")</f>
        <v>AGAP009389-RA</v>
      </c>
      <c r="K378" s="2" t="str">
        <f>HYPERLINK(".\links\pep\AGAP009389-PA-pep.txt","AGAP009389-PA")</f>
        <v>AGAP009389-PA</v>
      </c>
      <c r="L378" s="12" t="s">
        <v>95</v>
      </c>
      <c r="M378" s="2">
        <v>2237</v>
      </c>
      <c r="N378" s="2">
        <v>0</v>
      </c>
      <c r="O378" s="2">
        <v>3</v>
      </c>
      <c r="P378" s="2" t="s">
        <v>102</v>
      </c>
      <c r="Q378" s="9" t="s">
        <v>4056</v>
      </c>
      <c r="R378" s="2" t="s">
        <v>196</v>
      </c>
      <c r="S378" s="2" t="str">
        <f>HYPERLINK(".\links\REFSEQ-INVERTEBRATE\AGAP009389-PA-REFSEQ-INVERTEBRATE.txt","REFSEQ-INVERTEBRATE")</f>
        <v>REFSEQ-INVERTEBRATE</v>
      </c>
      <c r="T378" s="2">
        <v>0</v>
      </c>
      <c r="U378" s="2">
        <v>113.7</v>
      </c>
      <c r="V378" s="2" t="s">
        <v>4057</v>
      </c>
      <c r="W378" s="10" t="s">
        <v>4058</v>
      </c>
      <c r="X378" s="2" t="s">
        <v>196</v>
      </c>
      <c r="Y378" s="2" t="str">
        <f>HYPERLINK(".\links\FLYBASE\AGAP009389-PA-FLYBASE.txt","FLYBASE")</f>
        <v>FLYBASE</v>
      </c>
      <c r="Z378" s="15">
        <v>0</v>
      </c>
      <c r="AA378" s="2">
        <v>39.200000000000003</v>
      </c>
      <c r="AB378" s="13" t="str">
        <f>HYPERLINK(".\links\pep\AGAP009389-PA-sulf.txt","4")</f>
        <v>4</v>
      </c>
      <c r="AC378" s="13" t="str">
        <f>HYPERLINK(".\links\Sigp\AGAP009389-PA-SigP.txt","CYT")</f>
        <v>CYT</v>
      </c>
      <c r="AD378" s="2" t="s">
        <v>102</v>
      </c>
      <c r="AE378" s="2">
        <v>238.71899999999999</v>
      </c>
      <c r="AF378" s="2">
        <v>6.75</v>
      </c>
      <c r="AG378" s="2" t="s">
        <v>102</v>
      </c>
      <c r="AH378" s="2" t="s">
        <v>102</v>
      </c>
      <c r="AI378" s="2" t="s">
        <v>211</v>
      </c>
      <c r="AJ378" s="13">
        <v>0</v>
      </c>
      <c r="AK378" s="2" t="s">
        <v>102</v>
      </c>
      <c r="AL378" s="2" t="s">
        <v>102</v>
      </c>
      <c r="AM378" s="2" t="s">
        <v>102</v>
      </c>
      <c r="AN378" s="13" t="str">
        <f>HYPERLINK(".\links\gpi\AGAP009389-PA-gpi.txt","N")</f>
        <v>N</v>
      </c>
      <c r="AO378" s="14" t="str">
        <f>HYPERLINK(".\links\netoglyc\AGAP009389-PA-netoglyc.txt","13")</f>
        <v>13</v>
      </c>
      <c r="AP378" s="13">
        <v>20.5</v>
      </c>
      <c r="AQ378" s="2">
        <v>8.9</v>
      </c>
      <c r="AR378" s="2">
        <v>3.5</v>
      </c>
      <c r="AS378" s="2" t="s">
        <v>104</v>
      </c>
      <c r="AT378" s="9" t="str">
        <f>HYPERLINK(".\links\NR-LIGHT\AGAP009389-PA-NR-LIGHT.txt","hypothetical protein ZHAS_00006483")</f>
        <v>hypothetical protein ZHAS_00006483</v>
      </c>
      <c r="AU378" s="2" t="str">
        <f>HYPERLINK("http://www.ncbi.nlm.nih.gov/sutils/blink.cgi?pid=KFB38974.1","0.0")</f>
        <v>0.0</v>
      </c>
      <c r="AV378" s="2" t="str">
        <f>HYPERLINK("http://www.ncbi.nlm.nih.gov/protein/KFB38974.1","KFB38974.1")</f>
        <v>KFB38974.1</v>
      </c>
      <c r="AW378" s="2">
        <v>74</v>
      </c>
      <c r="AX378" s="2">
        <v>80</v>
      </c>
      <c r="AY378" s="2">
        <v>103</v>
      </c>
      <c r="AZ378" s="2" t="s">
        <v>1522</v>
      </c>
      <c r="BA378" s="9" t="str">
        <f>HYPERLINK(".\links\REFSEQ-INVERTEBRATE\AGAP009389-PA-REFSEQ-INVERTEBRATE.txt","uncharacterized protein LOC5569804 isoform X2")</f>
        <v>uncharacterized protein LOC5569804 isoform X2</v>
      </c>
      <c r="BB378" s="2" t="str">
        <f>HYPERLINK("http://www.ncbi.nlm.nih.gov/sutils/blink.cgi?pid=XP_021703696.1","0.0")</f>
        <v>0.0</v>
      </c>
      <c r="BC378" s="2" t="str">
        <f>HYPERLINK("http://www.ncbi.nlm.nih.gov/protein/XP_021703696.1","XP_021703696.1")</f>
        <v>XP_021703696.1</v>
      </c>
      <c r="BD378" s="2">
        <v>55</v>
      </c>
      <c r="BE378" s="2">
        <v>64</v>
      </c>
      <c r="BF378" s="2">
        <v>114</v>
      </c>
      <c r="BG378" s="2" t="s">
        <v>391</v>
      </c>
      <c r="BH378" s="9" t="str">
        <f>HYPERLINK(".\links\REFSEQ-PROTOZOA\AGAP009389-PA-REFSEQ-PROTOZOA.txt","proteophosphoglycan 5")</f>
        <v>proteophosphoglycan 5</v>
      </c>
      <c r="BI378" s="2" t="str">
        <f>HYPERLINK("http://www.ncbi.nlm.nih.gov/sutils/blink.cgi?pid=XP_003722449.1","6E-046")</f>
        <v>6E-046</v>
      </c>
      <c r="BJ378" s="2" t="str">
        <f>HYPERLINK("http://www.ncbi.nlm.nih.gov/protein/XP_003722449.1","XP_003722449.1")</f>
        <v>XP_003722449.1</v>
      </c>
      <c r="BK378" s="2">
        <v>19</v>
      </c>
      <c r="BL378" s="2">
        <v>36</v>
      </c>
      <c r="BM378" s="2">
        <v>10</v>
      </c>
      <c r="BN378" s="2" t="s">
        <v>3969</v>
      </c>
      <c r="BO378" s="9" t="str">
        <f>HYPERLINK(".\links\SWISSP\AGAP009389-PA-SWISSP.txt","Platelet binding protein GspB")</f>
        <v>Platelet binding protein GspB</v>
      </c>
      <c r="BP378" s="2" t="str">
        <f>HYPERLINK("http://www.uniprot.org/uniprot/Q939N5","7E-035")</f>
        <v>7E-035</v>
      </c>
      <c r="BQ378" s="2" t="str">
        <f>HYPERLINK("http://www.uniprot.org/uniprot/Q939N5#expression","Q939N5")</f>
        <v>Q939N5</v>
      </c>
      <c r="BR378" s="2">
        <v>19</v>
      </c>
      <c r="BS378" s="2">
        <v>37</v>
      </c>
      <c r="BT378" s="2">
        <v>54</v>
      </c>
      <c r="BU378" s="2" t="s">
        <v>4059</v>
      </c>
      <c r="BV378" s="9" t="str">
        <f>HYPERLINK(".\links\FLYBASE\AGAP009389-PA-FLYBASE.txt","FBpp0305985")</f>
        <v>FBpp0305985</v>
      </c>
      <c r="BW378" s="2" t="str">
        <f>HYPERLINK("http://flybase.org/reports/FBgn0001316#alliance_summary_container","1E-116")</f>
        <v>1E-116</v>
      </c>
      <c r="BX378" s="2">
        <v>1180</v>
      </c>
      <c r="BY378" s="2">
        <v>34</v>
      </c>
      <c r="BZ378" s="2">
        <v>50</v>
      </c>
      <c r="CA378" s="2">
        <v>75</v>
      </c>
      <c r="CB378" s="9" t="str">
        <f>HYPERLINK(".\links\CDD\AGAP009389-PA-CDD.txt","PRK13875, conjugal transfer protein TrbL")</f>
        <v>PRK13875, conjugal transfer protein TrbL</v>
      </c>
      <c r="CC378" s="15">
        <v>4.0000000000000003E-5</v>
      </c>
      <c r="CD378" s="2">
        <v>35.200000000000003</v>
      </c>
      <c r="CE378" s="2" t="s">
        <v>4060</v>
      </c>
      <c r="CF378" s="2" t="s">
        <v>4061</v>
      </c>
      <c r="CG378" s="9" t="str">
        <f>HYPERLINK(".\links\KOG\AGAP009389-PA-KOG.txt","5'-3' exonuclease HKE1/RAT1")</f>
        <v>5'-3' exonuclease HKE1/RAT1</v>
      </c>
      <c r="CH378" s="15">
        <v>1E-4</v>
      </c>
      <c r="CI378" s="2">
        <v>15.1</v>
      </c>
      <c r="CJ378" s="2" t="s">
        <v>234</v>
      </c>
      <c r="CK378" s="2" t="s">
        <v>235</v>
      </c>
      <c r="CL378" s="9" t="str">
        <f>HYPERLINK(".\links\PFAM\AGAP009389-PA-PFAM.txt","DUF4175, Domain of unknown function (DUF4175)")</f>
        <v>DUF4175, Domain of unknown function (DUF4175)</v>
      </c>
      <c r="CM378" s="15">
        <v>1.0000000000000001E-5</v>
      </c>
      <c r="CN378" s="2">
        <v>34.700000000000003</v>
      </c>
      <c r="CO378" s="2" t="s">
        <v>4062</v>
      </c>
      <c r="CP378" s="9" t="str">
        <f>HYPERLINK(".\links\SMART\AGAP009389-PA-SMART.txt","PRP, Major prion protein")</f>
        <v>PRP, Major prion protein</v>
      </c>
      <c r="CQ378" s="15">
        <v>2E-3</v>
      </c>
      <c r="CR378" s="2">
        <v>40.799999999999997</v>
      </c>
      <c r="CS378" s="2" t="s">
        <v>1331</v>
      </c>
      <c r="CT378" s="2" t="s">
        <v>4057</v>
      </c>
      <c r="CU378" s="2" t="s">
        <v>4057</v>
      </c>
      <c r="CV378" s="2" t="s">
        <v>4057</v>
      </c>
      <c r="CW378" s="2" t="str">
        <f>HYPERLINK(".\links\pep\AGAP009389-PA-pep.txt","AGAP009389-PA")</f>
        <v>AGAP009389-PA</v>
      </c>
      <c r="CX378" s="2" t="s">
        <v>95</v>
      </c>
      <c r="CY378" s="2">
        <v>2237</v>
      </c>
      <c r="CZ378" s="2" t="s">
        <v>113</v>
      </c>
      <c r="DA378" s="2" t="s">
        <v>4063</v>
      </c>
      <c r="DB378" s="2">
        <v>0</v>
      </c>
      <c r="DC378" s="2">
        <v>3</v>
      </c>
      <c r="DD378" s="2" t="str">
        <f>HYPERLINK("https://www.kegg.jp/kegg-bin/search_pathway_text?map=aga&amp;keyword=AGAP009389&amp;mode=1&amp;viewImage=true","AGAP009389")</f>
        <v>AGAP009389</v>
      </c>
      <c r="DE378" s="2" t="s">
        <v>4055</v>
      </c>
      <c r="DF378" s="2" t="s">
        <v>93</v>
      </c>
      <c r="DG378" s="2" t="s">
        <v>94</v>
      </c>
      <c r="DH378" s="2" t="str">
        <f>HYPERLINK("https://vectorbase.org/vectorbase/app/record/gene/AGAP009389","AGAP009389-RA")</f>
        <v>AGAP009389-RA</v>
      </c>
      <c r="DI378" s="2" t="s">
        <v>135</v>
      </c>
      <c r="DJ378" s="2">
        <v>9116</v>
      </c>
      <c r="DK378" s="2" t="str">
        <f>HYPERLINK(".\links\netoglyc\AGAP009389-PA-netoglyc.txt","13")</f>
        <v>13</v>
      </c>
      <c r="DL378" s="2">
        <v>20.5</v>
      </c>
      <c r="DM378" s="2">
        <v>8.9</v>
      </c>
      <c r="DN378" s="2">
        <v>3.5</v>
      </c>
      <c r="DO378" s="2" t="s">
        <v>104</v>
      </c>
      <c r="DP378" s="2" t="s">
        <v>4064</v>
      </c>
      <c r="DQ378" s="2" t="str">
        <f>HYPERLINK(".\links\Sigp\AGAP009389-PA-SigP.txt","CYT")</f>
        <v>CYT</v>
      </c>
      <c r="DR378" s="2" t="s">
        <v>102</v>
      </c>
      <c r="DS378" s="2">
        <v>238.71899999999999</v>
      </c>
      <c r="DT378" s="2">
        <v>6.75</v>
      </c>
      <c r="DU378" s="2" t="s">
        <v>102</v>
      </c>
      <c r="DV378" s="2" t="s">
        <v>102</v>
      </c>
      <c r="DW378" s="2" t="s">
        <v>211</v>
      </c>
      <c r="DX378" s="2">
        <v>2237</v>
      </c>
      <c r="DY378" s="12">
        <v>0</v>
      </c>
      <c r="DZ378" s="2" t="s">
        <v>102</v>
      </c>
      <c r="EA378" s="2" t="s">
        <v>102</v>
      </c>
      <c r="EB378" s="2" t="s">
        <v>102</v>
      </c>
      <c r="EC378" s="2" t="str">
        <f>HYPERLINK(".\links\gpi\AGAP009389-PA-gpi.txt","N")</f>
        <v>N</v>
      </c>
      <c r="ED378" s="2">
        <v>0.24</v>
      </c>
      <c r="EF378" s="2">
        <v>30</v>
      </c>
      <c r="EG378" s="2" t="str">
        <f>HYPERLINK(".\links\pep\AGAP009389-PA-sulf.txt","4")</f>
        <v>4</v>
      </c>
      <c r="EH378" s="2" t="s">
        <v>102</v>
      </c>
      <c r="EI378" s="2">
        <v>20.518551631649501</v>
      </c>
      <c r="EJ378" s="2">
        <v>3.5315154224407701</v>
      </c>
      <c r="EK378" s="2">
        <v>8.9405453732677707</v>
      </c>
      <c r="EL378" s="2">
        <v>12.472060795708501</v>
      </c>
      <c r="EM378" s="2">
        <v>3</v>
      </c>
      <c r="EN378" s="2">
        <v>9</v>
      </c>
      <c r="EO378" s="2">
        <v>12</v>
      </c>
      <c r="EP378" s="2" t="s">
        <v>102</v>
      </c>
      <c r="EQ378" s="2" t="s">
        <v>102</v>
      </c>
      <c r="ER378" s="2" t="s">
        <v>102</v>
      </c>
      <c r="ES378" s="2" t="s">
        <v>102</v>
      </c>
      <c r="ET378" s="2" t="str">
        <f>HYPERLINK(".\links\REFSEQ-INVERTEBRATE\AGAP009389-PA-REFSEQ-INVERTEBRATE.txt","serine-rich adhesin for platelets isoform X1")</f>
        <v>serine-rich adhesin for platelets isoform X1</v>
      </c>
      <c r="EU378" s="2" t="str">
        <f>HYPERLINK("http://www.ncbi.nlm.nih.gov/sutils/blink.cgi?pid=XP_035909007.1","0.0")</f>
        <v>0.0</v>
      </c>
      <c r="EV378" s="2" t="str">
        <f>HYPERLINK("http://www.ncbi.nlm.nih.gov/protein/XP_035909007.1","XP_035909007.1")</f>
        <v>XP_035909007.1</v>
      </c>
      <c r="EW378" s="2">
        <v>80</v>
      </c>
      <c r="EX378" s="2">
        <v>84</v>
      </c>
      <c r="EY378" s="2">
        <v>103</v>
      </c>
      <c r="EZ378" s="2" t="s">
        <v>370</v>
      </c>
    </row>
    <row r="379" spans="1:156" x14ac:dyDescent="0.25">
      <c r="A379" s="2" t="s">
        <v>4065</v>
      </c>
      <c r="B379" s="2">
        <v>-0.30860217075966601</v>
      </c>
      <c r="C379" s="2">
        <f t="shared" si="5"/>
        <v>0.80742369429720939</v>
      </c>
      <c r="D379" s="2">
        <v>7.3163910581555296</v>
      </c>
      <c r="E379" s="2">
        <v>8.8426194311618396</v>
      </c>
      <c r="F379" s="2">
        <v>2.9427648384407301E-3</v>
      </c>
      <c r="G379" s="2">
        <v>4.9803632520221103E-2</v>
      </c>
      <c r="H379" s="2" t="s">
        <v>93</v>
      </c>
      <c r="I379" s="2" t="s">
        <v>94</v>
      </c>
      <c r="J379" s="2" t="str">
        <f>HYPERLINK("https://vectorbase.org/vectorbase/app/record/gene/AGAP004144","AGAP004144-RA")</f>
        <v>AGAP004144-RA</v>
      </c>
      <c r="K379" s="2" t="str">
        <f>HYPERLINK(".\links\pep\AGAP004144-PA-pep.txt","AGAP004144-PA")</f>
        <v>AGAP004144-PA</v>
      </c>
      <c r="L379" s="12" t="s">
        <v>95</v>
      </c>
      <c r="M379" s="2">
        <v>3691</v>
      </c>
      <c r="N379" s="2">
        <v>0</v>
      </c>
      <c r="O379" s="2">
        <v>14</v>
      </c>
      <c r="P379" s="2" t="s">
        <v>102</v>
      </c>
      <c r="Q379" s="9" t="s">
        <v>4066</v>
      </c>
      <c r="R379" s="2" t="s">
        <v>931</v>
      </c>
      <c r="S379" s="2" t="str">
        <f>HYPERLINK(".\links\NR-LIGHT\AGAP004144-PA-NR-LIGHT.txt","NR-LIGHT")</f>
        <v>NR-LIGHT</v>
      </c>
      <c r="T379" s="2">
        <v>0</v>
      </c>
      <c r="U379" s="2">
        <v>102.3</v>
      </c>
      <c r="V379" s="2" t="s">
        <v>4067</v>
      </c>
      <c r="W379" s="10" t="s">
        <v>4068</v>
      </c>
      <c r="X379" s="2" t="s">
        <v>931</v>
      </c>
      <c r="Y379" s="2" t="str">
        <f>HYPERLINK(".\links\REFSEQVERTEBRATE95\AGAP004144-PA-REFSEQVERTEBRATE95.txt","REFSEQVERTEBRATE95")</f>
        <v>REFSEQVERTEBRATE95</v>
      </c>
      <c r="Z379" s="2">
        <v>0</v>
      </c>
      <c r="AA379" s="2">
        <v>27.6</v>
      </c>
      <c r="AB379" s="13" t="str">
        <f>HYPERLINK(".\links\pep\AGAP004144-PA-sulf.txt","9")</f>
        <v>9</v>
      </c>
      <c r="AC379" s="13" t="str">
        <f>HYPERLINK(".\links\Sigp\AGAP004144-PA-SigP.txt","CYT")</f>
        <v>CYT</v>
      </c>
      <c r="AD379" s="2" t="s">
        <v>102</v>
      </c>
      <c r="AE379" s="2">
        <v>418.226</v>
      </c>
      <c r="AF379" s="2">
        <v>6.6</v>
      </c>
      <c r="AG379" s="2" t="s">
        <v>102</v>
      </c>
      <c r="AH379" s="2" t="s">
        <v>102</v>
      </c>
      <c r="AI379" s="2" t="s">
        <v>3327</v>
      </c>
      <c r="AJ379" s="13">
        <v>0</v>
      </c>
      <c r="AK379" s="2" t="s">
        <v>102</v>
      </c>
      <c r="AL379" s="2" t="s">
        <v>102</v>
      </c>
      <c r="AM379" s="2" t="s">
        <v>102</v>
      </c>
      <c r="AN379" s="13" t="str">
        <f>HYPERLINK(".\links\gpi\AGAP004144-PA-gpi.txt","N")</f>
        <v>N</v>
      </c>
      <c r="AO379" s="14" t="str">
        <f>HYPERLINK(".\links\netoglyc\AGAP004144-PA-netoglyc.txt","6")</f>
        <v>6</v>
      </c>
      <c r="AP379" s="13">
        <v>14.2</v>
      </c>
      <c r="AQ379" s="2">
        <v>4.9000000000000004</v>
      </c>
      <c r="AR379" s="2">
        <v>4</v>
      </c>
      <c r="AS379" s="2" t="s">
        <v>104</v>
      </c>
      <c r="AT379" s="9" t="str">
        <f>HYPERLINK(".\links\NR-LIGHT\AGAP004144-PA-NR-LIGHT.txt","AGAP004144-PA")</f>
        <v>AGAP004144-PA</v>
      </c>
      <c r="AU379" s="2" t="str">
        <f>HYPERLINK("http://www.ncbi.nlm.nih.gov/sutils/blink.cgi?pid=XP_313026.4","0.0")</f>
        <v>0.0</v>
      </c>
      <c r="AV379" s="2" t="str">
        <f>HYPERLINK("http://www.ncbi.nlm.nih.gov/protein/XP_313026.4","XP_313026.4")</f>
        <v>XP_313026.4</v>
      </c>
      <c r="AW379" s="2">
        <v>99</v>
      </c>
      <c r="AX379" s="2">
        <v>99</v>
      </c>
      <c r="AY379" s="2">
        <v>100</v>
      </c>
      <c r="AZ379" s="2" t="s">
        <v>105</v>
      </c>
      <c r="BA379" s="9" t="str">
        <f>HYPERLINK(".\links\REFSEQ-INVERTEBRATE\AGAP004144-PA-REFSEQ-INVERTEBRATE.txt","AGAP004144-PA")</f>
        <v>AGAP004144-PA</v>
      </c>
      <c r="BB379" s="2" t="str">
        <f>HYPERLINK("http://www.ncbi.nlm.nih.gov/sutils/blink.cgi?pid=XP_313026.4","0.0")</f>
        <v>0.0</v>
      </c>
      <c r="BC379" s="2" t="str">
        <f>HYPERLINK("http://www.ncbi.nlm.nih.gov/protein/XP_313026.4","XP_313026.4")</f>
        <v>XP_313026.4</v>
      </c>
      <c r="BD379" s="2">
        <v>99</v>
      </c>
      <c r="BE379" s="2">
        <v>99</v>
      </c>
      <c r="BF379" s="2">
        <v>100</v>
      </c>
      <c r="BG379" s="2" t="s">
        <v>105</v>
      </c>
      <c r="BH379" s="9" t="str">
        <f>HYPERLINK(".\links\REFSEQ-PROTOZOA\AGAP004144-PA-REFSEQ-PROTOZOA.txt","BEACH domain-containing protein")</f>
        <v>BEACH domain-containing protein</v>
      </c>
      <c r="BI379" s="2" t="str">
        <f>HYPERLINK("http://www.ncbi.nlm.nih.gov/sutils/blink.cgi?pid=XP_020432571.1","2E-086")</f>
        <v>2E-086</v>
      </c>
      <c r="BJ379" s="2" t="str">
        <f>HYPERLINK("http://www.ncbi.nlm.nih.gov/protein/XP_020432571.1","XP_020432571.1")</f>
        <v>XP_020432571.1</v>
      </c>
      <c r="BK379" s="2">
        <v>26</v>
      </c>
      <c r="BL379" s="2">
        <v>41</v>
      </c>
      <c r="BM379" s="2">
        <v>34</v>
      </c>
      <c r="BN379" s="2" t="s">
        <v>762</v>
      </c>
      <c r="BO379" s="9" t="str">
        <f>HYPERLINK(".\links\SWISSP\AGAP004144-PA-SWISSP.txt","Lysosomal-trafficking regulator")</f>
        <v>Lysosomal-trafficking regulator</v>
      </c>
      <c r="BP379" s="2" t="str">
        <f>HYPERLINK("http://www.uniprot.org/uniprot/P97412","1E-137")</f>
        <v>1E-137</v>
      </c>
      <c r="BQ379" s="2" t="str">
        <f>HYPERLINK("http://www.uniprot.org/uniprot/P97412#expression","P97412")</f>
        <v>P97412</v>
      </c>
      <c r="BR379" s="2">
        <v>32</v>
      </c>
      <c r="BS379" s="2">
        <v>47</v>
      </c>
      <c r="BT379" s="2">
        <v>27</v>
      </c>
      <c r="BU379" s="2" t="s">
        <v>662</v>
      </c>
      <c r="BV379" s="9" t="str">
        <f>HYPERLINK(".\links\FLYBASE\AGAP004144-PA-FLYBASE.txt","FBpp0293022")</f>
        <v>FBpp0293022</v>
      </c>
      <c r="BW379" s="2" t="str">
        <f>HYPERLINK("http://flybase.org/reports/FBgn0265988#alliance_summary_container","0.0")</f>
        <v>0.0</v>
      </c>
      <c r="BX379" s="2">
        <v>3535</v>
      </c>
      <c r="BY379" s="2">
        <v>37</v>
      </c>
      <c r="BZ379" s="2">
        <v>52</v>
      </c>
      <c r="CA379" s="2">
        <v>44</v>
      </c>
      <c r="CB379" s="9" t="str">
        <f>HYPERLINK(".\links\CDD\AGAP004144-PA-CDD.txt","Beach, Beige/BEACH domain")</f>
        <v>Beach, Beige/BEACH domain</v>
      </c>
      <c r="CC379" s="15">
        <v>1.0000000000000001E-130</v>
      </c>
      <c r="CD379" s="2">
        <v>103.6</v>
      </c>
      <c r="CE379" s="2" t="s">
        <v>4069</v>
      </c>
      <c r="CF379" s="2" t="s">
        <v>4070</v>
      </c>
      <c r="CG379" s="9" t="str">
        <f>HYPERLINK(".\links\KOG\AGAP004144-PA-KOG.txt","Lysosomal trafficking regulator LYST and related BEACH and WD40 repeat proteins")</f>
        <v>Lysosomal trafficking regulator LYST and related BEACH and WD40 repeat proteins</v>
      </c>
      <c r="CH379" s="15">
        <v>3E-65</v>
      </c>
      <c r="CI379" s="2">
        <v>21</v>
      </c>
      <c r="CJ379" s="2" t="s">
        <v>4071</v>
      </c>
      <c r="CK379" s="2" t="s">
        <v>463</v>
      </c>
      <c r="CL379" s="9" t="str">
        <f>HYPERLINK(".\links\PFAM\AGAP004144-PA-PFAM.txt","Beach, Beige/BEACH domain")</f>
        <v>Beach, Beige/BEACH domain</v>
      </c>
      <c r="CM379" s="15">
        <v>9.9999999999999999E-132</v>
      </c>
      <c r="CN379" s="2">
        <v>103.6</v>
      </c>
      <c r="CO379" s="2" t="s">
        <v>4069</v>
      </c>
      <c r="CP379" s="9" t="str">
        <f>HYPERLINK(".\links\SMART\AGAP004144-PA-SMART.txt","Beach, Beige/BEACH domain")</f>
        <v>Beach, Beige/BEACH domain</v>
      </c>
      <c r="CQ379" s="15">
        <v>1.0000000000000001E-128</v>
      </c>
      <c r="CR379" s="2">
        <v>103.9</v>
      </c>
      <c r="CS379" s="2" t="s">
        <v>4072</v>
      </c>
      <c r="CT379" s="2" t="s">
        <v>4067</v>
      </c>
      <c r="CU379" s="2" t="s">
        <v>4067</v>
      </c>
      <c r="CV379" s="2" t="s">
        <v>4067</v>
      </c>
      <c r="CW379" s="2" t="str">
        <f>HYPERLINK(".\links\pep\AGAP004144-PA-pep.txt","AGAP004144-PA")</f>
        <v>AGAP004144-PA</v>
      </c>
      <c r="CX379" s="2" t="s">
        <v>95</v>
      </c>
      <c r="CY379" s="2">
        <v>3691</v>
      </c>
      <c r="CZ379" s="2" t="s">
        <v>113</v>
      </c>
      <c r="DA379" s="2" t="s">
        <v>4073</v>
      </c>
      <c r="DB379" s="2">
        <v>0</v>
      </c>
      <c r="DC379" s="2">
        <v>14</v>
      </c>
      <c r="DD379" s="2" t="str">
        <f>HYPERLINK("https://www.kegg.jp/kegg-bin/search_pathway_text?map=aga&amp;keyword=AGAP004144&amp;mode=1&amp;viewImage=true","AGAP004144")</f>
        <v>AGAP004144</v>
      </c>
      <c r="DE379" s="2" t="s">
        <v>4065</v>
      </c>
      <c r="DF379" s="2" t="s">
        <v>93</v>
      </c>
      <c r="DG379" s="2" t="s">
        <v>94</v>
      </c>
      <c r="DH379" s="2" t="str">
        <f>HYPERLINK("https://vectorbase.org/vectorbase/app/record/gene/AGAP004144","AGAP004144-RA")</f>
        <v>AGAP004144-RA</v>
      </c>
      <c r="DI379" s="2" t="s">
        <v>115</v>
      </c>
      <c r="DJ379" s="2">
        <v>11954</v>
      </c>
      <c r="DK379" s="2" t="str">
        <f>HYPERLINK(".\links\netoglyc\AGAP004144-PA-netoglyc.txt","6")</f>
        <v>6</v>
      </c>
      <c r="DL379" s="2">
        <v>14.2</v>
      </c>
      <c r="DM379" s="2">
        <v>4.9000000000000004</v>
      </c>
      <c r="DN379" s="2">
        <v>4</v>
      </c>
      <c r="DO379" s="2" t="s">
        <v>104</v>
      </c>
      <c r="DP379" s="2" t="s">
        <v>4074</v>
      </c>
      <c r="DQ379" s="2" t="str">
        <f>HYPERLINK(".\links\Sigp\AGAP004144-PA-SigP.txt","CYT")</f>
        <v>CYT</v>
      </c>
      <c r="DR379" s="2" t="s">
        <v>102</v>
      </c>
      <c r="DS379" s="2">
        <v>418.226</v>
      </c>
      <c r="DT379" s="2">
        <v>6.6</v>
      </c>
      <c r="DU379" s="2" t="s">
        <v>102</v>
      </c>
      <c r="DV379" s="2" t="s">
        <v>102</v>
      </c>
      <c r="DW379" s="2" t="s">
        <v>3327</v>
      </c>
      <c r="DX379" s="2">
        <v>3691</v>
      </c>
      <c r="DY379" s="12">
        <v>0</v>
      </c>
      <c r="DZ379" s="2" t="s">
        <v>102</v>
      </c>
      <c r="EA379" s="2" t="s">
        <v>102</v>
      </c>
      <c r="EB379" s="2" t="s">
        <v>102</v>
      </c>
      <c r="EC379" s="2" t="str">
        <f>HYPERLINK(".\links\gpi\AGAP004144-PA-gpi.txt","N")</f>
        <v>N</v>
      </c>
      <c r="ED379" s="2">
        <v>0.12</v>
      </c>
      <c r="EF379" s="2">
        <v>73</v>
      </c>
      <c r="EG379" s="2" t="str">
        <f>HYPERLINK(".\links\pep\AGAP004144-PA-sulf.txt","9")</f>
        <v>9</v>
      </c>
      <c r="EH379" s="2" t="s">
        <v>102</v>
      </c>
      <c r="EI379" s="2">
        <v>14.169601733947401</v>
      </c>
      <c r="EJ379" s="2">
        <v>4.0097534543484104</v>
      </c>
      <c r="EK379" s="2">
        <v>4.87672717420753</v>
      </c>
      <c r="EL379" s="2">
        <v>8.8864806285559492</v>
      </c>
      <c r="EM379" s="2">
        <v>1</v>
      </c>
      <c r="EN379" s="2" t="s">
        <v>102</v>
      </c>
      <c r="EO379" s="2">
        <v>5</v>
      </c>
      <c r="EP379" s="2" t="s">
        <v>102</v>
      </c>
      <c r="EQ379" s="2" t="s">
        <v>102</v>
      </c>
      <c r="ER379" s="2" t="s">
        <v>102</v>
      </c>
      <c r="ES379" s="2" t="s">
        <v>102</v>
      </c>
      <c r="ET379" s="2" t="str">
        <f>HYPERLINK(".\links\REFSEQ-INVERTEBRATE\AGAP004144-PA-REFSEQ-INVERTEBRATE.txt","AGAP004144-PA")</f>
        <v>AGAP004144-PA</v>
      </c>
      <c r="EU379" s="2" t="str">
        <f>HYPERLINK("http://www.ncbi.nlm.nih.gov/sutils/blink.cgi?pid=XP_313026.4","0.0")</f>
        <v>0.0</v>
      </c>
      <c r="EV379" s="2" t="str">
        <f>HYPERLINK("http://www.ncbi.nlm.nih.gov/protein/XP_313026.4","XP_313026.4")</f>
        <v>XP_313026.4</v>
      </c>
      <c r="EW379" s="2">
        <v>99</v>
      </c>
      <c r="EX379" s="2">
        <v>99</v>
      </c>
      <c r="EY379" s="2">
        <v>100</v>
      </c>
      <c r="EZ379" s="2" t="s">
        <v>105</v>
      </c>
    </row>
    <row r="380" spans="1:156" x14ac:dyDescent="0.25">
      <c r="A380" s="2" t="s">
        <v>4075</v>
      </c>
      <c r="B380" s="2">
        <v>-0.31058685838075301</v>
      </c>
      <c r="C380" s="2">
        <f t="shared" si="5"/>
        <v>0.8063137008349982</v>
      </c>
      <c r="D380" s="2">
        <v>6.9708161502519497</v>
      </c>
      <c r="E380" s="2">
        <v>10.0404890656964</v>
      </c>
      <c r="F380" s="2">
        <v>1.5313654107809299E-3</v>
      </c>
      <c r="G380" s="2">
        <v>3.8498995212362497E-2</v>
      </c>
      <c r="H380" s="2" t="s">
        <v>4076</v>
      </c>
      <c r="I380" s="2" t="s">
        <v>88</v>
      </c>
      <c r="J380" s="8" t="s">
        <v>4077</v>
      </c>
      <c r="Q380" s="9"/>
      <c r="W380" s="10"/>
      <c r="AB380" s="9"/>
      <c r="AC380" s="9"/>
      <c r="AJ380" s="9"/>
      <c r="AN380" s="9"/>
      <c r="AO380" s="11"/>
      <c r="AP380" s="9"/>
      <c r="AT380" s="9"/>
      <c r="BA380" s="9"/>
      <c r="BH380" s="9"/>
      <c r="BO380" s="9"/>
      <c r="BV380" s="9"/>
      <c r="CB380" s="9"/>
      <c r="CG380" s="9"/>
      <c r="CL380" s="9"/>
      <c r="CP380" s="9"/>
      <c r="DE380" s="2" t="s">
        <v>4075</v>
      </c>
      <c r="DF380" s="2" t="s">
        <v>4076</v>
      </c>
      <c r="DG380" s="2" t="s">
        <v>88</v>
      </c>
      <c r="DH380" s="8" t="s">
        <v>4077</v>
      </c>
      <c r="DI380" s="2" t="s">
        <v>90</v>
      </c>
      <c r="DJ380" s="2">
        <v>5402</v>
      </c>
      <c r="DQ380" s="2" t="s">
        <v>141</v>
      </c>
      <c r="DS380" s="2">
        <v>104356</v>
      </c>
      <c r="DT380" s="2">
        <v>4.9400000000000004</v>
      </c>
      <c r="DX380" s="2">
        <v>964</v>
      </c>
      <c r="DY380" s="12"/>
    </row>
    <row r="381" spans="1:156" x14ac:dyDescent="0.25">
      <c r="A381" s="2" t="s">
        <v>4078</v>
      </c>
      <c r="B381" s="2">
        <v>-0.31097382447084099</v>
      </c>
      <c r="C381" s="2">
        <f t="shared" si="5"/>
        <v>0.80609745678485134</v>
      </c>
      <c r="D381" s="2">
        <v>6.9617144888410998</v>
      </c>
      <c r="E381" s="2">
        <v>10.3255884538583</v>
      </c>
      <c r="F381" s="2">
        <v>1.3119842303694401E-3</v>
      </c>
      <c r="G381" s="2">
        <v>3.6362353555672799E-2</v>
      </c>
      <c r="H381" s="2" t="s">
        <v>4079</v>
      </c>
      <c r="I381" s="2" t="s">
        <v>94</v>
      </c>
      <c r="J381" s="2" t="str">
        <f>HYPERLINK("https://vectorbase.org/vectorbase/app/record/gene/AGAP009664","AGAP009664-RB")</f>
        <v>AGAP009664-RB</v>
      </c>
      <c r="K381" s="2" t="str">
        <f>HYPERLINK(".\links\pep\AGAP009664-PB-pep.txt","AGAP009664-PB")</f>
        <v>AGAP009664-PB</v>
      </c>
      <c r="L381" s="12" t="s">
        <v>95</v>
      </c>
      <c r="M381" s="2">
        <v>1968</v>
      </c>
      <c r="N381" s="2">
        <v>0</v>
      </c>
      <c r="O381" s="2">
        <v>1</v>
      </c>
      <c r="P381" s="2" t="s">
        <v>4080</v>
      </c>
      <c r="Q381" s="9" t="s">
        <v>4081</v>
      </c>
      <c r="R381" s="2" t="s">
        <v>564</v>
      </c>
      <c r="S381" s="2" t="str">
        <f>HYPERLINK(".\links\REFSEQ-INVERTEBRATE\AGAP009664-PB-REFSEQ-INVERTEBRATE.txt","REFSEQ-INVERTEBRATE")</f>
        <v>REFSEQ-INVERTEBRATE</v>
      </c>
      <c r="T381" s="2">
        <v>0</v>
      </c>
      <c r="U381" s="2">
        <v>118.5</v>
      </c>
      <c r="V381" s="2" t="s">
        <v>4082</v>
      </c>
      <c r="W381" s="10" t="s">
        <v>4083</v>
      </c>
      <c r="X381" s="2" t="s">
        <v>564</v>
      </c>
      <c r="Y381" s="2" t="str">
        <f>HYPERLINK(".\links\ARTHORPODA\AGAP009664-PB-ARTHORPODA.txt","ARTHORPODA")</f>
        <v>ARTHORPODA</v>
      </c>
      <c r="Z381" s="15">
        <v>0</v>
      </c>
      <c r="AA381" s="2">
        <v>100</v>
      </c>
      <c r="AB381" s="13" t="str">
        <f>HYPERLINK(".\links\pep\AGAP009664-PB-sulf.txt","1")</f>
        <v>1</v>
      </c>
      <c r="AC381" s="13" t="str">
        <f>HYPERLINK(".\links\Sigp\AGAP009664-PB-SigP.txt","CYT")</f>
        <v>CYT</v>
      </c>
      <c r="AD381" s="2" t="s">
        <v>102</v>
      </c>
      <c r="AE381" s="2">
        <v>207.50200000000001</v>
      </c>
      <c r="AF381" s="2">
        <v>8.0399999999999991</v>
      </c>
      <c r="AG381" s="2" t="s">
        <v>102</v>
      </c>
      <c r="AH381" s="2" t="s">
        <v>102</v>
      </c>
      <c r="AI381" s="2" t="s">
        <v>4084</v>
      </c>
      <c r="AJ381" s="13">
        <v>0</v>
      </c>
      <c r="AK381" s="2" t="s">
        <v>102</v>
      </c>
      <c r="AL381" s="2" t="s">
        <v>102</v>
      </c>
      <c r="AM381" s="2" t="s">
        <v>102</v>
      </c>
      <c r="AN381" s="13" t="str">
        <f>HYPERLINK(".\links\gpi\AGAP009664-PB-gpi.txt","N")</f>
        <v>N</v>
      </c>
      <c r="AO381" s="14" t="str">
        <f>HYPERLINK(".\links\netoglyc\AGAP009664-PB-netoglyc.txt","6")</f>
        <v>6</v>
      </c>
      <c r="AP381" s="13">
        <v>17</v>
      </c>
      <c r="AQ381" s="2">
        <v>12.4</v>
      </c>
      <c r="AR381" s="2">
        <v>7.8</v>
      </c>
      <c r="AS381" s="2" t="s">
        <v>104</v>
      </c>
      <c r="AT381" s="9" t="str">
        <f>HYPERLINK(".\links\NR-LIGHT\AGAP009664-PB-NR-LIGHT.txt","p160 coactivator FISC")</f>
        <v>p160 coactivator FISC</v>
      </c>
      <c r="AU381" s="2" t="str">
        <f>HYPERLINK("http://www.ncbi.nlm.nih.gov/sutils/blink.cgi?pid=ETN65256.1","0.0")</f>
        <v>0.0</v>
      </c>
      <c r="AV381" s="2" t="str">
        <f>HYPERLINK("http://www.ncbi.nlm.nih.gov/protein/ETN65256.1","ETN65256.1")</f>
        <v>ETN65256.1</v>
      </c>
      <c r="AW381" s="2">
        <v>68</v>
      </c>
      <c r="AX381" s="2">
        <v>74</v>
      </c>
      <c r="AY381" s="2">
        <v>100</v>
      </c>
      <c r="AZ381" s="2" t="s">
        <v>360</v>
      </c>
      <c r="BA381" s="9" t="str">
        <f>HYPERLINK(".\links\REFSEQ-INVERTEBRATE\AGAP009664-PB-REFSEQ-INVERTEBRATE.txt","nuclear receptor coactivator 2-like isoform X2")</f>
        <v>nuclear receptor coactivator 2-like isoform X2</v>
      </c>
      <c r="BB381" s="2" t="str">
        <f>HYPERLINK("http://www.ncbi.nlm.nih.gov/sutils/blink.cgi?pid=XP_019538300.1","0.0")</f>
        <v>0.0</v>
      </c>
      <c r="BC381" s="2" t="str">
        <f>HYPERLINK("http://www.ncbi.nlm.nih.gov/protein/XP_019538300.1","XP_019538300.1")</f>
        <v>XP_019538300.1</v>
      </c>
      <c r="BD381" s="2">
        <v>57</v>
      </c>
      <c r="BE381" s="2">
        <v>64</v>
      </c>
      <c r="BF381" s="2">
        <v>119</v>
      </c>
      <c r="BG381" s="2" t="s">
        <v>361</v>
      </c>
      <c r="BH381" s="9" t="str">
        <f>HYPERLINK(".\links\REFSEQ-PROTOZOA\AGAP009664-PB-REFSEQ-PROTOZOA.txt","SNF2-related domain-containing protein")</f>
        <v>SNF2-related domain-containing protein</v>
      </c>
      <c r="BI381" s="2" t="str">
        <f>HYPERLINK("http://www.ncbi.nlm.nih.gov/sutils/blink.cgi?pid=XP_646649.1","6E-035")</f>
        <v>6E-035</v>
      </c>
      <c r="BJ381" s="2" t="str">
        <f>HYPERLINK("http://www.ncbi.nlm.nih.gov/protein/XP_646649.1","XP_646649.1")</f>
        <v>XP_646649.1</v>
      </c>
      <c r="BK381" s="2">
        <v>26</v>
      </c>
      <c r="BL381" s="2">
        <v>38</v>
      </c>
      <c r="BM381" s="2">
        <v>15</v>
      </c>
      <c r="BN381" s="2" t="s">
        <v>612</v>
      </c>
      <c r="BO381" s="9" t="str">
        <f>HYPERLINK(".\links\SWISSP\AGAP009664-PB-SWISSP.txt","Neurogenic protein mastermind")</f>
        <v>Neurogenic protein mastermind</v>
      </c>
      <c r="BP381" s="2" t="str">
        <f>HYPERLINK("http://www.uniprot.org/uniprot/P21519","1E-045")</f>
        <v>1E-045</v>
      </c>
      <c r="BQ381" s="2" t="str">
        <f>HYPERLINK("http://www.uniprot.org/uniprot/P21519#expression","P21519")</f>
        <v>P21519</v>
      </c>
      <c r="BR381" s="2">
        <v>22</v>
      </c>
      <c r="BS381" s="2">
        <v>32</v>
      </c>
      <c r="BT381" s="2">
        <v>88</v>
      </c>
      <c r="BU381" s="2" t="s">
        <v>107</v>
      </c>
      <c r="BV381" s="9" t="str">
        <f>HYPERLINK(".\links\FLYBASE\AGAP009664-PB-FLYBASE.txt","FBpp0292875")</f>
        <v>FBpp0292875</v>
      </c>
      <c r="BW381" s="2" t="str">
        <f>HYPERLINK("http://flybase.org/reports/FBgn0041092#alliance_summary_container","6E-58")</f>
        <v>6E-58</v>
      </c>
      <c r="BX381" s="2">
        <v>2014</v>
      </c>
      <c r="BY381" s="2">
        <v>46</v>
      </c>
      <c r="BZ381" s="2">
        <v>61</v>
      </c>
      <c r="CA381" s="2">
        <v>12</v>
      </c>
      <c r="CB381" s="9" t="str">
        <f>HYPERLINK(".\links\CDD\AGAP009664-PB-CDD.txt","PAS_11, PAS domain")</f>
        <v>PAS_11, PAS domain</v>
      </c>
      <c r="CC381" s="15">
        <v>5.0000000000000003E-33</v>
      </c>
      <c r="CD381" s="2">
        <v>100</v>
      </c>
      <c r="CE381" s="2" t="s">
        <v>4085</v>
      </c>
      <c r="CF381" s="2" t="s">
        <v>4086</v>
      </c>
      <c r="CG381" s="9" t="str">
        <f>HYPERLINK(".\links\KOG\AGAP009664-PB-KOG.txt","subunit TRAP230")</f>
        <v>subunit TRAP230</v>
      </c>
      <c r="CH381" s="15">
        <v>1.0000000000000001E-15</v>
      </c>
      <c r="CI381" s="2">
        <v>7.9</v>
      </c>
      <c r="CJ381" s="2" t="s">
        <v>4038</v>
      </c>
      <c r="CK381" s="2" t="s">
        <v>309</v>
      </c>
      <c r="CL381" s="9" t="str">
        <f>HYPERLINK(".\links\PFAM\AGAP009664-PB-PFAM.txt","PAS_11, PAS domain")</f>
        <v>PAS_11, PAS domain</v>
      </c>
      <c r="CM381" s="15">
        <v>9.0000000000000008E-34</v>
      </c>
      <c r="CN381" s="2">
        <v>100</v>
      </c>
      <c r="CO381" s="2" t="s">
        <v>4085</v>
      </c>
      <c r="CP381" s="9" t="str">
        <f>HYPERLINK(".\links\SMART\AGAP009664-PB-SMART.txt","HLH, helix loop helix domain")</f>
        <v>HLH, helix loop helix domain</v>
      </c>
      <c r="CQ381" s="15">
        <v>5.0000000000000002E-5</v>
      </c>
      <c r="CR381" s="2">
        <v>92.5</v>
      </c>
      <c r="CS381" s="2" t="s">
        <v>4087</v>
      </c>
      <c r="CT381" s="2" t="s">
        <v>4082</v>
      </c>
      <c r="CU381" s="2" t="s">
        <v>4082</v>
      </c>
      <c r="CV381" s="2" t="s">
        <v>4082</v>
      </c>
      <c r="CW381" s="2" t="str">
        <f>HYPERLINK(".\links\pep\AGAP009664-PB-pep.txt","AGAP009664-PB")</f>
        <v>AGAP009664-PB</v>
      </c>
      <c r="CX381" s="2" t="s">
        <v>95</v>
      </c>
      <c r="CY381" s="2">
        <v>1968</v>
      </c>
      <c r="CZ381" s="2" t="s">
        <v>113</v>
      </c>
      <c r="DA381" s="2" t="s">
        <v>4088</v>
      </c>
      <c r="DB381" s="2">
        <v>0</v>
      </c>
      <c r="DC381" s="2">
        <v>1</v>
      </c>
      <c r="DD381" s="2" t="str">
        <f>HYPERLINK("https://www.kegg.jp/kegg-bin/search_pathway_text?map=aga&amp;keyword=AGAP009664&amp;mode=1&amp;viewImage=true","AGAP009664")</f>
        <v>AGAP009664</v>
      </c>
      <c r="DE381" s="2" t="s">
        <v>4078</v>
      </c>
      <c r="DF381" s="2" t="s">
        <v>4079</v>
      </c>
      <c r="DG381" s="2" t="s">
        <v>94</v>
      </c>
      <c r="DH381" s="2" t="str">
        <f>HYPERLINK("https://vectorbase.org/vectorbase/app/record/gene/AGAP009664","AGAP009664-RB")</f>
        <v>AGAP009664-RB</v>
      </c>
      <c r="DI381" s="2" t="s">
        <v>115</v>
      </c>
      <c r="DJ381" s="2">
        <v>9493</v>
      </c>
      <c r="DK381" s="2" t="str">
        <f>HYPERLINK(".\links\netoglyc\AGAP009664-PB-netoglyc.txt","6")</f>
        <v>6</v>
      </c>
      <c r="DL381" s="2">
        <v>17</v>
      </c>
      <c r="DM381" s="2">
        <v>12.4</v>
      </c>
      <c r="DN381" s="2">
        <v>7.8</v>
      </c>
      <c r="DO381" s="2" t="s">
        <v>104</v>
      </c>
      <c r="DP381" s="2" t="s">
        <v>102</v>
      </c>
      <c r="DQ381" s="2" t="str">
        <f>HYPERLINK(".\links\Sigp\AGAP009664-PB-SigP.txt","CYT")</f>
        <v>CYT</v>
      </c>
      <c r="DR381" s="2" t="s">
        <v>102</v>
      </c>
      <c r="DS381" s="2">
        <v>207.50200000000001</v>
      </c>
      <c r="DT381" s="2">
        <v>8.0399999999999991</v>
      </c>
      <c r="DU381" s="2" t="s">
        <v>102</v>
      </c>
      <c r="DV381" s="2" t="s">
        <v>102</v>
      </c>
      <c r="DW381" s="2" t="s">
        <v>4084</v>
      </c>
      <c r="DX381" s="2">
        <v>1968</v>
      </c>
      <c r="DY381" s="12">
        <v>0</v>
      </c>
      <c r="DZ381" s="2" t="s">
        <v>102</v>
      </c>
      <c r="EA381" s="2" t="s">
        <v>102</v>
      </c>
      <c r="EB381" s="2" t="s">
        <v>102</v>
      </c>
      <c r="EC381" s="2" t="str">
        <f>HYPERLINK(".\links\gpi\AGAP009664-PB-gpi.txt","Y-NoSP")</f>
        <v>Y-NoSP</v>
      </c>
      <c r="ED381" s="2">
        <v>0.45</v>
      </c>
      <c r="EF381" s="2">
        <v>18</v>
      </c>
      <c r="EG381" s="2" t="str">
        <f>HYPERLINK(".\links\pep\AGAP009664-PB-sulf.txt","1")</f>
        <v>1</v>
      </c>
      <c r="EH381" s="2" t="s">
        <v>102</v>
      </c>
      <c r="EI381" s="2">
        <v>17.022357723577201</v>
      </c>
      <c r="EJ381" s="2">
        <v>7.8252032520325203</v>
      </c>
      <c r="EK381" s="2">
        <v>12.449186991869899</v>
      </c>
      <c r="EL381" s="2">
        <v>20.274390243902399</v>
      </c>
      <c r="EM381" s="2">
        <v>7</v>
      </c>
      <c r="EN381" s="2" t="s">
        <v>102</v>
      </c>
      <c r="EO381" s="2">
        <v>17</v>
      </c>
      <c r="EP381" s="2" t="s">
        <v>102</v>
      </c>
      <c r="EQ381" s="2" t="s">
        <v>102</v>
      </c>
      <c r="ER381" s="2" t="s">
        <v>102</v>
      </c>
      <c r="ES381" s="2" t="s">
        <v>102</v>
      </c>
      <c r="ET381" s="2" t="str">
        <f>HYPERLINK(".\links\REFSEQ-INVERTEBRATE\AGAP009664-PB-REFSEQ-INVERTEBRATE.txt","neurogenic protein mastermind isoform X14")</f>
        <v>neurogenic protein mastermind isoform X14</v>
      </c>
      <c r="EU381" s="2" t="str">
        <f>HYPERLINK("http://www.ncbi.nlm.nih.gov/sutils/blink.cgi?pid=XP_035910770.1","0.0")</f>
        <v>0.0</v>
      </c>
      <c r="EV381" s="2" t="str">
        <f>HYPERLINK("http://www.ncbi.nlm.nih.gov/protein/XP_035910770.1","XP_035910770.1")</f>
        <v>XP_035910770.1</v>
      </c>
      <c r="EW381" s="2">
        <v>83</v>
      </c>
      <c r="EX381" s="2">
        <v>87</v>
      </c>
      <c r="EY381" s="2">
        <v>66</v>
      </c>
      <c r="EZ381" s="2" t="s">
        <v>370</v>
      </c>
    </row>
    <row r="382" spans="1:156" x14ac:dyDescent="0.25">
      <c r="A382" s="2" t="s">
        <v>4089</v>
      </c>
      <c r="B382" s="2">
        <v>-0.311648652382293</v>
      </c>
      <c r="C382" s="2">
        <f t="shared" si="5"/>
        <v>0.8057204887884305</v>
      </c>
      <c r="D382" s="2">
        <v>5.4516738138553702</v>
      </c>
      <c r="E382" s="2">
        <v>11.5120594006613</v>
      </c>
      <c r="F382" s="2">
        <v>6.91461290854978E-4</v>
      </c>
      <c r="G382" s="2">
        <v>2.8874368734643201E-2</v>
      </c>
      <c r="H382" s="2" t="s">
        <v>93</v>
      </c>
      <c r="I382" s="2" t="s">
        <v>94</v>
      </c>
      <c r="J382" s="2" t="str">
        <f>HYPERLINK("https://vectorbase.org/vectorbase/app/record/gene/AGAP006428","AGAP006428-RA")</f>
        <v>AGAP006428-RA</v>
      </c>
      <c r="K382" s="2" t="str">
        <f>HYPERLINK(".\links\pep\AGAP006428-PA-pep.txt","AGAP006428-PA")</f>
        <v>AGAP006428-PA</v>
      </c>
      <c r="L382" s="12" t="s">
        <v>95</v>
      </c>
      <c r="M382" s="2">
        <v>1117</v>
      </c>
      <c r="N382" s="2">
        <v>0</v>
      </c>
      <c r="O382" s="2">
        <v>2</v>
      </c>
      <c r="P382" s="2" t="s">
        <v>102</v>
      </c>
      <c r="Q382" s="9" t="s">
        <v>4090</v>
      </c>
      <c r="R382" s="2" t="s">
        <v>196</v>
      </c>
      <c r="S382" s="2" t="str">
        <f>HYPERLINK(".\links\REFSEQ-INVERTEBRATE\AGAP006428-PA-REFSEQ-INVERTEBRATE.txt","REFSEQ-INVERTEBRATE")</f>
        <v>REFSEQ-INVERTEBRATE</v>
      </c>
      <c r="T382" s="2">
        <v>0</v>
      </c>
      <c r="U382" s="2">
        <v>100</v>
      </c>
      <c r="V382" s="2" t="s">
        <v>4091</v>
      </c>
      <c r="W382" s="10" t="s">
        <v>4092</v>
      </c>
      <c r="X382" s="2" t="s">
        <v>444</v>
      </c>
      <c r="Y382" s="2" t="str">
        <f>HYPERLINK(".\links\CDD\AGAP006428-PA-CDD.txt","CDD")</f>
        <v>CDD</v>
      </c>
      <c r="Z382" s="15">
        <v>2E-16</v>
      </c>
      <c r="AA382" s="2">
        <v>100</v>
      </c>
      <c r="AB382" s="13" t="str">
        <f>HYPERLINK(".\links\pep\AGAP006428-PA-sulf.txt","3")</f>
        <v>3</v>
      </c>
      <c r="AC382" s="13" t="str">
        <f>HYPERLINK(".\links\Sigp\AGAP006428-PA-SigP.txt","CYT")</f>
        <v>CYT</v>
      </c>
      <c r="AD382" s="2" t="s">
        <v>102</v>
      </c>
      <c r="AE382" s="2">
        <v>123.22499999999999</v>
      </c>
      <c r="AF382" s="2">
        <v>8.15</v>
      </c>
      <c r="AG382" s="2" t="s">
        <v>102</v>
      </c>
      <c r="AH382" s="2" t="s">
        <v>102</v>
      </c>
      <c r="AI382" s="2" t="s">
        <v>611</v>
      </c>
      <c r="AJ382" s="13">
        <v>0</v>
      </c>
      <c r="AK382" s="2" t="s">
        <v>102</v>
      </c>
      <c r="AL382" s="2" t="s">
        <v>102</v>
      </c>
      <c r="AM382" s="2" t="s">
        <v>102</v>
      </c>
      <c r="AN382" s="13" t="str">
        <f>HYPERLINK(".\links\gpi\AGAP006428-PA-gpi.txt","N")</f>
        <v>N</v>
      </c>
      <c r="AO382" s="14" t="str">
        <f>HYPERLINK(".\links\netoglyc\AGAP006428-PA-netoglyc.txt","12")</f>
        <v>12</v>
      </c>
      <c r="AP382" s="13">
        <v>13.2</v>
      </c>
      <c r="AQ382" s="2">
        <v>7</v>
      </c>
      <c r="AR382" s="2">
        <v>6.8</v>
      </c>
      <c r="AS382" s="2" t="s">
        <v>104</v>
      </c>
      <c r="AT382" s="9" t="str">
        <f>HYPERLINK(".\links\NR-LIGHT\AGAP006428-PA-NR-LIGHT.txt","AGAP006428-PA")</f>
        <v>AGAP006428-PA</v>
      </c>
      <c r="AU382" s="2" t="str">
        <f>HYPERLINK("http://www.ncbi.nlm.nih.gov/sutils/blink.cgi?pid=XP_316465.2","0.0")</f>
        <v>0.0</v>
      </c>
      <c r="AV382" s="2" t="str">
        <f>HYPERLINK("http://www.ncbi.nlm.nih.gov/protein/XP_316465.2","XP_316465.2")</f>
        <v>XP_316465.2</v>
      </c>
      <c r="AW382" s="2">
        <v>100</v>
      </c>
      <c r="AX382" s="2">
        <v>100</v>
      </c>
      <c r="AY382" s="2">
        <v>100</v>
      </c>
      <c r="AZ382" s="2" t="s">
        <v>105</v>
      </c>
      <c r="BA382" s="9" t="str">
        <f>HYPERLINK(".\links\REFSEQ-INVERTEBRATE\AGAP006428-PA-REFSEQ-INVERTEBRATE.txt","AGAP006428-PA")</f>
        <v>AGAP006428-PA</v>
      </c>
      <c r="BB382" s="2" t="str">
        <f>HYPERLINK("http://www.ncbi.nlm.nih.gov/sutils/blink.cgi?pid=XP_316465.2","0.0")</f>
        <v>0.0</v>
      </c>
      <c r="BC382" s="2" t="str">
        <f>HYPERLINK("http://www.ncbi.nlm.nih.gov/protein/XP_316465.2","XP_316465.2")</f>
        <v>XP_316465.2</v>
      </c>
      <c r="BD382" s="2">
        <v>100</v>
      </c>
      <c r="BE382" s="2">
        <v>100</v>
      </c>
      <c r="BF382" s="2">
        <v>100</v>
      </c>
      <c r="BG382" s="2" t="s">
        <v>105</v>
      </c>
      <c r="BH382" s="9" t="str">
        <f>HYPERLINK(".\links\REFSEQ-PROTOZOA\AGAP006428-PA-REFSEQ-PROTOZOA.txt","hypothetical protein AURANDRAFT_77922")</f>
        <v>hypothetical protein AURANDRAFT_77922</v>
      </c>
      <c r="BI382" s="2" t="str">
        <f>HYPERLINK("http://www.ncbi.nlm.nih.gov/sutils/blink.cgi?pid=XP_009037608.1","4E-008")</f>
        <v>4E-008</v>
      </c>
      <c r="BJ382" s="2" t="str">
        <f>HYPERLINK("http://www.ncbi.nlm.nih.gov/protein/XP_009037608.1","XP_009037608.1")</f>
        <v>XP_009037608.1</v>
      </c>
      <c r="BK382" s="2">
        <v>29</v>
      </c>
      <c r="BL382" s="2">
        <v>41</v>
      </c>
      <c r="BM382" s="2">
        <v>11</v>
      </c>
      <c r="BN382" s="2" t="s">
        <v>230</v>
      </c>
      <c r="BO382" s="9" t="str">
        <f>HYPERLINK(".\links\SWISSP\AGAP006428-PA-SWISSP.txt","PHD finger protein 20-like protein 1")</f>
        <v>PHD finger protein 20-like protein 1</v>
      </c>
      <c r="BP382" s="2" t="str">
        <f>HYPERLINK("http://www.uniprot.org/uniprot/A8MW92","5E-024")</f>
        <v>5E-024</v>
      </c>
      <c r="BQ382" s="2" t="str">
        <f>HYPERLINK("http://www.uniprot.org/uniprot/A8MW92#expression","A8MW92")</f>
        <v>A8MW92</v>
      </c>
      <c r="BR382" s="2">
        <v>31</v>
      </c>
      <c r="BS382" s="2">
        <v>52</v>
      </c>
      <c r="BT382" s="2">
        <v>18</v>
      </c>
      <c r="BU382" s="2" t="s">
        <v>127</v>
      </c>
      <c r="BV382" s="9" t="str">
        <f>HYPERLINK(".\links\FLYBASE\AGAP006428-PA-FLYBASE.txt","FBpp0082081")</f>
        <v>FBpp0082081</v>
      </c>
      <c r="BW382" s="2" t="str">
        <f>HYPERLINK("http://flybase.org/reports/FBgn0038016#alliance_summary_container","1E-96")</f>
        <v>1E-96</v>
      </c>
      <c r="BX382" s="2">
        <v>1169</v>
      </c>
      <c r="BY382" s="2">
        <v>37</v>
      </c>
      <c r="BZ382" s="2">
        <v>51</v>
      </c>
      <c r="CA382" s="2">
        <v>49</v>
      </c>
      <c r="CB382" s="9" t="str">
        <f>HYPERLINK(".\links\CDD\AGAP006428-PA-CDD.txt","MeCP2_MBD, MeCP2, MBD1, MBD2, MBD3, and MBD4 are members of a protein family that share the methyl-CpG-binding domain (MBD)")</f>
        <v>MeCP2_MBD, MeCP2, MBD1, MBD2, MBD3, and MBD4 are members of a protein family that share the methyl-CpG-binding domain (MBD)</v>
      </c>
      <c r="CC382" s="15">
        <v>9.9999999999999998E-17</v>
      </c>
      <c r="CD382" s="2">
        <v>100</v>
      </c>
      <c r="CE382" s="2" t="s">
        <v>4093</v>
      </c>
      <c r="CF382" s="2" t="s">
        <v>4094</v>
      </c>
      <c r="CG382" s="9" t="str">
        <f>HYPERLINK(".\links\KOG\AGAP006428-PA-KOG.txt","PHD Zn-finger proteins")</f>
        <v>PHD Zn-finger proteins</v>
      </c>
      <c r="CH382" s="15">
        <v>6E-10</v>
      </c>
      <c r="CI382" s="2">
        <v>27.4</v>
      </c>
      <c r="CJ382" s="2" t="s">
        <v>4095</v>
      </c>
      <c r="CK382" s="2" t="s">
        <v>191</v>
      </c>
      <c r="CL382" s="9" t="str">
        <f>HYPERLINK(".\links\PFAM\AGAP006428-PA-PFAM.txt","THAP, THAP domain")</f>
        <v>THAP, THAP domain</v>
      </c>
      <c r="CM382" s="15">
        <v>2.0000000000000001E-13</v>
      </c>
      <c r="CN382" s="2">
        <v>105.1</v>
      </c>
      <c r="CO382" s="2" t="s">
        <v>4096</v>
      </c>
      <c r="CP382" s="9" t="str">
        <f>HYPERLINK(".\links\SMART\AGAP006428-PA-SMART.txt","THAP, The THAP domain is a putative DNA-binding domain (DBD) and probably also binds a zinc ion")</f>
        <v>THAP, The THAP domain is a putative DNA-binding domain (DBD) and probably also binds a zinc ion</v>
      </c>
      <c r="CQ382" s="15">
        <v>5E-15</v>
      </c>
      <c r="CR382" s="2">
        <v>106.3</v>
      </c>
      <c r="CS382" s="2" t="s">
        <v>4097</v>
      </c>
      <c r="CT382" s="2" t="s">
        <v>4091</v>
      </c>
      <c r="CU382" s="2" t="s">
        <v>4091</v>
      </c>
      <c r="CV382" s="2" t="s">
        <v>4091</v>
      </c>
      <c r="CW382" s="2" t="str">
        <f>HYPERLINK(".\links\pep\AGAP006428-PA-pep.txt","AGAP006428-PA")</f>
        <v>AGAP006428-PA</v>
      </c>
      <c r="CX382" s="2" t="s">
        <v>95</v>
      </c>
      <c r="CY382" s="2">
        <v>1117</v>
      </c>
      <c r="CZ382" s="2" t="s">
        <v>113</v>
      </c>
      <c r="DA382" s="2" t="s">
        <v>4098</v>
      </c>
      <c r="DB382" s="2">
        <v>0</v>
      </c>
      <c r="DC382" s="2">
        <v>2</v>
      </c>
      <c r="DD382" s="2" t="str">
        <f>HYPERLINK("https://www.kegg.jp/kegg-bin/search_pathway_text?map=aga&amp;keyword=AGAP006428&amp;mode=1&amp;viewImage=true","AGAP006428")</f>
        <v>AGAP006428</v>
      </c>
      <c r="DE382" s="2" t="s">
        <v>4089</v>
      </c>
      <c r="DF382" s="2" t="s">
        <v>93</v>
      </c>
      <c r="DG382" s="2" t="s">
        <v>94</v>
      </c>
      <c r="DH382" s="2" t="str">
        <f>HYPERLINK("https://vectorbase.org/vectorbase/app/record/gene/AGAP006428","AGAP006428-RA")</f>
        <v>AGAP006428-RA</v>
      </c>
      <c r="DI382" s="2" t="s">
        <v>90</v>
      </c>
      <c r="DJ382" s="2">
        <v>4234</v>
      </c>
      <c r="DK382" s="2" t="str">
        <f>HYPERLINK(".\links\netoglyc\AGAP006428-PA-netoglyc.txt","12")</f>
        <v>12</v>
      </c>
      <c r="DL382" s="2">
        <v>13.2</v>
      </c>
      <c r="DM382" s="2">
        <v>7</v>
      </c>
      <c r="DN382" s="2">
        <v>6.8</v>
      </c>
      <c r="DO382" s="2" t="s">
        <v>104</v>
      </c>
      <c r="DP382" s="2" t="s">
        <v>4099</v>
      </c>
      <c r="DQ382" s="2" t="str">
        <f>HYPERLINK(".\links\Sigp\AGAP006428-PA-SigP.txt","CYT")</f>
        <v>CYT</v>
      </c>
      <c r="DR382" s="2" t="s">
        <v>102</v>
      </c>
      <c r="DS382" s="2">
        <v>123.22499999999999</v>
      </c>
      <c r="DT382" s="2">
        <v>8.15</v>
      </c>
      <c r="DU382" s="2" t="s">
        <v>102</v>
      </c>
      <c r="DV382" s="2" t="s">
        <v>102</v>
      </c>
      <c r="DW382" s="2" t="s">
        <v>611</v>
      </c>
      <c r="DX382" s="2">
        <v>1117</v>
      </c>
      <c r="DY382" s="12">
        <v>0</v>
      </c>
      <c r="DZ382" s="2" t="s">
        <v>102</v>
      </c>
      <c r="EA382" s="2" t="s">
        <v>102</v>
      </c>
      <c r="EB382" s="2" t="s">
        <v>102</v>
      </c>
      <c r="EC382" s="2" t="str">
        <f>HYPERLINK(".\links\gpi\AGAP006428-PA-gpi.txt","N")</f>
        <v>N</v>
      </c>
      <c r="ED382" s="2">
        <v>0.19</v>
      </c>
      <c r="EF382" s="2">
        <v>19</v>
      </c>
      <c r="EG382" s="2" t="str">
        <f>HYPERLINK(".\links\pep\AGAP006428-PA-sulf.txt","3")</f>
        <v>3</v>
      </c>
      <c r="EH382" s="2" t="s">
        <v>102</v>
      </c>
      <c r="EI382" s="2">
        <v>13.1602506714414</v>
      </c>
      <c r="EJ382" s="2">
        <v>6.8039391226499504</v>
      </c>
      <c r="EK382" s="2">
        <v>6.9829901521933797</v>
      </c>
      <c r="EL382" s="2">
        <v>13.786929274843301</v>
      </c>
      <c r="EM382" s="2">
        <v>3</v>
      </c>
      <c r="EN382" s="2">
        <v>8</v>
      </c>
      <c r="EO382" s="2">
        <v>8</v>
      </c>
      <c r="EP382" s="2" t="s">
        <v>102</v>
      </c>
      <c r="EQ382" s="2" t="s">
        <v>102</v>
      </c>
      <c r="ER382" s="2" t="s">
        <v>102</v>
      </c>
      <c r="ES382" s="2" t="s">
        <v>102</v>
      </c>
      <c r="ET382" s="2" t="str">
        <f>HYPERLINK(".\links\REFSEQ-INVERTEBRATE\AGAP006428-PA-REFSEQ-INVERTEBRATE.txt","AGAP006428-PA")</f>
        <v>AGAP006428-PA</v>
      </c>
      <c r="EU382" s="2" t="str">
        <f>HYPERLINK("http://www.ncbi.nlm.nih.gov/sutils/blink.cgi?pid=XP_316465.2","0.0")</f>
        <v>0.0</v>
      </c>
      <c r="EV382" s="2" t="str">
        <f>HYPERLINK("http://www.ncbi.nlm.nih.gov/protein/XP_316465.2","XP_316465.2")</f>
        <v>XP_316465.2</v>
      </c>
      <c r="EW382" s="2">
        <v>100</v>
      </c>
      <c r="EX382" s="2">
        <v>100</v>
      </c>
      <c r="EY382" s="2">
        <v>100</v>
      </c>
      <c r="EZ382" s="2" t="s">
        <v>105</v>
      </c>
    </row>
    <row r="383" spans="1:156" x14ac:dyDescent="0.25">
      <c r="A383" s="2" t="s">
        <v>4100</v>
      </c>
      <c r="B383" s="2">
        <v>-0.31214816224709702</v>
      </c>
      <c r="C383" s="2">
        <f t="shared" si="5"/>
        <v>0.80544156936644695</v>
      </c>
      <c r="D383" s="2">
        <v>6.2228394927206603</v>
      </c>
      <c r="E383" s="2">
        <v>17.487860345089</v>
      </c>
      <c r="F383" s="2">
        <v>2.8914809522878999E-5</v>
      </c>
      <c r="G383" s="2">
        <v>6.6268708801854098E-3</v>
      </c>
      <c r="H383" s="2" t="s">
        <v>4101</v>
      </c>
      <c r="I383" s="2" t="s">
        <v>94</v>
      </c>
      <c r="J383" s="2" t="str">
        <f>HYPERLINK("https://vectorbase.org/vectorbase/app/record/gene/AGAP000466","AGAP000466-RA")</f>
        <v>AGAP000466-RA</v>
      </c>
      <c r="K383" s="2" t="str">
        <f>HYPERLINK(".\links\pep\AGAP000466-PA-pep.txt","AGAP000466-PA")</f>
        <v>AGAP000466-PA</v>
      </c>
      <c r="L383" s="12" t="s">
        <v>95</v>
      </c>
      <c r="M383" s="2">
        <v>645</v>
      </c>
      <c r="N383" s="2">
        <v>0</v>
      </c>
      <c r="O383" s="2">
        <v>3</v>
      </c>
      <c r="P383" s="2" t="s">
        <v>4102</v>
      </c>
      <c r="Q383" s="9" t="s">
        <v>4103</v>
      </c>
      <c r="R383" s="2" t="s">
        <v>4104</v>
      </c>
      <c r="S383" s="2" t="str">
        <f>HYPERLINK(".\links\KOG\AGAP000466-PA-KOG.txt","KOG")</f>
        <v>KOG</v>
      </c>
      <c r="T383" s="2">
        <v>0</v>
      </c>
      <c r="U383" s="2">
        <v>100</v>
      </c>
      <c r="V383" s="2" t="s">
        <v>4105</v>
      </c>
      <c r="W383" s="10" t="s">
        <v>4106</v>
      </c>
      <c r="X383" s="2" t="s">
        <v>4107</v>
      </c>
      <c r="Y383" s="2" t="str">
        <f>HYPERLINK(".\links\KOG\AGAP000466-PA-KOG.txt","KOG")</f>
        <v>KOG</v>
      </c>
      <c r="Z383" s="15">
        <v>0</v>
      </c>
      <c r="AA383" s="2">
        <v>95.3</v>
      </c>
      <c r="AB383" s="13" t="str">
        <f>HYPERLINK(".\links\pep\AGAP000466-PA-sulf.txt","3")</f>
        <v>3</v>
      </c>
      <c r="AC383" s="13" t="str">
        <f>HYPERLINK(".\links\Sigp\AGAP000466-PA-SigP.txt","SIG")</f>
        <v>SIG</v>
      </c>
      <c r="AD383" s="2" t="s">
        <v>2268</v>
      </c>
      <c r="AE383" s="2">
        <v>71.864999999999995</v>
      </c>
      <c r="AF383" s="2">
        <v>5.25</v>
      </c>
      <c r="AG383" s="2">
        <v>68.66</v>
      </c>
      <c r="AH383" s="2">
        <v>5.2</v>
      </c>
      <c r="AI383" s="2" t="s">
        <v>4108</v>
      </c>
      <c r="AJ383" s="13" t="str">
        <f>HYPERLINK(".\links\tmhmm\AGAP000466-PA-tmhmm.txt","1")</f>
        <v>1</v>
      </c>
      <c r="AK383" s="2">
        <v>3.4</v>
      </c>
      <c r="AL383" s="2">
        <v>94.9</v>
      </c>
      <c r="AM383" s="2">
        <v>1.7</v>
      </c>
      <c r="AN383" s="13" t="str">
        <f>HYPERLINK(".\links\gpi\AGAP000466-PA-gpi.txt","Y")</f>
        <v>Y</v>
      </c>
      <c r="AO383" s="14" t="str">
        <f>HYPERLINK(".\links\netoglyc\AGAP000466-PA-netoglyc.txt","2")</f>
        <v>2</v>
      </c>
      <c r="AP383" s="13">
        <v>11.9</v>
      </c>
      <c r="AQ383" s="2">
        <v>8.8000000000000007</v>
      </c>
      <c r="AR383" s="2">
        <v>5.3</v>
      </c>
      <c r="AS383" s="2" t="s">
        <v>104</v>
      </c>
      <c r="AT383" s="9" t="str">
        <f>HYPERLINK(".\links\NR-LIGHT\AGAP000466-PA-NR-LIGHT.txt","AGAP000466-PA")</f>
        <v>AGAP000466-PA</v>
      </c>
      <c r="AU383" s="2" t="str">
        <f>HYPERLINK("http://www.ncbi.nlm.nih.gov/sutils/blink.cgi?pid=XP_310628.3","0.0")</f>
        <v>0.0</v>
      </c>
      <c r="AV383" s="2" t="str">
        <f>HYPERLINK("http://www.ncbi.nlm.nih.gov/protein/XP_310628.3","XP_310628.3")</f>
        <v>XP_310628.3</v>
      </c>
      <c r="AW383" s="2">
        <v>100</v>
      </c>
      <c r="AX383" s="2">
        <v>100</v>
      </c>
      <c r="AY383" s="2">
        <v>100</v>
      </c>
      <c r="AZ383" s="2" t="s">
        <v>105</v>
      </c>
      <c r="BA383" s="9" t="str">
        <f>HYPERLINK(".\links\REFSEQ-INVERTEBRATE\AGAP000466-PA-REFSEQ-INVERTEBRATE.txt","AGAP000466-PA")</f>
        <v>AGAP000466-PA</v>
      </c>
      <c r="BB383" s="2" t="str">
        <f>HYPERLINK("http://www.ncbi.nlm.nih.gov/sutils/blink.cgi?pid=XP_310628.3","0.0")</f>
        <v>0.0</v>
      </c>
      <c r="BC383" s="2" t="str">
        <f>HYPERLINK("http://www.ncbi.nlm.nih.gov/protein/XP_310628.3","XP_310628.3")</f>
        <v>XP_310628.3</v>
      </c>
      <c r="BD383" s="2">
        <v>100</v>
      </c>
      <c r="BE383" s="2">
        <v>100</v>
      </c>
      <c r="BF383" s="2">
        <v>100</v>
      </c>
      <c r="BG383" s="2" t="s">
        <v>105</v>
      </c>
      <c r="BH383" s="9" t="str">
        <f>HYPERLINK(".\links\REFSEQ-PROTOZOA\AGAP000466-PA-REFSEQ-PROTOZOA.txt","carboxylesterase superfamily protein")</f>
        <v>carboxylesterase superfamily protein</v>
      </c>
      <c r="BI383" s="2" t="str">
        <f>HYPERLINK("http://www.ncbi.nlm.nih.gov/sutils/blink.cgi?pid=XP_004337592.1","2E-053")</f>
        <v>2E-053</v>
      </c>
      <c r="BJ383" s="2" t="str">
        <f>HYPERLINK("http://www.ncbi.nlm.nih.gov/protein/XP_004337592.1","XP_004337592.1")</f>
        <v>XP_004337592.1</v>
      </c>
      <c r="BK383" s="2">
        <v>29</v>
      </c>
      <c r="BL383" s="2">
        <v>46</v>
      </c>
      <c r="BM383" s="2">
        <v>102</v>
      </c>
      <c r="BN383" s="2" t="s">
        <v>600</v>
      </c>
      <c r="BO383" s="9" t="str">
        <f>HYPERLINK(".\links\SWISSP\AGAP000466-PA-SWISSP.txt","Acetylcholinesterase")</f>
        <v>Acetylcholinesterase</v>
      </c>
      <c r="BP383" s="2" t="str">
        <f>HYPERLINK("http://www.uniprot.org/uniprot/P56161","0.0")</f>
        <v>0.0</v>
      </c>
      <c r="BQ383" s="2" t="str">
        <f>HYPERLINK("http://www.uniprot.org/uniprot/P56161#expression","P56161")</f>
        <v>P56161</v>
      </c>
      <c r="BR383" s="2">
        <v>96</v>
      </c>
      <c r="BS383" s="2">
        <v>97</v>
      </c>
      <c r="BT383" s="2">
        <v>93</v>
      </c>
      <c r="BU383" s="2" t="s">
        <v>370</v>
      </c>
      <c r="BV383" s="9" t="str">
        <f>HYPERLINK(".\links\FLYBASE\AGAP000466-PA-FLYBASE.txt","FBpp0289713")</f>
        <v>FBpp0289713</v>
      </c>
      <c r="BW383" s="2" t="str">
        <f>HYPERLINK("http://flybase.org/reports/FBgn0000024#alliance_summary_container","0.0")</f>
        <v>0.0</v>
      </c>
      <c r="BX383" s="2">
        <v>649</v>
      </c>
      <c r="BY383" s="2">
        <v>67</v>
      </c>
      <c r="BZ383" s="2">
        <v>81</v>
      </c>
      <c r="CA383" s="2">
        <v>95</v>
      </c>
      <c r="CB383" s="9" t="str">
        <f>HYPERLINK(".\links\CDD\AGAP000466-PA-CDD.txt","COesterase, Carboxylesterase family")</f>
        <v>COesterase, Carboxylesterase family</v>
      </c>
      <c r="CC383" s="15">
        <v>1E-153</v>
      </c>
      <c r="CD383" s="2">
        <v>111.4</v>
      </c>
      <c r="CE383" s="2" t="s">
        <v>188</v>
      </c>
      <c r="CF383" s="2" t="s">
        <v>4109</v>
      </c>
      <c r="CG383" s="9" t="str">
        <f>HYPERLINK(".\links\KOG\AGAP000466-PA-KOG.txt","Acetylcholinesterase/Butyrylcholinesterase")</f>
        <v>Acetylcholinesterase/Butyrylcholinesterase</v>
      </c>
      <c r="CH383" s="15">
        <v>0</v>
      </c>
      <c r="CI383" s="2">
        <v>100</v>
      </c>
      <c r="CJ383" s="2" t="s">
        <v>4110</v>
      </c>
      <c r="CK383" s="2" t="s">
        <v>173</v>
      </c>
      <c r="CL383" s="9" t="str">
        <f>HYPERLINK(".\links\PFAM\AGAP000466-PA-PFAM.txt","COesterase, Carboxylesterase family")</f>
        <v>COesterase, Carboxylesterase family</v>
      </c>
      <c r="CM383" s="15">
        <v>1E-153</v>
      </c>
      <c r="CN383" s="2">
        <v>111.4</v>
      </c>
      <c r="CO383" s="2" t="s">
        <v>188</v>
      </c>
      <c r="CP383" s="9" t="str">
        <f>HYPERLINK(".\links\SMART\AGAP000466-PA-SMART.txt","Hr1, Rho effector or protein kinase C-related kinase homology region 1 homologues")</f>
        <v>Hr1, Rho effector or protein kinase C-related kinase homology region 1 homologues</v>
      </c>
      <c r="CQ383" s="15">
        <v>0.32</v>
      </c>
      <c r="CR383" s="2">
        <v>43.9</v>
      </c>
      <c r="CS383" s="2" t="s">
        <v>4111</v>
      </c>
      <c r="CT383" s="2" t="s">
        <v>4105</v>
      </c>
      <c r="CU383" s="2" t="s">
        <v>4105</v>
      </c>
      <c r="CV383" s="2" t="s">
        <v>4105</v>
      </c>
      <c r="CW383" s="2" t="str">
        <f>HYPERLINK(".\links\pep\AGAP000466-PA-pep.txt","AGAP000466-PA")</f>
        <v>AGAP000466-PA</v>
      </c>
      <c r="CX383" s="2" t="s">
        <v>95</v>
      </c>
      <c r="CY383" s="2">
        <v>645</v>
      </c>
      <c r="CZ383" s="2" t="s">
        <v>113</v>
      </c>
      <c r="DA383" s="2" t="s">
        <v>4112</v>
      </c>
      <c r="DB383" s="2">
        <v>0</v>
      </c>
      <c r="DC383" s="2">
        <v>3</v>
      </c>
      <c r="DD383" s="2" t="str">
        <f>HYPERLINK("https://www.kegg.jp/kegg-bin/search_pathway_text?map=aga&amp;keyword=AGAP000466&amp;mode=1&amp;viewImage=true","AGAP000466")</f>
        <v>AGAP000466</v>
      </c>
      <c r="DE383" s="2" t="s">
        <v>4100</v>
      </c>
      <c r="DF383" s="2" t="s">
        <v>4101</v>
      </c>
      <c r="DG383" s="2" t="s">
        <v>94</v>
      </c>
      <c r="DH383" s="2" t="str">
        <f>HYPERLINK("https://vectorbase.org/vectorbase/app/record/gene/AGAP000466","AGAP000466-RA")</f>
        <v>AGAP000466-RA</v>
      </c>
      <c r="DI383" s="2" t="s">
        <v>135</v>
      </c>
      <c r="DJ383" s="2">
        <v>15442</v>
      </c>
      <c r="DK383" s="2" t="str">
        <f>HYPERLINK(".\links\netoglyc\AGAP000466-PA-netoglyc.txt","2")</f>
        <v>2</v>
      </c>
      <c r="DL383" s="2">
        <v>11.9</v>
      </c>
      <c r="DM383" s="2">
        <v>8.8000000000000007</v>
      </c>
      <c r="DN383" s="2">
        <v>5.3</v>
      </c>
      <c r="DO383" s="2" t="s">
        <v>104</v>
      </c>
      <c r="DP383" s="2" t="s">
        <v>102</v>
      </c>
      <c r="DQ383" s="2" t="str">
        <f>HYPERLINK(".\links\Sigp\AGAP000466-PA-SigP.txt","SIG")</f>
        <v>SIG</v>
      </c>
      <c r="DR383" s="2" t="s">
        <v>2268</v>
      </c>
      <c r="DS383" s="2">
        <v>71.864999999999995</v>
      </c>
      <c r="DT383" s="2">
        <v>5.25</v>
      </c>
      <c r="DU383" s="2">
        <v>68.66</v>
      </c>
      <c r="DV383" s="2">
        <v>5.2</v>
      </c>
      <c r="DW383" s="2" t="s">
        <v>4108</v>
      </c>
      <c r="DX383" s="2">
        <v>645</v>
      </c>
      <c r="DY383" s="12" t="str">
        <f>HYPERLINK(".\links\tmhmm\AGAP000466-PA-tmhmm.txt","1")</f>
        <v>1</v>
      </c>
      <c r="DZ383" s="2">
        <v>3.4</v>
      </c>
      <c r="EA383" s="2">
        <v>94.9</v>
      </c>
      <c r="EB383" s="2">
        <v>1.7</v>
      </c>
      <c r="EC383" s="2" t="str">
        <f>HYPERLINK(".\links\gpi\AGAP000466-PA-gpi.txt","Y-NoSP")</f>
        <v>Y-NoSP</v>
      </c>
      <c r="ED383" s="2">
        <v>0.17</v>
      </c>
      <c r="EF383" s="2">
        <v>9</v>
      </c>
      <c r="EG383" s="2" t="str">
        <f>HYPERLINK(".\links\pep\AGAP000466-PA-sulf.txt","3")</f>
        <v>3</v>
      </c>
      <c r="EH383" s="2" t="s">
        <v>102</v>
      </c>
      <c r="EI383" s="2">
        <v>11.937984496124001</v>
      </c>
      <c r="EJ383" s="2">
        <v>5.2713178294573604</v>
      </c>
      <c r="EK383" s="2">
        <v>8.8372093023255793</v>
      </c>
      <c r="EL383" s="2">
        <v>14.1085271317829</v>
      </c>
      <c r="EM383" s="2">
        <v>1</v>
      </c>
      <c r="EN383" s="2">
        <v>1</v>
      </c>
      <c r="EO383" s="2">
        <v>2</v>
      </c>
      <c r="EP383" s="2" t="s">
        <v>102</v>
      </c>
      <c r="EQ383" s="2" t="s">
        <v>102</v>
      </c>
      <c r="ER383" s="2" t="s">
        <v>102</v>
      </c>
      <c r="ES383" s="2" t="s">
        <v>102</v>
      </c>
      <c r="ET383" s="2" t="str">
        <f>HYPERLINK(".\links\REFSEQ-INVERTEBRATE\AGAP000466-PA-REFSEQ-INVERTEBRATE.txt","AGAP000466-PA")</f>
        <v>AGAP000466-PA</v>
      </c>
      <c r="EU383" s="2" t="str">
        <f>HYPERLINK("http://www.ncbi.nlm.nih.gov/sutils/blink.cgi?pid=XP_310628.3","0.0")</f>
        <v>0.0</v>
      </c>
      <c r="EV383" s="2" t="str">
        <f>HYPERLINK("http://www.ncbi.nlm.nih.gov/protein/XP_310628.3","XP_310628.3")</f>
        <v>XP_310628.3</v>
      </c>
      <c r="EW383" s="2">
        <v>100</v>
      </c>
      <c r="EX383" s="2">
        <v>100</v>
      </c>
      <c r="EY383" s="2">
        <v>100</v>
      </c>
      <c r="EZ383" s="2" t="s">
        <v>105</v>
      </c>
    </row>
    <row r="384" spans="1:156" x14ac:dyDescent="0.25">
      <c r="A384" s="2" t="s">
        <v>4113</v>
      </c>
      <c r="B384" s="2">
        <v>-0.312737657013619</v>
      </c>
      <c r="C384" s="2">
        <f t="shared" si="5"/>
        <v>0.8051125278256579</v>
      </c>
      <c r="D384" s="2">
        <v>9.5818821918546195</v>
      </c>
      <c r="E384" s="2">
        <v>9.0514526907417103</v>
      </c>
      <c r="F384" s="2">
        <v>2.6248617771768598E-3</v>
      </c>
      <c r="G384" s="2">
        <v>4.7269525491001697E-2</v>
      </c>
      <c r="H384" s="2" t="s">
        <v>4114</v>
      </c>
      <c r="I384" s="2" t="s">
        <v>102</v>
      </c>
      <c r="J384" s="2" t="str">
        <f>HYPERLINK("https://vectorbase.org/vectorbase/app/record/gene/AGAP003021","AGAP003021-RB")</f>
        <v>AGAP003021-RB</v>
      </c>
      <c r="K384" s="2" t="str">
        <f>HYPERLINK(".\links\pep\AGAP003021-PB-pep.txt","AGAP003021-PB")</f>
        <v>AGAP003021-PB</v>
      </c>
      <c r="L384" s="12" t="s">
        <v>95</v>
      </c>
      <c r="M384" s="2">
        <v>1676</v>
      </c>
      <c r="N384" s="2">
        <v>0</v>
      </c>
      <c r="O384" s="2">
        <v>6</v>
      </c>
      <c r="P384" s="2" t="s">
        <v>4115</v>
      </c>
      <c r="Q384" s="9" t="s">
        <v>4116</v>
      </c>
      <c r="R384" s="2" t="s">
        <v>771</v>
      </c>
      <c r="S384" s="2" t="str">
        <f>HYPERLINK(".\links\KOG\AGAP003021-PB-KOG.txt","KOG")</f>
        <v>KOG</v>
      </c>
      <c r="T384" s="2">
        <v>0</v>
      </c>
      <c r="U384" s="2">
        <v>100.5</v>
      </c>
      <c r="V384" s="2" t="s">
        <v>4117</v>
      </c>
      <c r="W384" s="10" t="s">
        <v>4118</v>
      </c>
      <c r="X384" s="2" t="s">
        <v>771</v>
      </c>
      <c r="Y384" s="2" t="str">
        <f>HYPERLINK(".\links\REFSEQ-PROTOZOA\AGAP003021-PB-REFSEQ-PROTOZOA.txt","REFSEQ-PROTOZOA")</f>
        <v>REFSEQ-PROTOZOA</v>
      </c>
      <c r="Z384" s="2">
        <v>0</v>
      </c>
      <c r="AA384" s="2">
        <v>98.3</v>
      </c>
      <c r="AB384" s="13" t="str">
        <f>HYPERLINK(".\links\pep\AGAP003021-PB-sulf.txt","8")</f>
        <v>8</v>
      </c>
      <c r="AC384" s="13" t="str">
        <f>HYPERLINK(".\links\Sigp\AGAP003021-PB-SigP.txt","CYT")</f>
        <v>CYT</v>
      </c>
      <c r="AD384" s="2" t="s">
        <v>102</v>
      </c>
      <c r="AE384" s="2">
        <v>191.63</v>
      </c>
      <c r="AF384" s="2">
        <v>5.44</v>
      </c>
      <c r="AG384" s="2" t="s">
        <v>102</v>
      </c>
      <c r="AH384" s="2" t="s">
        <v>102</v>
      </c>
      <c r="AI384" s="2" t="s">
        <v>4119</v>
      </c>
      <c r="AJ384" s="13">
        <v>0</v>
      </c>
      <c r="AK384" s="2" t="s">
        <v>102</v>
      </c>
      <c r="AL384" s="2" t="s">
        <v>102</v>
      </c>
      <c r="AM384" s="2" t="s">
        <v>102</v>
      </c>
      <c r="AN384" s="13" t="str">
        <f>HYPERLINK(".\links\gpi\AGAP003021-PB-gpi.txt","N")</f>
        <v>N</v>
      </c>
      <c r="AO384" s="14" t="str">
        <f>HYPERLINK(".\links\netoglyc\AGAP003021-PB-netoglyc.txt","0")</f>
        <v>0</v>
      </c>
      <c r="AP384" s="13">
        <v>9.1999999999999993</v>
      </c>
      <c r="AQ384" s="2">
        <v>3.9</v>
      </c>
      <c r="AR384" s="2">
        <v>3.7</v>
      </c>
      <c r="AS384" s="2" t="s">
        <v>104</v>
      </c>
      <c r="AT384" s="9" t="str">
        <f>HYPERLINK(".\links\NR-LIGHT\AGAP003021-PB-NR-LIGHT.txt","AGAP003021-PA")</f>
        <v>AGAP003021-PA</v>
      </c>
      <c r="AU384" s="2" t="str">
        <f>HYPERLINK("http://www.ncbi.nlm.nih.gov/sutils/blink.cgi?pid=XP_311856.3","0.0")</f>
        <v>0.0</v>
      </c>
      <c r="AV384" s="2" t="str">
        <f>HYPERLINK("http://www.ncbi.nlm.nih.gov/protein/XP_311856.3","XP_311856.3")</f>
        <v>XP_311856.3</v>
      </c>
      <c r="AW384" s="2">
        <v>100</v>
      </c>
      <c r="AX384" s="2">
        <v>100</v>
      </c>
      <c r="AY384" s="2">
        <v>100</v>
      </c>
      <c r="AZ384" s="2" t="s">
        <v>105</v>
      </c>
      <c r="BA384" s="9" t="str">
        <f>HYPERLINK(".\links\REFSEQ-INVERTEBRATE\AGAP003021-PB-REFSEQ-INVERTEBRATE.txt","AGAP003021-PB")</f>
        <v>AGAP003021-PB</v>
      </c>
      <c r="BB384" s="2" t="str">
        <f>HYPERLINK("http://www.ncbi.nlm.nih.gov/sutils/blink.cgi?pid=XP_003436356.1","0.0")</f>
        <v>0.0</v>
      </c>
      <c r="BC384" s="2" t="str">
        <f>HYPERLINK("http://www.ncbi.nlm.nih.gov/protein/XP_003436356.1","XP_003436356.1")</f>
        <v>XP_003436356.1</v>
      </c>
      <c r="BD384" s="2">
        <v>100</v>
      </c>
      <c r="BE384" s="2">
        <v>100</v>
      </c>
      <c r="BF384" s="2">
        <v>100</v>
      </c>
      <c r="BG384" s="2" t="s">
        <v>105</v>
      </c>
      <c r="BH384" s="9" t="str">
        <f>HYPERLINK(".\links\REFSEQ-PROTOZOA\AGAP003021-PB-REFSEQ-PROTOZOA.txt","clathrin heavy chain 1")</f>
        <v>clathrin heavy chain 1</v>
      </c>
      <c r="BI384" s="2" t="str">
        <f>HYPERLINK("http://www.ncbi.nlm.nih.gov/sutils/blink.cgi?pid=XP_004343612.2","0.0")</f>
        <v>0.0</v>
      </c>
      <c r="BJ384" s="2" t="str">
        <f>HYPERLINK("http://www.ncbi.nlm.nih.gov/protein/XP_004343612.2","XP_004343612.2")</f>
        <v>XP_004343612.2</v>
      </c>
      <c r="BK384" s="2">
        <v>75</v>
      </c>
      <c r="BL384" s="2">
        <v>86</v>
      </c>
      <c r="BM384" s="2">
        <v>100</v>
      </c>
      <c r="BN384" s="2" t="s">
        <v>106</v>
      </c>
      <c r="BO384" s="9" t="str">
        <f>HYPERLINK(".\links\SWISSP\AGAP003021-PB-SWISSP.txt","Clathrin heavy chain")</f>
        <v>Clathrin heavy chain</v>
      </c>
      <c r="BP384" s="2" t="str">
        <f>HYPERLINK("http://www.uniprot.org/uniprot/P29742","0.0")</f>
        <v>0.0</v>
      </c>
      <c r="BQ384" s="2" t="str">
        <f>HYPERLINK("http://www.uniprot.org/uniprot/P29742#expression","P29742")</f>
        <v>P29742</v>
      </c>
      <c r="BR384" s="2">
        <v>89</v>
      </c>
      <c r="BS384" s="2">
        <v>95</v>
      </c>
      <c r="BT384" s="2">
        <v>99</v>
      </c>
      <c r="BU384" s="2" t="s">
        <v>107</v>
      </c>
      <c r="BV384" s="9" t="str">
        <f>HYPERLINK(".\links\FLYBASE\AGAP003021-PB-FLYBASE.txt","FBpp0308531")</f>
        <v>FBpp0308531</v>
      </c>
      <c r="BW384" s="2" t="str">
        <f>HYPERLINK("http://flybase.org/reports/FBgn0000319#alliance_summary_container","0.0")</f>
        <v>0.0</v>
      </c>
      <c r="BX384" s="2">
        <v>1678</v>
      </c>
      <c r="BY384" s="2">
        <v>89</v>
      </c>
      <c r="BZ384" s="2">
        <v>95</v>
      </c>
      <c r="CA384" s="2">
        <v>99</v>
      </c>
      <c r="CB384" s="9" t="str">
        <f>HYPERLINK(".\links\CDD\AGAP003021-PB-CDD.txt","CLH, Clathrin heavy chain repeat homology")</f>
        <v>CLH, Clathrin heavy chain repeat homology</v>
      </c>
      <c r="CC384" s="15">
        <v>9.9999999999999997E-29</v>
      </c>
      <c r="CD384" s="2">
        <v>102.1</v>
      </c>
      <c r="CE384" s="2" t="s">
        <v>4120</v>
      </c>
      <c r="CF384" s="2" t="s">
        <v>4121</v>
      </c>
      <c r="CG384" s="9" t="str">
        <f>HYPERLINK(".\links\KOG\AGAP003021-PB-KOG.txt","heavy chain")</f>
        <v>heavy chain</v>
      </c>
      <c r="CH384" s="15">
        <v>0</v>
      </c>
      <c r="CI384" s="2">
        <v>100.5</v>
      </c>
      <c r="CJ384" s="2" t="s">
        <v>4122</v>
      </c>
      <c r="CK384" s="2" t="s">
        <v>154</v>
      </c>
      <c r="CL384" s="9" t="str">
        <f>HYPERLINK(".\links\PFAM\AGAP003021-PB-PFAM.txt","Clathrin_H_link, Clathrin-H-link")</f>
        <v>Clathrin_H_link, Clathrin-H-link</v>
      </c>
      <c r="CM384" s="15">
        <v>6.9999999999999995E-29</v>
      </c>
      <c r="CN384" s="2">
        <v>101.5</v>
      </c>
      <c r="CO384" s="2" t="s">
        <v>4123</v>
      </c>
      <c r="CP384" s="9" t="str">
        <f>HYPERLINK(".\links\SMART\AGAP003021-PB-SMART.txt","CLH, Clathrin heavy chain repeat homology")</f>
        <v>CLH, Clathrin heavy chain repeat homology</v>
      </c>
      <c r="CQ384" s="15">
        <v>1.0000000000000001E-30</v>
      </c>
      <c r="CR384" s="2">
        <v>102.1</v>
      </c>
      <c r="CS384" s="2" t="s">
        <v>4120</v>
      </c>
      <c r="CT384" s="2" t="s">
        <v>4117</v>
      </c>
      <c r="CU384" s="2" t="s">
        <v>4117</v>
      </c>
      <c r="CV384" s="2" t="s">
        <v>4117</v>
      </c>
      <c r="CW384" s="2" t="str">
        <f>HYPERLINK(".\links\pep\AGAP003021-PB-pep.txt","AGAP003021-PB")</f>
        <v>AGAP003021-PB</v>
      </c>
      <c r="CX384" s="2" t="s">
        <v>95</v>
      </c>
      <c r="CY384" s="2">
        <v>1676</v>
      </c>
      <c r="CZ384" s="2" t="s">
        <v>113</v>
      </c>
      <c r="DA384" s="2">
        <v>0</v>
      </c>
      <c r="DB384" s="2">
        <v>6</v>
      </c>
      <c r="DD384" s="2" t="str">
        <f>HYPERLINK("https://www.kegg.jp/kegg-bin/search_pathway_text?map=aga&amp;keyword=AGAP003021&amp;mode=1&amp;viewImage=true","AGAP003021")</f>
        <v>AGAP003021</v>
      </c>
      <c r="DE384" s="2" t="s">
        <v>4113</v>
      </c>
      <c r="DF384" s="2" t="s">
        <v>4114</v>
      </c>
      <c r="DG384" s="2" t="s">
        <v>102</v>
      </c>
      <c r="DH384" s="2" t="str">
        <f>HYPERLINK("https://vectorbase.org/vectorbase/app/record/gene/AGAP003021","AGAP003021-RB")</f>
        <v>AGAP003021-RB</v>
      </c>
      <c r="DI384" s="2" t="s">
        <v>115</v>
      </c>
      <c r="DJ384" s="2">
        <v>6736</v>
      </c>
      <c r="DK384" s="2" t="str">
        <f>HYPERLINK(".\links\netoglyc\AGAP003021-PB-netoglyc.txt","0")</f>
        <v>0</v>
      </c>
      <c r="DL384" s="2">
        <v>9.1999999999999993</v>
      </c>
      <c r="DM384" s="2">
        <v>3.9</v>
      </c>
      <c r="DN384" s="2">
        <v>3.7</v>
      </c>
      <c r="DO384" s="2" t="s">
        <v>104</v>
      </c>
      <c r="DP384" s="2" t="s">
        <v>102</v>
      </c>
      <c r="DQ384" s="2" t="str">
        <f>HYPERLINK(".\links\Sigp\AGAP003021-PB-SigP.txt","CYT")</f>
        <v>CYT</v>
      </c>
      <c r="DR384" s="2" t="s">
        <v>102</v>
      </c>
      <c r="DS384" s="2">
        <v>191.63</v>
      </c>
      <c r="DT384" s="2">
        <v>5.44</v>
      </c>
      <c r="DU384" s="2" t="s">
        <v>102</v>
      </c>
      <c r="DV384" s="2" t="s">
        <v>102</v>
      </c>
      <c r="DW384" s="2" t="s">
        <v>4119</v>
      </c>
      <c r="DX384" s="2">
        <v>1676</v>
      </c>
      <c r="DY384" s="12">
        <v>0</v>
      </c>
      <c r="DZ384" s="2" t="s">
        <v>102</v>
      </c>
      <c r="EA384" s="2" t="s">
        <v>102</v>
      </c>
      <c r="EB384" s="2" t="s">
        <v>102</v>
      </c>
      <c r="EC384" s="2" t="str">
        <f>HYPERLINK(".\links\gpi\AGAP003021-PB-gpi.txt","N")</f>
        <v>N</v>
      </c>
      <c r="ED384" s="2">
        <v>0.21</v>
      </c>
      <c r="EF384" s="2">
        <v>31</v>
      </c>
      <c r="EG384" s="2" t="str">
        <f>HYPERLINK(".\links\pep\AGAP003021-PB-sulf.txt","8")</f>
        <v>8</v>
      </c>
      <c r="EH384" s="2" t="s">
        <v>102</v>
      </c>
      <c r="EI384" s="2">
        <v>9.1885441527446297</v>
      </c>
      <c r="EJ384" s="2">
        <v>3.69928400954654</v>
      </c>
      <c r="EK384" s="2">
        <v>3.8782816229116901</v>
      </c>
      <c r="EL384" s="2">
        <v>7.5775656324582297</v>
      </c>
      <c r="EM384" s="2">
        <v>1</v>
      </c>
      <c r="EN384" s="2">
        <v>4</v>
      </c>
      <c r="EO384" s="2">
        <v>5</v>
      </c>
      <c r="EP384" s="2" t="s">
        <v>102</v>
      </c>
      <c r="EQ384" s="2" t="s">
        <v>102</v>
      </c>
      <c r="ER384" s="2" t="s">
        <v>102</v>
      </c>
      <c r="ES384" s="2" t="s">
        <v>102</v>
      </c>
      <c r="ET384" s="2" t="str">
        <f>HYPERLINK(".\links\REFSEQ-INVERTEBRATE\AGAP003021-PB-REFSEQ-INVERTEBRATE.txt","AGAP003021-PB")</f>
        <v>AGAP003021-PB</v>
      </c>
      <c r="EU384" s="2" t="str">
        <f>HYPERLINK("http://www.ncbi.nlm.nih.gov/sutils/blink.cgi?pid=XP_003436356.1","0.0")</f>
        <v>0.0</v>
      </c>
      <c r="EV384" s="2" t="str">
        <f>HYPERLINK("http://www.ncbi.nlm.nih.gov/protein/XP_003436356.1","XP_003436356.1")</f>
        <v>XP_003436356.1</v>
      </c>
      <c r="EW384" s="2">
        <v>100</v>
      </c>
      <c r="EX384" s="2">
        <v>100</v>
      </c>
      <c r="EY384" s="2">
        <v>100</v>
      </c>
      <c r="EZ384" s="2" t="s">
        <v>105</v>
      </c>
    </row>
    <row r="385" spans="1:156" x14ac:dyDescent="0.25">
      <c r="A385" s="2" t="s">
        <v>4124</v>
      </c>
      <c r="B385" s="2">
        <v>-0.31377001799413901</v>
      </c>
      <c r="C385" s="2">
        <f t="shared" si="5"/>
        <v>0.80453661301091117</v>
      </c>
      <c r="D385" s="2">
        <v>8.6503322103234499</v>
      </c>
      <c r="E385" s="2">
        <v>10.1703849474946</v>
      </c>
      <c r="F385" s="2">
        <v>1.4271447525955E-3</v>
      </c>
      <c r="G385" s="2">
        <v>3.7152645524746501E-2</v>
      </c>
      <c r="H385" s="2" t="s">
        <v>93</v>
      </c>
      <c r="I385" s="2" t="s">
        <v>94</v>
      </c>
      <c r="J385" s="2" t="str">
        <f>HYPERLINK("https://vectorbase.org/vectorbase/app/record/gene/AGAP003290","AGAP003290-RA")</f>
        <v>AGAP003290-RA</v>
      </c>
      <c r="K385" s="2" t="str">
        <f>HYPERLINK(".\links\pep\AGAP003290-PA-pep.txt","AGAP003290-PA")</f>
        <v>AGAP003290-PA</v>
      </c>
      <c r="L385" s="12" t="s">
        <v>95</v>
      </c>
      <c r="M385" s="2">
        <v>2113</v>
      </c>
      <c r="N385" s="2">
        <v>0</v>
      </c>
      <c r="O385" s="2">
        <v>8</v>
      </c>
      <c r="P385" s="2" t="s">
        <v>102</v>
      </c>
      <c r="Q385" s="9" t="s">
        <v>226</v>
      </c>
      <c r="R385" s="2" t="s">
        <v>227</v>
      </c>
      <c r="S385" s="2" t="str">
        <f>HYPERLINK(".\links\REFSEQ-INVERTEBRATE\AGAP003290-PA-REFSEQ-INVERTEBRATE.txt","REFSEQ-INVERTEBRATE")</f>
        <v>REFSEQ-INVERTEBRATE</v>
      </c>
      <c r="T385" s="2">
        <v>0</v>
      </c>
      <c r="V385" s="2" t="s">
        <v>4125</v>
      </c>
      <c r="W385" s="10" t="s">
        <v>226</v>
      </c>
      <c r="X385" s="2" t="s">
        <v>227</v>
      </c>
      <c r="Y385" s="2" t="str">
        <f>HYPERLINK(".\links\REFSEQ-INVERTEBRATE\AGAP003290-PA-REFSEQ-INVERTEBRATE.txt","REFSEQ-INVERTEBRATE")</f>
        <v>REFSEQ-INVERTEBRATE</v>
      </c>
      <c r="Z385" s="2">
        <v>0</v>
      </c>
      <c r="AA385" s="2">
        <v>96.2</v>
      </c>
      <c r="AB385" s="13" t="str">
        <f>HYPERLINK(".\links\pep\AGAP003290-PA-sulf.txt","9")</f>
        <v>9</v>
      </c>
      <c r="AC385" s="13" t="str">
        <f>HYPERLINK(".\links\Sigp\AGAP003290-PA-SigP.txt","SIG")</f>
        <v>SIG</v>
      </c>
      <c r="AD385" s="2" t="s">
        <v>2183</v>
      </c>
      <c r="AE385" s="2">
        <v>239.13300000000001</v>
      </c>
      <c r="AF385" s="2">
        <v>5.08</v>
      </c>
      <c r="AG385" s="2">
        <v>236.44800000000001</v>
      </c>
      <c r="AH385" s="2">
        <v>5.08</v>
      </c>
      <c r="AI385" s="2" t="s">
        <v>4126</v>
      </c>
      <c r="AJ385" s="13">
        <v>0</v>
      </c>
      <c r="AK385" s="2" t="s">
        <v>102</v>
      </c>
      <c r="AL385" s="2" t="s">
        <v>102</v>
      </c>
      <c r="AM385" s="2" t="s">
        <v>102</v>
      </c>
      <c r="AN385" s="13" t="str">
        <f>HYPERLINK(".\links\gpi\AGAP003290-PA-gpi.txt","N")</f>
        <v>N</v>
      </c>
      <c r="AO385" s="14" t="str">
        <f>HYPERLINK(".\links\netoglyc\AGAP003290-PA-netoglyc.txt","0")</f>
        <v>0</v>
      </c>
      <c r="AP385" s="13">
        <v>12</v>
      </c>
      <c r="AQ385" s="2">
        <v>6.2</v>
      </c>
      <c r="AR385" s="2">
        <v>4</v>
      </c>
      <c r="AS385" s="2" t="s">
        <v>104</v>
      </c>
      <c r="AT385" s="9" t="str">
        <f>HYPERLINK(".\links\NR-LIGHT\AGAP003290-PA-NR-LIGHT.txt","AGAP003290-PA, partial")</f>
        <v>AGAP003290-PA, partial</v>
      </c>
      <c r="AU385" s="2" t="str">
        <f>HYPERLINK("http://www.ncbi.nlm.nih.gov/sutils/blink.cgi?pid=XP_307796.5","0.0")</f>
        <v>0.0</v>
      </c>
      <c r="AV385" s="2" t="str">
        <f>HYPERLINK("http://www.ncbi.nlm.nih.gov/protein/XP_307796.5","XP_307796.5")</f>
        <v>XP_307796.5</v>
      </c>
      <c r="AW385" s="2">
        <v>100</v>
      </c>
      <c r="AX385" s="2">
        <v>100</v>
      </c>
      <c r="AY385" s="2">
        <v>100</v>
      </c>
      <c r="AZ385" s="2" t="s">
        <v>105</v>
      </c>
      <c r="BA385" s="9" t="str">
        <f>HYPERLINK(".\links\REFSEQ-INVERTEBRATE\AGAP003290-PA-REFSEQ-INVERTEBRATE.txt","AGAP003290-PA, partial")</f>
        <v>AGAP003290-PA, partial</v>
      </c>
      <c r="BB385" s="2" t="str">
        <f>HYPERLINK("http://www.ncbi.nlm.nih.gov/sutils/blink.cgi?pid=XP_307796.5","0.0")</f>
        <v>0.0</v>
      </c>
      <c r="BC385" s="2" t="str">
        <f>HYPERLINK("http://www.ncbi.nlm.nih.gov/protein/XP_307796.5","XP_307796.5")</f>
        <v>XP_307796.5</v>
      </c>
      <c r="BD385" s="2">
        <v>100</v>
      </c>
      <c r="BE385" s="2">
        <v>100</v>
      </c>
      <c r="BF385" s="2">
        <v>100</v>
      </c>
      <c r="BG385" s="2" t="s">
        <v>105</v>
      </c>
      <c r="BH385" s="9" t="str">
        <f>HYPERLINK(".\links\REFSEQ-PROTOZOA\AGAP003290-PA-REFSEQ-PROTOZOA.txt","hypothetical protein DICPUDRAFT_151045")</f>
        <v>hypothetical protein DICPUDRAFT_151045</v>
      </c>
      <c r="BI385" s="2" t="str">
        <f>HYPERLINK("http://www.ncbi.nlm.nih.gov/sutils/blink.cgi?pid=XP_003287000.1","0.20")</f>
        <v>0.20</v>
      </c>
      <c r="BJ385" s="2" t="str">
        <f>HYPERLINK("http://www.ncbi.nlm.nih.gov/protein/XP_003287000.1","XP_003287000.1")</f>
        <v>XP_003287000.1</v>
      </c>
      <c r="BK385" s="2">
        <v>32</v>
      </c>
      <c r="BL385" s="2">
        <v>52</v>
      </c>
      <c r="BM385" s="2">
        <v>6</v>
      </c>
      <c r="BN385" s="2" t="s">
        <v>337</v>
      </c>
      <c r="BO385" s="9" t="str">
        <f>HYPERLINK(".\links\SWISSP\AGAP003290-PA-SWISSP.txt","30S ribosomal protein S1")</f>
        <v>30S ribosomal protein S1</v>
      </c>
      <c r="BP385" s="2" t="str">
        <f>HYPERLINK("http://www.uniprot.org/uniprot/P14129","0.64")</f>
        <v>0.64</v>
      </c>
      <c r="BQ385" s="2" t="str">
        <f>HYPERLINK("http://www.uniprot.org/uniprot/P14129#expression","P14129")</f>
        <v>P14129</v>
      </c>
      <c r="BR385" s="2">
        <v>34</v>
      </c>
      <c r="BS385" s="2">
        <v>51</v>
      </c>
      <c r="BT385" s="2">
        <v>13</v>
      </c>
      <c r="BU385" s="2" t="s">
        <v>4127</v>
      </c>
      <c r="BV385" s="9" t="str">
        <f>HYPERLINK(".\links\FLYBASE\AGAP003290-PA-FLYBASE.txt","FBpp0070200")</f>
        <v>FBpp0070200</v>
      </c>
      <c r="BW385" s="2" t="str">
        <f>HYPERLINK("http://flybase.org/reports/FBgn0004650#alliance_summary_container","1E-77")</f>
        <v>1E-77</v>
      </c>
      <c r="BX385" s="2">
        <v>2118</v>
      </c>
      <c r="BY385" s="2">
        <v>26</v>
      </c>
      <c r="BZ385" s="2">
        <v>45</v>
      </c>
      <c r="CA385" s="2">
        <v>43</v>
      </c>
      <c r="CB385" s="9" t="str">
        <f>HYPERLINK(".\links\CDD\AGAP003290-PA-CDD.txt","T7_EssB, type VII secretion protein EssB")</f>
        <v>T7_EssB, type VII secretion protein EssB</v>
      </c>
      <c r="CC385" s="15">
        <v>0.74</v>
      </c>
      <c r="CD385" s="2">
        <v>14.6</v>
      </c>
      <c r="CE385" s="2" t="s">
        <v>4128</v>
      </c>
      <c r="CF385" s="2" t="s">
        <v>4129</v>
      </c>
      <c r="CG385" s="9" t="str">
        <f>HYPERLINK(".\links\KOG\AGAP003290-PA-KOG.txt","Uridine phosphorylase")</f>
        <v>Uridine phosphorylase</v>
      </c>
      <c r="CH385" s="15">
        <v>1.2</v>
      </c>
      <c r="CI385" s="2">
        <v>19.8</v>
      </c>
      <c r="CJ385" s="2" t="s">
        <v>4130</v>
      </c>
      <c r="CK385" s="2" t="s">
        <v>1227</v>
      </c>
      <c r="CL385" s="9" t="str">
        <f>HYPERLINK(".\links\PFAM\AGAP003290-PA-PFAM.txt","Ino80_Iec3, IEC3 subunit of the Ino80 complex, chromatin re-modelling")</f>
        <v>Ino80_Iec3, IEC3 subunit of the Ino80 complex, chromatin re-modelling</v>
      </c>
      <c r="CM385" s="15">
        <v>0.4</v>
      </c>
      <c r="CN385" s="2">
        <v>40.299999999999997</v>
      </c>
      <c r="CO385" s="2" t="s">
        <v>4131</v>
      </c>
      <c r="CP385" s="9" t="str">
        <f>HYPERLINK(".\links\SMART\AGAP003290-PA-SMART.txt","RAB, Rab subfamily of small GTPases")</f>
        <v>RAB, Rab subfamily of small GTPases</v>
      </c>
      <c r="CQ385" s="15">
        <v>0.81</v>
      </c>
      <c r="CR385" s="2">
        <v>12.8</v>
      </c>
      <c r="CS385" s="2" t="s">
        <v>1351</v>
      </c>
      <c r="CT385" s="2" t="s">
        <v>4125</v>
      </c>
      <c r="CU385" s="2" t="s">
        <v>4125</v>
      </c>
      <c r="CV385" s="2" t="s">
        <v>4125</v>
      </c>
      <c r="CW385" s="2" t="str">
        <f>HYPERLINK(".\links\pep\AGAP003290-PA-pep.txt","AGAP003290-PA")</f>
        <v>AGAP003290-PA</v>
      </c>
      <c r="CX385" s="2" t="s">
        <v>95</v>
      </c>
      <c r="CY385" s="2">
        <v>2113</v>
      </c>
      <c r="CZ385" s="2" t="s">
        <v>113</v>
      </c>
      <c r="DA385" s="2" t="s">
        <v>4132</v>
      </c>
      <c r="DB385" s="2">
        <v>0</v>
      </c>
      <c r="DC385" s="2">
        <v>8</v>
      </c>
      <c r="DD385" s="2" t="str">
        <f>HYPERLINK("https://www.kegg.jp/kegg-bin/search_pathway_text?map=aga&amp;keyword=AGAP003290&amp;mode=1&amp;viewImage=true","AGAP003290")</f>
        <v>AGAP003290</v>
      </c>
      <c r="DE385" s="2" t="s">
        <v>4124</v>
      </c>
      <c r="DF385" s="2" t="s">
        <v>93</v>
      </c>
      <c r="DG385" s="2" t="s">
        <v>94</v>
      </c>
      <c r="DH385" s="2" t="str">
        <f>HYPERLINK("https://vectorbase.org/vectorbase/app/record/gene/AGAP003290","AGAP003290-RA")</f>
        <v>AGAP003290-RA</v>
      </c>
      <c r="DI385" s="2" t="s">
        <v>135</v>
      </c>
      <c r="DJ385" s="2">
        <v>6341</v>
      </c>
      <c r="DK385" s="2" t="str">
        <f>HYPERLINK(".\links\netoglyc\AGAP003290-PA-netoglyc.txt","0")</f>
        <v>0</v>
      </c>
      <c r="DL385" s="2">
        <v>12</v>
      </c>
      <c r="DM385" s="2">
        <v>6.2</v>
      </c>
      <c r="DN385" s="2">
        <v>4</v>
      </c>
      <c r="DO385" s="2" t="s">
        <v>104</v>
      </c>
      <c r="DP385" s="2" t="s">
        <v>4133</v>
      </c>
      <c r="DQ385" s="2" t="str">
        <f>HYPERLINK(".\links\Sigp\AGAP003290-PA-SigP.txt","SIG")</f>
        <v>SIG</v>
      </c>
      <c r="DR385" s="2" t="s">
        <v>2183</v>
      </c>
      <c r="DS385" s="2">
        <v>239.13300000000001</v>
      </c>
      <c r="DT385" s="2">
        <v>5.08</v>
      </c>
      <c r="DU385" s="2">
        <v>236.44800000000001</v>
      </c>
      <c r="DV385" s="2">
        <v>5.08</v>
      </c>
      <c r="DW385" s="2" t="s">
        <v>4126</v>
      </c>
      <c r="DX385" s="2">
        <v>2113</v>
      </c>
      <c r="DY385" s="12">
        <v>0</v>
      </c>
      <c r="DZ385" s="2" t="s">
        <v>102</v>
      </c>
      <c r="EA385" s="2" t="s">
        <v>102</v>
      </c>
      <c r="EB385" s="2" t="s">
        <v>102</v>
      </c>
      <c r="EC385" s="2" t="str">
        <f>HYPERLINK(".\links\gpi\AGAP003290-PA-gpi.txt","N")</f>
        <v>N</v>
      </c>
      <c r="ED385" s="2">
        <v>0.2</v>
      </c>
      <c r="EF385" s="2">
        <v>13</v>
      </c>
      <c r="EG385" s="2" t="str">
        <f>HYPERLINK(".\links\pep\AGAP003290-PA-sulf.txt","9")</f>
        <v>9</v>
      </c>
      <c r="EH385" s="2" t="s">
        <v>102</v>
      </c>
      <c r="EI385" s="2">
        <v>11.973497397065801</v>
      </c>
      <c r="EJ385" s="2">
        <v>4.0227165168007604</v>
      </c>
      <c r="EK385" s="2">
        <v>6.2470421202082296</v>
      </c>
      <c r="EL385" s="2">
        <v>10.269758637009</v>
      </c>
      <c r="EM385" s="2">
        <v>1</v>
      </c>
      <c r="EN385" s="2">
        <v>3</v>
      </c>
      <c r="EO385" s="2">
        <v>3</v>
      </c>
      <c r="EP385" s="2" t="s">
        <v>102</v>
      </c>
      <c r="EQ385" s="2" t="s">
        <v>102</v>
      </c>
      <c r="ER385" s="2" t="s">
        <v>102</v>
      </c>
      <c r="ES385" s="2" t="s">
        <v>102</v>
      </c>
      <c r="ET385" s="2" t="str">
        <f>HYPERLINK(".\links\REFSEQ-INVERTEBRATE\AGAP003290-PA-REFSEQ-INVERTEBRATE.txt","AGAP003290-PA, partial")</f>
        <v>AGAP003290-PA, partial</v>
      </c>
      <c r="EU385" s="2" t="str">
        <f>HYPERLINK("http://www.ncbi.nlm.nih.gov/sutils/blink.cgi?pid=XP_307796.5","0.0")</f>
        <v>0.0</v>
      </c>
      <c r="EV385" s="2" t="str">
        <f>HYPERLINK("http://www.ncbi.nlm.nih.gov/protein/XP_307796.5","XP_307796.5")</f>
        <v>XP_307796.5</v>
      </c>
      <c r="EW385" s="2">
        <v>100</v>
      </c>
      <c r="EX385" s="2">
        <v>100</v>
      </c>
      <c r="EY385" s="2">
        <v>100</v>
      </c>
      <c r="EZ385" s="2" t="s">
        <v>105</v>
      </c>
    </row>
    <row r="386" spans="1:156" x14ac:dyDescent="0.25">
      <c r="A386" s="2" t="s">
        <v>4134</v>
      </c>
      <c r="B386" s="2">
        <v>-0.31672823534709998</v>
      </c>
      <c r="C386" s="2">
        <f t="shared" ref="C386:C449" si="6">2^B386</f>
        <v>0.80288861693136093</v>
      </c>
      <c r="D386" s="2">
        <v>6.7118154064562701</v>
      </c>
      <c r="E386" s="2">
        <v>12.4035108891213</v>
      </c>
      <c r="F386" s="2">
        <v>4.28527396595385E-4</v>
      </c>
      <c r="G386" s="2">
        <v>2.3725491536221999E-2</v>
      </c>
      <c r="H386" s="2" t="s">
        <v>4135</v>
      </c>
      <c r="I386" s="2" t="s">
        <v>94</v>
      </c>
      <c r="J386" s="2" t="str">
        <f>HYPERLINK("https://vectorbase.org/vectorbase/app/record/gene/AGAP001752","AGAP001752-RB")</f>
        <v>AGAP001752-RB</v>
      </c>
      <c r="K386" s="2" t="str">
        <f>HYPERLINK(".\links\pep\AGAP001752-PB-pep.txt","AGAP001752-PB")</f>
        <v>AGAP001752-PB</v>
      </c>
      <c r="L386" s="12" t="s">
        <v>95</v>
      </c>
      <c r="M386" s="2">
        <v>1218</v>
      </c>
      <c r="N386" s="2">
        <v>0</v>
      </c>
      <c r="O386" s="2">
        <v>1</v>
      </c>
      <c r="P386" s="2" t="s">
        <v>4136</v>
      </c>
      <c r="Q386" s="9" t="s">
        <v>3145</v>
      </c>
      <c r="R386" s="2" t="s">
        <v>355</v>
      </c>
      <c r="S386" s="2" t="str">
        <f>HYPERLINK(".\links\CDD\AGAP001752-PB-CDD.txt","CDD")</f>
        <v>CDD</v>
      </c>
      <c r="T386" s="2">
        <v>0</v>
      </c>
      <c r="U386" s="2">
        <v>100</v>
      </c>
      <c r="V386" s="2" t="s">
        <v>4137</v>
      </c>
      <c r="W386" s="10" t="s">
        <v>4138</v>
      </c>
      <c r="X386" s="2" t="s">
        <v>355</v>
      </c>
      <c r="Y386" s="2" t="str">
        <f>HYPERLINK(".\links\REFSEQVERTEBRATE95\AGAP001752-PB-REFSEQVERTEBRATE95.txt","REFSEQVERTEBRATE95")</f>
        <v>REFSEQVERTEBRATE95</v>
      </c>
      <c r="Z386" s="2">
        <v>0</v>
      </c>
      <c r="AA386" s="2">
        <v>64.8</v>
      </c>
      <c r="AB386" s="13" t="str">
        <f>HYPERLINK(".\links\pep\AGAP001752-PB-sulf.txt","1")</f>
        <v>1</v>
      </c>
      <c r="AC386" s="13" t="str">
        <f>HYPERLINK(".\links\Sigp\AGAP001752-PB-SigP.txt","CYT")</f>
        <v>CYT</v>
      </c>
      <c r="AD386" s="2" t="s">
        <v>102</v>
      </c>
      <c r="AE386" s="2">
        <v>130.136</v>
      </c>
      <c r="AF386" s="2">
        <v>8.43</v>
      </c>
      <c r="AG386" s="2" t="s">
        <v>102</v>
      </c>
      <c r="AH386" s="2" t="s">
        <v>102</v>
      </c>
      <c r="AI386" s="2" t="s">
        <v>124</v>
      </c>
      <c r="AJ386" s="13">
        <v>0</v>
      </c>
      <c r="AK386" s="2" t="s">
        <v>102</v>
      </c>
      <c r="AL386" s="2" t="s">
        <v>102</v>
      </c>
      <c r="AM386" s="2" t="s">
        <v>102</v>
      </c>
      <c r="AN386" s="13" t="str">
        <f>HYPERLINK(".\links\gpi\AGAP001752-PB-gpi.txt","N")</f>
        <v>N</v>
      </c>
      <c r="AO386" s="14" t="str">
        <f>HYPERLINK(".\links\netoglyc\AGAP001752-PB-netoglyc.txt","9")</f>
        <v>9</v>
      </c>
      <c r="AP386" s="13">
        <v>18</v>
      </c>
      <c r="AQ386" s="2">
        <v>10.3</v>
      </c>
      <c r="AR386" s="2">
        <v>4.5</v>
      </c>
      <c r="AS386" s="2" t="s">
        <v>104</v>
      </c>
      <c r="AT386" s="9" t="str">
        <f>HYPERLINK(".\links\NR-LIGHT\AGAP001752-PB-NR-LIGHT.txt","AGAP001752-PA")</f>
        <v>AGAP001752-PA</v>
      </c>
      <c r="AU386" s="2" t="str">
        <f>HYPERLINK("http://www.ncbi.nlm.nih.gov/sutils/blink.cgi?pid=XP_321330.5","0.0")</f>
        <v>0.0</v>
      </c>
      <c r="AV386" s="2" t="str">
        <f>HYPERLINK("http://www.ncbi.nlm.nih.gov/protein/XP_321330.5","XP_321330.5")</f>
        <v>XP_321330.5</v>
      </c>
      <c r="AW386" s="2">
        <v>100</v>
      </c>
      <c r="AX386" s="2">
        <v>100</v>
      </c>
      <c r="AY386" s="2">
        <v>100</v>
      </c>
      <c r="AZ386" s="2" t="s">
        <v>105</v>
      </c>
      <c r="BA386" s="9" t="str">
        <f>HYPERLINK(".\links\REFSEQ-INVERTEBRATE\AGAP001752-PB-REFSEQ-INVERTEBRATE.txt","AGAP001752-PA")</f>
        <v>AGAP001752-PA</v>
      </c>
      <c r="BB386" s="2" t="str">
        <f>HYPERLINK("http://www.ncbi.nlm.nih.gov/sutils/blink.cgi?pid=XP_321330.5","0.0")</f>
        <v>0.0</v>
      </c>
      <c r="BC386" s="2" t="str">
        <f>HYPERLINK("http://www.ncbi.nlm.nih.gov/protein/XP_321330.5","XP_321330.5")</f>
        <v>XP_321330.5</v>
      </c>
      <c r="BD386" s="2">
        <v>100</v>
      </c>
      <c r="BE386" s="2">
        <v>100</v>
      </c>
      <c r="BF386" s="2">
        <v>100</v>
      </c>
      <c r="BG386" s="2" t="s">
        <v>105</v>
      </c>
      <c r="BH386" s="9" t="str">
        <f>HYPERLINK(".\links\REFSEQ-PROTOZOA\AGAP001752-PB-REFSEQ-PROTOZOA.txt","snrk protein")</f>
        <v>snrk protein</v>
      </c>
      <c r="BI386" s="2" t="str">
        <f>HYPERLINK("http://www.ncbi.nlm.nih.gov/sutils/blink.cgi?pid=XP_004344393.2","1E-101")</f>
        <v>1E-101</v>
      </c>
      <c r="BJ386" s="2" t="str">
        <f>HYPERLINK("http://www.ncbi.nlm.nih.gov/protein/XP_004344393.2","XP_004344393.2")</f>
        <v>XP_004344393.2</v>
      </c>
      <c r="BK386" s="2">
        <v>52</v>
      </c>
      <c r="BL386" s="2">
        <v>70</v>
      </c>
      <c r="BM386" s="2">
        <v>20</v>
      </c>
      <c r="BN386" s="2" t="s">
        <v>106</v>
      </c>
      <c r="BO386" s="9" t="str">
        <f>HYPERLINK(".\links\SWISSP\AGAP001752-PB-SWISSP.txt","SNF-related serine/threonine-protein kinase")</f>
        <v>SNF-related serine/threonine-protein kinase</v>
      </c>
      <c r="BP386" s="2" t="str">
        <f>HYPERLINK("http://www.uniprot.org/uniprot/Q9NRH2","1E-149")</f>
        <v>1E-149</v>
      </c>
      <c r="BQ386" s="2" t="str">
        <f>HYPERLINK("http://www.uniprot.org/uniprot/Q9NRH2#expression","Q9NRH2")</f>
        <v>Q9NRH2</v>
      </c>
      <c r="BR386" s="2">
        <v>51</v>
      </c>
      <c r="BS386" s="2">
        <v>64</v>
      </c>
      <c r="BT386" s="2">
        <v>76</v>
      </c>
      <c r="BU386" s="2" t="s">
        <v>127</v>
      </c>
      <c r="BV386" s="9" t="str">
        <f>HYPERLINK(".\links\FLYBASE\AGAP001752-PB-FLYBASE.txt","FBpp0086698")</f>
        <v>FBpp0086698</v>
      </c>
      <c r="BW386" s="2" t="str">
        <f>HYPERLINK("http://flybase.org/reports/FBgn0033915#alliance_summary_container","0.0")</f>
        <v>0.0</v>
      </c>
      <c r="BX386" s="2">
        <v>860</v>
      </c>
      <c r="BY386" s="2">
        <v>66</v>
      </c>
      <c r="BZ386" s="2">
        <v>79</v>
      </c>
      <c r="CA386" s="2">
        <v>53</v>
      </c>
      <c r="CB386" s="9" t="str">
        <f>HYPERLINK(".\links\CDD\AGAP001752-PB-CDD.txt","STKc_SNRK, Catalytic domain of the Serine/Threonine Kinase, SNF1-related kinase")</f>
        <v>STKc_SNRK, Catalytic domain of the Serine/Threonine Kinase, SNF1-related kinase</v>
      </c>
      <c r="CC386" s="15">
        <v>9.9999999999999998E-172</v>
      </c>
      <c r="CD386" s="2">
        <v>100</v>
      </c>
      <c r="CE386" s="2" t="s">
        <v>4139</v>
      </c>
      <c r="CF386" s="2" t="s">
        <v>4140</v>
      </c>
      <c r="CG386" s="9" t="str">
        <f>HYPERLINK(".\links\KOG\AGAP001752-PB-KOG.txt","Serine/threonine protein kinase")</f>
        <v>Serine/threonine protein kinase</v>
      </c>
      <c r="CH386" s="15">
        <v>1E-175</v>
      </c>
      <c r="CI386" s="2">
        <v>99</v>
      </c>
      <c r="CJ386" s="2" t="s">
        <v>4141</v>
      </c>
      <c r="CK386" s="2" t="s">
        <v>173</v>
      </c>
      <c r="CL386" s="9" t="str">
        <f>HYPERLINK(".\links\PFAM\AGAP001752-PB-PFAM.txt","Pkinase, Protein kinase domain")</f>
        <v>Pkinase, Protein kinase domain</v>
      </c>
      <c r="CM386" s="15">
        <v>4E-79</v>
      </c>
      <c r="CN386" s="2">
        <v>101.2</v>
      </c>
      <c r="CO386" s="2" t="s">
        <v>1574</v>
      </c>
      <c r="CP386" s="9" t="str">
        <f>HYPERLINK(".\links\SMART\AGAP001752-PB-SMART.txt","S_TKc, Serine/Threonine protein kinases, catalytic domain")</f>
        <v>S_TKc, Serine/Threonine protein kinases, catalytic domain</v>
      </c>
      <c r="CQ386" s="15">
        <v>6.9999999999999997E-91</v>
      </c>
      <c r="CR386" s="2">
        <v>101.6</v>
      </c>
      <c r="CS386" s="2" t="s">
        <v>1575</v>
      </c>
      <c r="CT386" s="2" t="s">
        <v>4137</v>
      </c>
      <c r="CU386" s="2" t="s">
        <v>4137</v>
      </c>
      <c r="CV386" s="2" t="s">
        <v>4137</v>
      </c>
      <c r="CW386" s="2" t="str">
        <f>HYPERLINK(".\links\pep\AGAP001752-PB-pep.txt","AGAP001752-PB")</f>
        <v>AGAP001752-PB</v>
      </c>
      <c r="CX386" s="2" t="s">
        <v>95</v>
      </c>
      <c r="CY386" s="2">
        <v>1218</v>
      </c>
      <c r="CZ386" s="2" t="s">
        <v>113</v>
      </c>
      <c r="DA386" s="2" t="s">
        <v>4142</v>
      </c>
      <c r="DB386" s="2">
        <v>0</v>
      </c>
      <c r="DC386" s="2">
        <v>1</v>
      </c>
      <c r="DD386" s="2" t="str">
        <f>HYPERLINK("https://www.kegg.jp/kegg-bin/search_pathway_text?map=aga&amp;keyword=AGAP001752&amp;mode=1&amp;viewImage=true","AGAP001752")</f>
        <v>AGAP001752</v>
      </c>
      <c r="DE386" s="2" t="s">
        <v>4134</v>
      </c>
      <c r="DF386" s="2" t="s">
        <v>4135</v>
      </c>
      <c r="DG386" s="2" t="s">
        <v>94</v>
      </c>
      <c r="DH386" s="2" t="str">
        <f>HYPERLINK("https://vectorbase.org/vectorbase/app/record/gene/AGAP001752","AGAP001752-RB")</f>
        <v>AGAP001752-RB</v>
      </c>
      <c r="DI386" s="2" t="s">
        <v>118</v>
      </c>
      <c r="DJ386" s="2">
        <v>6507</v>
      </c>
      <c r="DK386" s="2" t="str">
        <f>HYPERLINK(".\links\netoglyc\AGAP001752-PB-netoglyc.txt","9")</f>
        <v>9</v>
      </c>
      <c r="DL386" s="2">
        <v>18</v>
      </c>
      <c r="DM386" s="2">
        <v>10.3</v>
      </c>
      <c r="DN386" s="2">
        <v>4.5</v>
      </c>
      <c r="DO386" s="2" t="s">
        <v>104</v>
      </c>
      <c r="DP386" s="2" t="s">
        <v>4143</v>
      </c>
      <c r="DQ386" s="2" t="str">
        <f>HYPERLINK(".\links\Sigp\AGAP001752-PB-SigP.txt","CYT")</f>
        <v>CYT</v>
      </c>
      <c r="DR386" s="2" t="s">
        <v>102</v>
      </c>
      <c r="DS386" s="2">
        <v>130.136</v>
      </c>
      <c r="DT386" s="2">
        <v>8.43</v>
      </c>
      <c r="DU386" s="2" t="s">
        <v>102</v>
      </c>
      <c r="DV386" s="2" t="s">
        <v>102</v>
      </c>
      <c r="DW386" s="2" t="s">
        <v>124</v>
      </c>
      <c r="DX386" s="2">
        <v>1218</v>
      </c>
      <c r="DY386" s="12">
        <v>0</v>
      </c>
      <c r="DZ386" s="2" t="s">
        <v>102</v>
      </c>
      <c r="EA386" s="2" t="s">
        <v>102</v>
      </c>
      <c r="EB386" s="2" t="s">
        <v>102</v>
      </c>
      <c r="EC386" s="2" t="str">
        <f>HYPERLINK(".\links\gpi\AGAP001752-PB-gpi.txt","Y-NoSP")</f>
        <v>Y-NoSP</v>
      </c>
      <c r="ED386" s="2">
        <v>0.19</v>
      </c>
      <c r="EF386" s="2">
        <v>18</v>
      </c>
      <c r="EG386" s="2" t="str">
        <f>HYPERLINK(".\links\pep\AGAP001752-PB-sulf.txt","1")</f>
        <v>1</v>
      </c>
      <c r="EH386" s="2" t="s">
        <v>102</v>
      </c>
      <c r="EI386" s="2">
        <v>17.980295566502502</v>
      </c>
      <c r="EJ386" s="2">
        <v>4.5155993431855501</v>
      </c>
      <c r="EK386" s="2">
        <v>10.3448275862069</v>
      </c>
      <c r="EL386" s="2">
        <v>14.8604269293924</v>
      </c>
      <c r="EM386" s="2" t="s">
        <v>102</v>
      </c>
      <c r="EN386" s="2">
        <v>3</v>
      </c>
      <c r="EO386" s="2">
        <v>3</v>
      </c>
      <c r="EP386" s="2" t="s">
        <v>102</v>
      </c>
      <c r="EQ386" s="2" t="s">
        <v>102</v>
      </c>
      <c r="ER386" s="2" t="s">
        <v>102</v>
      </c>
      <c r="ES386" s="2" t="s">
        <v>102</v>
      </c>
      <c r="ET386" s="2" t="str">
        <f>HYPERLINK(".\links\REFSEQ-INVERTEBRATE\AGAP001752-PB-REFSEQ-INVERTEBRATE.txt","AGAP001752-PA")</f>
        <v>AGAP001752-PA</v>
      </c>
      <c r="EU386" s="2" t="str">
        <f>HYPERLINK("http://www.ncbi.nlm.nih.gov/sutils/blink.cgi?pid=XP_321330.5","0.0")</f>
        <v>0.0</v>
      </c>
      <c r="EV386" s="2" t="str">
        <f>HYPERLINK("http://www.ncbi.nlm.nih.gov/protein/XP_321330.5","XP_321330.5")</f>
        <v>XP_321330.5</v>
      </c>
      <c r="EW386" s="2">
        <v>100</v>
      </c>
      <c r="EX386" s="2">
        <v>100</v>
      </c>
      <c r="EY386" s="2">
        <v>100</v>
      </c>
      <c r="EZ386" s="2" t="s">
        <v>105</v>
      </c>
    </row>
    <row r="387" spans="1:156" x14ac:dyDescent="0.25">
      <c r="A387" s="2" t="s">
        <v>4144</v>
      </c>
      <c r="B387" s="2">
        <v>-0.31702956652953601</v>
      </c>
      <c r="C387" s="2">
        <f t="shared" si="6"/>
        <v>0.80272093761933316</v>
      </c>
      <c r="D387" s="2">
        <v>5.2912255326699897</v>
      </c>
      <c r="E387" s="2">
        <v>9.0947424428868207</v>
      </c>
      <c r="F387" s="2">
        <v>2.5634530739364202E-3</v>
      </c>
      <c r="G387" s="2">
        <v>4.7269525491001697E-2</v>
      </c>
      <c r="H387" s="2" t="s">
        <v>4145</v>
      </c>
      <c r="I387" s="2" t="s">
        <v>94</v>
      </c>
      <c r="J387" s="2" t="str">
        <f>HYPERLINK("https://vectorbase.org/vectorbase/app/record/gene/AGAP010969","AGAP010969-RA")</f>
        <v>AGAP010969-RA</v>
      </c>
      <c r="K387" s="2" t="str">
        <f>HYPERLINK(".\links\pep\AGAP010969-PA-pep.txt","AGAP010969-PA")</f>
        <v>AGAP010969-PA</v>
      </c>
      <c r="L387" s="12" t="s">
        <v>95</v>
      </c>
      <c r="M387" s="2">
        <v>1131</v>
      </c>
      <c r="N387" s="2">
        <v>0</v>
      </c>
      <c r="O387" s="2">
        <v>4</v>
      </c>
      <c r="P387" s="2" t="s">
        <v>4146</v>
      </c>
      <c r="Q387" s="9" t="s">
        <v>4147</v>
      </c>
      <c r="R387" s="2" t="s">
        <v>164</v>
      </c>
      <c r="S387" s="2" t="str">
        <f>HYPERLINK(".\links\KOG\AGAP010969-PA-KOG.txt","KOG")</f>
        <v>KOG</v>
      </c>
      <c r="T387" s="2">
        <v>7.9999999999999995E-67</v>
      </c>
      <c r="U387" s="2">
        <v>61.4</v>
      </c>
      <c r="V387" s="2" t="s">
        <v>4148</v>
      </c>
      <c r="W387" s="10" t="s">
        <v>4149</v>
      </c>
      <c r="X387" s="2" t="s">
        <v>3764</v>
      </c>
      <c r="Y387" s="2" t="str">
        <f>HYPERLINK(".\links\MEROPS\AGAP010969-PA-MEROPS.txt","MEROPS")</f>
        <v>MEROPS</v>
      </c>
      <c r="Z387" s="15">
        <v>1.9999999999999999E-69</v>
      </c>
      <c r="AA387" s="2">
        <v>100</v>
      </c>
      <c r="AB387" s="13" t="str">
        <f>HYPERLINK(".\links\pep\AGAP010969-PA-sulf.txt","7")</f>
        <v>7</v>
      </c>
      <c r="AC387" s="13" t="str">
        <f>HYPERLINK(".\links\Sigp\AGAP010969-PA-SigP.txt","SIG")</f>
        <v>SIG</v>
      </c>
      <c r="AD387" s="2" t="s">
        <v>4150</v>
      </c>
      <c r="AE387" s="2">
        <v>125.036</v>
      </c>
      <c r="AF387" s="2">
        <v>6.83</v>
      </c>
      <c r="AG387" s="2">
        <v>121.31100000000001</v>
      </c>
      <c r="AH387" s="2">
        <v>6.63</v>
      </c>
      <c r="AI387" s="2" t="s">
        <v>4151</v>
      </c>
      <c r="AJ387" s="13" t="str">
        <f>HYPERLINK(".\links\tmhmm\AGAP010969-PA-tmhmm.txt","2")</f>
        <v>2</v>
      </c>
      <c r="AK387" s="2">
        <v>3.6</v>
      </c>
      <c r="AL387" s="2">
        <v>77</v>
      </c>
      <c r="AM387" s="2">
        <v>19.399999999999999</v>
      </c>
      <c r="AN387" s="13" t="str">
        <f>HYPERLINK(".\links\gpi\AGAP010969-PA-gpi.txt","N")</f>
        <v>N</v>
      </c>
      <c r="AO387" s="14" t="str">
        <f>HYPERLINK(".\links\netoglyc\AGAP010969-PA-netoglyc.txt","3")</f>
        <v>3</v>
      </c>
      <c r="AP387" s="13">
        <v>16.600000000000001</v>
      </c>
      <c r="AQ387" s="2">
        <v>7.3</v>
      </c>
      <c r="AR387" s="2">
        <v>7.3</v>
      </c>
      <c r="AS387" s="2" t="s">
        <v>104</v>
      </c>
      <c r="AT387" s="9" t="str">
        <f>HYPERLINK(".\links\NR-LIGHT\AGAP010969-PA-NR-LIGHT.txt","AGAP010969-PA, partial")</f>
        <v>AGAP010969-PA, partial</v>
      </c>
      <c r="AU387" s="2" t="str">
        <f>HYPERLINK("http://www.ncbi.nlm.nih.gov/sutils/blink.cgi?pid=XP_309726.4","0.0")</f>
        <v>0.0</v>
      </c>
      <c r="AV387" s="2" t="str">
        <f>HYPERLINK("http://www.ncbi.nlm.nih.gov/protein/XP_309726.4","XP_309726.4")</f>
        <v>XP_309726.4</v>
      </c>
      <c r="AW387" s="2">
        <v>100</v>
      </c>
      <c r="AX387" s="2">
        <v>100</v>
      </c>
      <c r="AY387" s="2">
        <v>100</v>
      </c>
      <c r="AZ387" s="2" t="s">
        <v>105</v>
      </c>
      <c r="BA387" s="9" t="str">
        <f>HYPERLINK(".\links\REFSEQ-INVERTEBRATE\AGAP010969-PA-REFSEQ-INVERTEBRATE.txt","AGAP010969-PA, partial")</f>
        <v>AGAP010969-PA, partial</v>
      </c>
      <c r="BB387" s="2" t="str">
        <f>HYPERLINK("http://www.ncbi.nlm.nih.gov/sutils/blink.cgi?pid=XP_309726.4","0.0")</f>
        <v>0.0</v>
      </c>
      <c r="BC387" s="2" t="str">
        <f>HYPERLINK("http://www.ncbi.nlm.nih.gov/protein/XP_309726.4","XP_309726.4")</f>
        <v>XP_309726.4</v>
      </c>
      <c r="BD387" s="2">
        <v>100</v>
      </c>
      <c r="BE387" s="2">
        <v>100</v>
      </c>
      <c r="BF387" s="2">
        <v>100</v>
      </c>
      <c r="BG387" s="2" t="s">
        <v>105</v>
      </c>
      <c r="BH387" s="9" t="str">
        <f>HYPERLINK(".\links\REFSEQ-PROTOZOA\AGAP010969-PA-REFSEQ-PROTOZOA.txt","hypothetical protein PTSG_09826")</f>
        <v>hypothetical protein PTSG_09826</v>
      </c>
      <c r="BI387" s="2" t="str">
        <f>HYPERLINK("http://www.ncbi.nlm.nih.gov/sutils/blink.cgi?pid=XP_004989183.1","3E-009")</f>
        <v>3E-009</v>
      </c>
      <c r="BJ387" s="2" t="str">
        <f>HYPERLINK("http://www.ncbi.nlm.nih.gov/protein/XP_004989183.1","XP_004989183.1")</f>
        <v>XP_004989183.1</v>
      </c>
      <c r="BK387" s="2">
        <v>29</v>
      </c>
      <c r="BL387" s="2">
        <v>45</v>
      </c>
      <c r="BM387" s="2">
        <v>6</v>
      </c>
      <c r="BN387" s="2" t="s">
        <v>435</v>
      </c>
      <c r="BO387" s="9" t="str">
        <f>HYPERLINK(".\links\SWISSP\AGAP010969-PA-SWISSP.txt","Roundabout homolog 2")</f>
        <v>Roundabout homolog 2</v>
      </c>
      <c r="BP387" s="2" t="str">
        <f>HYPERLINK("http://www.uniprot.org/uniprot/Q9HCK4","1E-156")</f>
        <v>1E-156</v>
      </c>
      <c r="BQ387" s="2" t="str">
        <f>HYPERLINK("http://www.uniprot.org/uniprot/Q9HCK4#expression","Q9HCK4")</f>
        <v>Q9HCK4</v>
      </c>
      <c r="BR387" s="2">
        <v>33</v>
      </c>
      <c r="BS387" s="2">
        <v>49</v>
      </c>
      <c r="BT387" s="2">
        <v>81</v>
      </c>
      <c r="BU387" s="2" t="s">
        <v>127</v>
      </c>
      <c r="BV387" s="9" t="str">
        <f>HYPERLINK(".\links\FLYBASE\AGAP010969-PA-FLYBASE.txt","FBpp0309765")</f>
        <v>FBpp0309765</v>
      </c>
      <c r="BW387" s="2" t="str">
        <f>HYPERLINK("http://flybase.org/reports/FBgn0005631#alliance_summary_container","0.0")</f>
        <v>0.0</v>
      </c>
      <c r="BX387" s="2">
        <v>1395</v>
      </c>
      <c r="BY387" s="2">
        <v>48</v>
      </c>
      <c r="BZ387" s="2">
        <v>65</v>
      </c>
      <c r="CA387" s="2">
        <v>74</v>
      </c>
      <c r="CB387" s="9" t="str">
        <f>HYPERLINK(".\links\CDD\AGAP010969-PA-CDD.txt","Ig1_Robo, First immunoglobulin (Ig)-like domain in Robo (roundabout) receptors and similar proteins")</f>
        <v>Ig1_Robo, First immunoglobulin (Ig)-like domain in Robo (roundabout) receptors and similar proteins</v>
      </c>
      <c r="CC387" s="15">
        <v>2.0000000000000001E-32</v>
      </c>
      <c r="CD387" s="2">
        <v>99</v>
      </c>
      <c r="CE387" s="2" t="s">
        <v>4152</v>
      </c>
      <c r="CF387" s="2" t="s">
        <v>4153</v>
      </c>
      <c r="CG387" s="9" t="str">
        <f>HYPERLINK(".\links\KOG\AGAP010969-PA-KOG.txt","Axon guidance receptor Dscam")</f>
        <v>Axon guidance receptor Dscam</v>
      </c>
      <c r="CH387" s="15">
        <v>0</v>
      </c>
      <c r="CI387" s="2">
        <v>88.1</v>
      </c>
      <c r="CJ387" s="2" t="s">
        <v>4154</v>
      </c>
      <c r="CK387" s="2" t="s">
        <v>173</v>
      </c>
      <c r="CL387" s="9" t="str">
        <f>HYPERLINK(".\links\PFAM\AGAP010969-PA-PFAM.txt","I-set, Immunoglobulin I-set domain")</f>
        <v>I-set, Immunoglobulin I-set domain</v>
      </c>
      <c r="CM387" s="15">
        <v>2.0000000000000001E-17</v>
      </c>
      <c r="CN387" s="2">
        <v>102.2</v>
      </c>
      <c r="CO387" s="2" t="s">
        <v>4155</v>
      </c>
      <c r="CP387" s="9" t="str">
        <f>HYPERLINK(".\links\SMART\AGAP010969-PA-SMART.txt","IG_like, Immunoglobulin like")</f>
        <v>IG_like, Immunoglobulin like</v>
      </c>
      <c r="CQ387" s="15">
        <v>5.9999999999999999E-16</v>
      </c>
      <c r="CR387" s="2">
        <v>100</v>
      </c>
      <c r="CS387" s="2" t="s">
        <v>439</v>
      </c>
      <c r="CT387" s="2" t="s">
        <v>4148</v>
      </c>
      <c r="CU387" s="2" t="s">
        <v>4148</v>
      </c>
      <c r="CV387" s="2" t="s">
        <v>4148</v>
      </c>
      <c r="CW387" s="2" t="str">
        <f>HYPERLINK(".\links\pep\AGAP010969-PA-pep.txt","AGAP010969-PA")</f>
        <v>AGAP010969-PA</v>
      </c>
      <c r="CX387" s="2" t="s">
        <v>95</v>
      </c>
      <c r="CY387" s="2">
        <v>1131</v>
      </c>
      <c r="CZ387" s="2" t="s">
        <v>113</v>
      </c>
      <c r="DA387" s="2" t="s">
        <v>4156</v>
      </c>
      <c r="DB387" s="2">
        <v>0</v>
      </c>
      <c r="DC387" s="2">
        <v>4</v>
      </c>
      <c r="DD387" s="2" t="str">
        <f>HYPERLINK("https://www.kegg.jp/kegg-bin/search_pathway_text?map=aga&amp;keyword=AGAP010969&amp;mode=1&amp;viewImage=true","AGAP010969")</f>
        <v>AGAP010969</v>
      </c>
      <c r="DE387" s="2" t="s">
        <v>4144</v>
      </c>
      <c r="DF387" s="2" t="s">
        <v>4145</v>
      </c>
      <c r="DG387" s="2" t="s">
        <v>94</v>
      </c>
      <c r="DH387" s="2" t="str">
        <f>HYPERLINK("https://vectorbase.org/vectorbase/app/record/gene/AGAP010969","AGAP010969-RA")</f>
        <v>AGAP010969-RA</v>
      </c>
      <c r="DI387" s="2" t="s">
        <v>90</v>
      </c>
      <c r="DJ387" s="2">
        <v>6184</v>
      </c>
      <c r="DK387" s="2" t="str">
        <f>HYPERLINK(".\links\netoglyc\AGAP010969-PA-netoglyc.txt","3")</f>
        <v>3</v>
      </c>
      <c r="DL387" s="2">
        <v>16.600000000000001</v>
      </c>
      <c r="DM387" s="2">
        <v>7.3</v>
      </c>
      <c r="DN387" s="2">
        <v>7.3</v>
      </c>
      <c r="DO387" s="2" t="s">
        <v>104</v>
      </c>
      <c r="DP387" s="2" t="s">
        <v>102</v>
      </c>
      <c r="DQ387" s="2" t="str">
        <f>HYPERLINK(".\links\Sigp\AGAP010969-PA-SigP.txt","SIG")</f>
        <v>SIG</v>
      </c>
      <c r="DR387" s="2" t="s">
        <v>4150</v>
      </c>
      <c r="DS387" s="2">
        <v>125.036</v>
      </c>
      <c r="DT387" s="2">
        <v>6.83</v>
      </c>
      <c r="DU387" s="2">
        <v>121.31100000000001</v>
      </c>
      <c r="DV387" s="2">
        <v>6.63</v>
      </c>
      <c r="DW387" s="2" t="s">
        <v>4151</v>
      </c>
      <c r="DX387" s="2">
        <v>1131</v>
      </c>
      <c r="DY387" s="12" t="str">
        <f>HYPERLINK(".\links\tmhmm\AGAP010969-PA-tmhmm.txt","2")</f>
        <v>2</v>
      </c>
      <c r="DZ387" s="2">
        <v>3.6</v>
      </c>
      <c r="EA387" s="2">
        <v>77</v>
      </c>
      <c r="EB387" s="2">
        <v>19.399999999999999</v>
      </c>
      <c r="EC387" s="2" t="str">
        <f>HYPERLINK(".\links\gpi\AGAP010969-PA-gpi.txt","Y-NoSP")</f>
        <v>Y-NoSP</v>
      </c>
      <c r="ED387" s="2">
        <v>0.19</v>
      </c>
      <c r="EF387" s="2">
        <v>15</v>
      </c>
      <c r="EG387" s="2" t="str">
        <f>HYPERLINK(".\links\pep\AGAP010969-PA-sulf.txt","7")</f>
        <v>7</v>
      </c>
      <c r="EH387" s="2" t="s">
        <v>102</v>
      </c>
      <c r="EI387" s="2">
        <v>16.622458001768301</v>
      </c>
      <c r="EJ387" s="2">
        <v>7.33863837312113</v>
      </c>
      <c r="EK387" s="2">
        <v>7.33863837312113</v>
      </c>
      <c r="EL387" s="2">
        <v>14.677276746242301</v>
      </c>
      <c r="EM387" s="2">
        <v>2</v>
      </c>
      <c r="EN387" s="2" t="s">
        <v>102</v>
      </c>
      <c r="EO387" s="2">
        <v>2</v>
      </c>
      <c r="EP387" s="2" t="s">
        <v>102</v>
      </c>
      <c r="EQ387" s="2" t="s">
        <v>102</v>
      </c>
      <c r="ER387" s="2" t="s">
        <v>102</v>
      </c>
      <c r="ES387" s="2" t="s">
        <v>102</v>
      </c>
      <c r="ET387" s="2" t="str">
        <f>HYPERLINK(".\links\REFSEQ-INVERTEBRATE\AGAP010969-PA-REFSEQ-INVERTEBRATE.txt","AGAP010969-PA, partial")</f>
        <v>AGAP010969-PA, partial</v>
      </c>
      <c r="EU387" s="2" t="str">
        <f>HYPERLINK("http://www.ncbi.nlm.nih.gov/sutils/blink.cgi?pid=XP_309726.4","0.0")</f>
        <v>0.0</v>
      </c>
      <c r="EV387" s="2" t="str">
        <f>HYPERLINK("http://www.ncbi.nlm.nih.gov/protein/XP_309726.4","XP_309726.4")</f>
        <v>XP_309726.4</v>
      </c>
      <c r="EW387" s="2">
        <v>100</v>
      </c>
      <c r="EX387" s="2">
        <v>100</v>
      </c>
      <c r="EY387" s="2">
        <v>100</v>
      </c>
      <c r="EZ387" s="2" t="s">
        <v>105</v>
      </c>
    </row>
    <row r="388" spans="1:156" x14ac:dyDescent="0.25">
      <c r="A388" s="2" t="s">
        <v>4157</v>
      </c>
      <c r="B388" s="2">
        <v>-0.317278501943282</v>
      </c>
      <c r="C388" s="2">
        <f t="shared" si="6"/>
        <v>0.8025824409695147</v>
      </c>
      <c r="D388" s="2">
        <v>6.3300325317680901</v>
      </c>
      <c r="E388" s="2">
        <v>14.014681568982899</v>
      </c>
      <c r="F388" s="2">
        <v>1.8138879401164099E-4</v>
      </c>
      <c r="G388" s="2">
        <v>1.5021735840207801E-2</v>
      </c>
      <c r="H388" s="2" t="s">
        <v>4158</v>
      </c>
      <c r="I388" s="2" t="s">
        <v>94</v>
      </c>
      <c r="J388" s="2" t="str">
        <f>HYPERLINK("https://vectorbase.org/vectorbase/app/record/gene/AGAP003537","AGAP003537-RB")</f>
        <v>AGAP003537-RB</v>
      </c>
      <c r="K388" s="2" t="str">
        <f>HYPERLINK(".\links\pep\AGAP003537-PB-pep.txt","AGAP003537-PB")</f>
        <v>AGAP003537-PB</v>
      </c>
      <c r="L388" s="12" t="s">
        <v>95</v>
      </c>
      <c r="M388" s="2">
        <v>885</v>
      </c>
      <c r="N388" s="2">
        <v>0</v>
      </c>
      <c r="O388" s="2">
        <v>1</v>
      </c>
      <c r="P388" s="2" t="s">
        <v>4159</v>
      </c>
      <c r="Q388" s="9" t="s">
        <v>4160</v>
      </c>
      <c r="R388" s="2" t="s">
        <v>196</v>
      </c>
      <c r="S388" s="2" t="str">
        <f>HYPERLINK(".\links\REFSEQ-INVERTEBRATE\AGAP003537-PB-REFSEQ-INVERTEBRATE.txt","REFSEQ-INVERTEBRATE")</f>
        <v>REFSEQ-INVERTEBRATE</v>
      </c>
      <c r="T388" s="2">
        <v>0</v>
      </c>
      <c r="U388" s="2">
        <v>100</v>
      </c>
      <c r="V388" s="2" t="s">
        <v>4161</v>
      </c>
      <c r="W388" s="10" t="s">
        <v>4162</v>
      </c>
      <c r="X388" s="2" t="s">
        <v>420</v>
      </c>
      <c r="Y388" s="2" t="str">
        <f>HYPERLINK(".\links\UNIPROTKB\AGAP003537-PB-UNIPROTKB.txt","UNIPROTKB")</f>
        <v>UNIPROTKB</v>
      </c>
      <c r="Z388" s="15">
        <v>3.0000000000000001E-73</v>
      </c>
      <c r="AA388" s="2">
        <v>43</v>
      </c>
      <c r="AB388" s="13" t="str">
        <f>HYPERLINK(".\links\pep\AGAP003537-PB-sulf.txt","2")</f>
        <v>2</v>
      </c>
      <c r="AC388" s="13" t="str">
        <f>HYPERLINK(".\links\Sigp\AGAP003537-PB-SigP.txt","CYT")</f>
        <v>CYT</v>
      </c>
      <c r="AD388" s="2" t="s">
        <v>102</v>
      </c>
      <c r="AE388" s="2">
        <v>92.995000000000005</v>
      </c>
      <c r="AF388" s="2">
        <v>5.28</v>
      </c>
      <c r="AG388" s="2" t="s">
        <v>102</v>
      </c>
      <c r="AH388" s="2" t="s">
        <v>102</v>
      </c>
      <c r="AI388" s="2" t="s">
        <v>934</v>
      </c>
      <c r="AJ388" s="13">
        <v>0</v>
      </c>
      <c r="AK388" s="2" t="s">
        <v>102</v>
      </c>
      <c r="AL388" s="2" t="s">
        <v>102</v>
      </c>
      <c r="AM388" s="2" t="s">
        <v>102</v>
      </c>
      <c r="AN388" s="13" t="str">
        <f>HYPERLINK(".\links\gpi\AGAP003537-PB-gpi.txt","N")</f>
        <v>N</v>
      </c>
      <c r="AO388" s="14" t="str">
        <f>HYPERLINK(".\links\netoglyc\AGAP003537-PB-netoglyc.txt","20")</f>
        <v>20</v>
      </c>
      <c r="AP388" s="13">
        <v>21</v>
      </c>
      <c r="AQ388" s="2">
        <v>9.9</v>
      </c>
      <c r="AR388" s="2">
        <v>5</v>
      </c>
      <c r="AS388" s="2" t="s">
        <v>104</v>
      </c>
      <c r="AT388" s="9" t="str">
        <f>HYPERLINK(".\links\NR-LIGHT\AGAP003537-PB-NR-LIGHT.txt","AGAP003537-PB")</f>
        <v>AGAP003537-PB</v>
      </c>
      <c r="AU388" s="2" t="str">
        <f>HYPERLINK("http://www.ncbi.nlm.nih.gov/sutils/blink.cgi?pid=XP_003436512.1","0.0")</f>
        <v>0.0</v>
      </c>
      <c r="AV388" s="2" t="str">
        <f>HYPERLINK("http://www.ncbi.nlm.nih.gov/protein/XP_003436512.1","XP_003436512.1")</f>
        <v>XP_003436512.1</v>
      </c>
      <c r="AW388" s="2">
        <v>100</v>
      </c>
      <c r="AX388" s="2">
        <v>100</v>
      </c>
      <c r="AY388" s="2">
        <v>100</v>
      </c>
      <c r="AZ388" s="2" t="s">
        <v>105</v>
      </c>
      <c r="BA388" s="9" t="str">
        <f>HYPERLINK(".\links\REFSEQ-INVERTEBRATE\AGAP003537-PB-REFSEQ-INVERTEBRATE.txt","AGAP003537-PB")</f>
        <v>AGAP003537-PB</v>
      </c>
      <c r="BB388" s="2" t="str">
        <f>HYPERLINK("http://www.ncbi.nlm.nih.gov/sutils/blink.cgi?pid=XP_003436512.1","0.0")</f>
        <v>0.0</v>
      </c>
      <c r="BC388" s="2" t="str">
        <f>HYPERLINK("http://www.ncbi.nlm.nih.gov/protein/XP_003436512.1","XP_003436512.1")</f>
        <v>XP_003436512.1</v>
      </c>
      <c r="BD388" s="2">
        <v>100</v>
      </c>
      <c r="BE388" s="2">
        <v>100</v>
      </c>
      <c r="BF388" s="2">
        <v>100</v>
      </c>
      <c r="BG388" s="2" t="s">
        <v>105</v>
      </c>
      <c r="BH388" s="9" t="str">
        <f>HYPERLINK(".\links\REFSEQ-PROTOZOA\AGAP003537-PB-REFSEQ-PROTOZOA.txt","proteophosphoglycan ppg1")</f>
        <v>proteophosphoglycan ppg1</v>
      </c>
      <c r="BI388" s="2" t="str">
        <f>HYPERLINK("http://www.ncbi.nlm.nih.gov/sutils/blink.cgi?pid=XP_003879053.1","5E-015")</f>
        <v>5E-015</v>
      </c>
      <c r="BJ388" s="2" t="str">
        <f>HYPERLINK("http://www.ncbi.nlm.nih.gov/protein/XP_003879053.1","XP_003879053.1")</f>
        <v>XP_003879053.1</v>
      </c>
      <c r="BK388" s="2">
        <v>17</v>
      </c>
      <c r="BL388" s="2">
        <v>34</v>
      </c>
      <c r="BM388" s="2">
        <v>49</v>
      </c>
      <c r="BN388" s="2" t="s">
        <v>448</v>
      </c>
      <c r="BO388" s="9" t="str">
        <f>HYPERLINK(".\links\SWISSP\AGAP003537-PB-SWISSP.txt","Protein tramtrack, beta isoform")</f>
        <v>Protein tramtrack, beta isoform</v>
      </c>
      <c r="BP388" s="2" t="str">
        <f>HYPERLINK("http://www.uniprot.org/uniprot/P17789","1E-106")</f>
        <v>1E-106</v>
      </c>
      <c r="BQ388" s="2" t="str">
        <f>HYPERLINK("http://www.uniprot.org/uniprot/P17789#expression","P17789")</f>
        <v>P17789</v>
      </c>
      <c r="BR388" s="2">
        <v>35</v>
      </c>
      <c r="BS388" s="2">
        <v>45</v>
      </c>
      <c r="BT388" s="2">
        <v>130</v>
      </c>
      <c r="BU388" s="2" t="s">
        <v>107</v>
      </c>
      <c r="BV388" s="9" t="str">
        <f>HYPERLINK(".\links\FLYBASE\AGAP003537-PB-FLYBASE.txt","FBpp0292320")</f>
        <v>FBpp0292320</v>
      </c>
      <c r="BW388" s="2" t="str">
        <f>HYPERLINK("http://flybase.org/reports/FBgn0003870#alliance_summary_container","3E-74")</f>
        <v>3E-74</v>
      </c>
      <c r="BX388" s="2">
        <v>643</v>
      </c>
      <c r="BY388" s="2">
        <v>51</v>
      </c>
      <c r="BZ388" s="2">
        <v>59</v>
      </c>
      <c r="CA388" s="2">
        <v>44</v>
      </c>
      <c r="CB388" s="9" t="str">
        <f>HYPERLINK(".\links\CDD\AGAP003537-PB-CDD.txt","BTB, BTB/POZ domain")</f>
        <v>BTB, BTB/POZ domain</v>
      </c>
      <c r="CC388" s="15">
        <v>2.0000000000000001E-26</v>
      </c>
      <c r="CD388" s="2">
        <v>92.5</v>
      </c>
      <c r="CE388" s="2" t="s">
        <v>364</v>
      </c>
      <c r="CF388" s="2" t="s">
        <v>4163</v>
      </c>
      <c r="CG388" s="9" t="str">
        <f>HYPERLINK(".\links\KOG\AGAP003537-PB-KOG.txt","involved in regulatory/signal transduction processes")</f>
        <v>involved in regulatory/signal transduction processes</v>
      </c>
      <c r="CH388" s="15">
        <v>1.0000000000000001E-15</v>
      </c>
      <c r="CI388" s="2">
        <v>19.3</v>
      </c>
      <c r="CJ388" s="2" t="s">
        <v>366</v>
      </c>
      <c r="CK388" s="2" t="s">
        <v>367</v>
      </c>
      <c r="CL388" s="9" t="str">
        <f>HYPERLINK(".\links\PFAM\AGAP003537-PB-PFAM.txt","BTB, BTB/POZ domain")</f>
        <v>BTB, BTB/POZ domain</v>
      </c>
      <c r="CM388" s="15">
        <v>5.0000000000000002E-27</v>
      </c>
      <c r="CN388" s="2">
        <v>92.5</v>
      </c>
      <c r="CO388" s="2" t="s">
        <v>364</v>
      </c>
      <c r="CP388" s="9" t="str">
        <f>HYPERLINK(".\links\SMART\AGAP003537-PB-SMART.txt","predicts BTB/POZ domains without the beta1- and alpha1-secondary structures")</f>
        <v>predicts BTB/POZ domains without the beta1- and alpha1-secondary structures</v>
      </c>
      <c r="CQ388" s="15">
        <v>9.9999999999999992E-25</v>
      </c>
      <c r="CR388" s="2">
        <v>90.7</v>
      </c>
      <c r="CS388" s="2" t="s">
        <v>368</v>
      </c>
      <c r="CT388" s="2" t="s">
        <v>4161</v>
      </c>
      <c r="CU388" s="2" t="s">
        <v>4161</v>
      </c>
      <c r="CV388" s="2" t="s">
        <v>4161</v>
      </c>
      <c r="CW388" s="2" t="str">
        <f>HYPERLINK(".\links\pep\AGAP003537-PB-pep.txt","AGAP003537-PB")</f>
        <v>AGAP003537-PB</v>
      </c>
      <c r="CX388" s="2" t="s">
        <v>95</v>
      </c>
      <c r="CY388" s="2">
        <v>885</v>
      </c>
      <c r="CZ388" s="2" t="s">
        <v>113</v>
      </c>
      <c r="DA388" s="2" t="s">
        <v>4164</v>
      </c>
      <c r="DB388" s="2">
        <v>0</v>
      </c>
      <c r="DC388" s="2">
        <v>1</v>
      </c>
      <c r="DD388" s="2" t="str">
        <f>HYPERLINK("https://www.kegg.jp/kegg-bin/search_pathway_text?map=aga&amp;keyword=AGAP003537&amp;mode=1&amp;viewImage=true","AGAP003537")</f>
        <v>AGAP003537</v>
      </c>
      <c r="DE388" s="2" t="s">
        <v>4157</v>
      </c>
      <c r="DF388" s="2" t="s">
        <v>4158</v>
      </c>
      <c r="DG388" s="2" t="s">
        <v>94</v>
      </c>
      <c r="DH388" s="2" t="str">
        <f>HYPERLINK("https://vectorbase.org/vectorbase/app/record/gene/AGAP003537","AGAP003537-RB")</f>
        <v>AGAP003537-RB</v>
      </c>
      <c r="DI388" s="2" t="s">
        <v>90</v>
      </c>
      <c r="DJ388" s="2">
        <v>8633</v>
      </c>
      <c r="DK388" s="2" t="str">
        <f>HYPERLINK(".\links\netoglyc\AGAP003537-PB-netoglyc.txt","20")</f>
        <v>20</v>
      </c>
      <c r="DL388" s="2">
        <v>21</v>
      </c>
      <c r="DM388" s="2">
        <v>9.9</v>
      </c>
      <c r="DN388" s="2">
        <v>5</v>
      </c>
      <c r="DO388" s="2" t="s">
        <v>104</v>
      </c>
      <c r="DP388" s="2" t="s">
        <v>102</v>
      </c>
      <c r="DQ388" s="2" t="str">
        <f>HYPERLINK(".\links\Sigp\AGAP003537-PB-SigP.txt","CYT")</f>
        <v>CYT</v>
      </c>
      <c r="DR388" s="2" t="s">
        <v>102</v>
      </c>
      <c r="DS388" s="2">
        <v>92.995000000000005</v>
      </c>
      <c r="DT388" s="2">
        <v>5.28</v>
      </c>
      <c r="DU388" s="2" t="s">
        <v>102</v>
      </c>
      <c r="DV388" s="2" t="s">
        <v>102</v>
      </c>
      <c r="DW388" s="2" t="s">
        <v>934</v>
      </c>
      <c r="DX388" s="2">
        <v>885</v>
      </c>
      <c r="DY388" s="12">
        <v>0</v>
      </c>
      <c r="DZ388" s="2" t="s">
        <v>102</v>
      </c>
      <c r="EA388" s="2" t="s">
        <v>102</v>
      </c>
      <c r="EB388" s="2" t="s">
        <v>102</v>
      </c>
      <c r="EC388" s="2" t="str">
        <f>HYPERLINK(".\links\gpi\AGAP003537-PB-gpi.txt","Y-NoSP")</f>
        <v>Y-NoSP</v>
      </c>
      <c r="ED388" s="2">
        <v>0.27</v>
      </c>
      <c r="EF388" s="2">
        <v>12</v>
      </c>
      <c r="EG388" s="2" t="str">
        <f>HYPERLINK(".\links\pep\AGAP003537-PB-sulf.txt","2")</f>
        <v>2</v>
      </c>
      <c r="EH388" s="2" t="s">
        <v>102</v>
      </c>
      <c r="EI388" s="2">
        <v>21.016949152542399</v>
      </c>
      <c r="EJ388" s="2">
        <v>4.9717514124293798</v>
      </c>
      <c r="EK388" s="2">
        <v>9.9435028248587596</v>
      </c>
      <c r="EL388" s="2">
        <v>14.915254237288099</v>
      </c>
      <c r="EM388" s="2">
        <v>2</v>
      </c>
      <c r="EN388" s="2">
        <v>2</v>
      </c>
      <c r="EO388" s="2">
        <v>4</v>
      </c>
      <c r="EP388" s="2" t="s">
        <v>102</v>
      </c>
      <c r="EQ388" s="2" t="s">
        <v>102</v>
      </c>
      <c r="ER388" s="2" t="s">
        <v>102</v>
      </c>
      <c r="ES388" s="2" t="s">
        <v>102</v>
      </c>
      <c r="ET388" s="2" t="str">
        <f>HYPERLINK(".\links\REFSEQ-INVERTEBRATE\AGAP003537-PB-REFSEQ-INVERTEBRATE.txt","AGAP003537-PB")</f>
        <v>AGAP003537-PB</v>
      </c>
      <c r="EU388" s="2" t="str">
        <f>HYPERLINK("http://www.ncbi.nlm.nih.gov/sutils/blink.cgi?pid=XP_003436512.1","0.0")</f>
        <v>0.0</v>
      </c>
      <c r="EV388" s="2" t="str">
        <f>HYPERLINK("http://www.ncbi.nlm.nih.gov/protein/XP_003436512.1","XP_003436512.1")</f>
        <v>XP_003436512.1</v>
      </c>
      <c r="EW388" s="2">
        <v>100</v>
      </c>
      <c r="EX388" s="2">
        <v>100</v>
      </c>
      <c r="EY388" s="2">
        <v>100</v>
      </c>
      <c r="EZ388" s="2" t="s">
        <v>105</v>
      </c>
    </row>
    <row r="389" spans="1:156" x14ac:dyDescent="0.25">
      <c r="A389" s="2" t="s">
        <v>4165</v>
      </c>
      <c r="B389" s="2">
        <v>-0.31943631938212402</v>
      </c>
      <c r="C389" s="2">
        <f t="shared" si="6"/>
        <v>0.80138292766267649</v>
      </c>
      <c r="D389" s="2">
        <v>5.8349371342076903</v>
      </c>
      <c r="E389" s="2">
        <v>8.9711947714516107</v>
      </c>
      <c r="F389" s="2">
        <v>2.7426918820003701E-3</v>
      </c>
      <c r="G389" s="2">
        <v>4.8323982079534297E-2</v>
      </c>
      <c r="H389" s="2" t="s">
        <v>93</v>
      </c>
      <c r="I389" s="2" t="s">
        <v>94</v>
      </c>
      <c r="J389" s="2" t="str">
        <f>HYPERLINK("https://vectorbase.org/vectorbase/app/record/gene/AGAP004507","AGAP004507-RA")</f>
        <v>AGAP004507-RA</v>
      </c>
      <c r="K389" s="2" t="str">
        <f>HYPERLINK(".\links\pep\AGAP004507-PA-pep.txt","AGAP004507-PA")</f>
        <v>AGAP004507-PA</v>
      </c>
      <c r="L389" s="12" t="s">
        <v>4166</v>
      </c>
      <c r="M389" s="2">
        <v>2046</v>
      </c>
      <c r="N389" s="2">
        <v>0</v>
      </c>
      <c r="O389" s="2">
        <v>5</v>
      </c>
      <c r="P389" s="2" t="s">
        <v>4167</v>
      </c>
      <c r="Q389" s="9" t="s">
        <v>4168</v>
      </c>
      <c r="R389" s="2" t="s">
        <v>355</v>
      </c>
      <c r="S389" s="2" t="str">
        <f>HYPERLINK(".\links\KOG\AGAP004507-PA-KOG.txt","KOG")</f>
        <v>KOG</v>
      </c>
      <c r="T389" s="2">
        <v>0</v>
      </c>
      <c r="U389" s="2">
        <v>96.2</v>
      </c>
      <c r="V389" s="2" t="s">
        <v>4169</v>
      </c>
      <c r="W389" s="10" t="s">
        <v>4170</v>
      </c>
      <c r="X389" s="2" t="s">
        <v>2783</v>
      </c>
      <c r="Y389" s="2" t="str">
        <f>HYPERLINK(".\links\CDD\AGAP004507-PA-CDD.txt","CDD")</f>
        <v>CDD</v>
      </c>
      <c r="Z389" s="2">
        <v>0</v>
      </c>
      <c r="AA389" s="2">
        <v>100</v>
      </c>
      <c r="AB389" s="13" t="str">
        <f>HYPERLINK(".\links\pep\AGAP004507-PA-sulf.txt","1")</f>
        <v>1</v>
      </c>
      <c r="AC389" s="13" t="str">
        <f>HYPERLINK(".\links\Sigp\AGAP004507-PA-SigP.txt","CYT")</f>
        <v>CYT</v>
      </c>
      <c r="AD389" s="2" t="s">
        <v>102</v>
      </c>
      <c r="AE389" s="2">
        <v>230.166</v>
      </c>
      <c r="AF389" s="2">
        <v>6.52</v>
      </c>
      <c r="AG389" s="2" t="s">
        <v>102</v>
      </c>
      <c r="AH389" s="2" t="s">
        <v>102</v>
      </c>
      <c r="AI389" s="2" t="s">
        <v>934</v>
      </c>
      <c r="AJ389" s="13">
        <v>0</v>
      </c>
      <c r="AK389" s="2" t="s">
        <v>102</v>
      </c>
      <c r="AL389" s="2" t="s">
        <v>102</v>
      </c>
      <c r="AM389" s="2" t="s">
        <v>102</v>
      </c>
      <c r="AN389" s="13" t="str">
        <f>HYPERLINK(".\links\gpi\AGAP004507-PA-gpi.txt","N")</f>
        <v>N</v>
      </c>
      <c r="AO389" s="14" t="str">
        <f>HYPERLINK(".\links\netoglyc\AGAP004507-PA-netoglyc.txt","11")</f>
        <v>11</v>
      </c>
      <c r="AP389" s="13">
        <v>14</v>
      </c>
      <c r="AQ389" s="2">
        <v>6.5</v>
      </c>
      <c r="AR389" s="2">
        <v>5.5</v>
      </c>
      <c r="AS389" s="2">
        <v>0.1</v>
      </c>
      <c r="AT389" s="9" t="str">
        <f>HYPERLINK(".\links\NR-LIGHT\AGAP004507-PA-NR-LIGHT.txt","AGAP004507-PA, partial")</f>
        <v>AGAP004507-PA, partial</v>
      </c>
      <c r="AU389" s="2" t="str">
        <f>HYPERLINK("http://www.ncbi.nlm.nih.gov/sutils/blink.cgi?pid=XP_562267.4","0.0")</f>
        <v>0.0</v>
      </c>
      <c r="AV389" s="2" t="str">
        <f>HYPERLINK("http://www.ncbi.nlm.nih.gov/protein/XP_562267.4","XP_562267.4")</f>
        <v>XP_562267.4</v>
      </c>
      <c r="AW389" s="2">
        <v>100</v>
      </c>
      <c r="AX389" s="2">
        <v>100</v>
      </c>
      <c r="AY389" s="2">
        <v>100</v>
      </c>
      <c r="AZ389" s="2" t="s">
        <v>105</v>
      </c>
      <c r="BA389" s="9" t="str">
        <f>HYPERLINK(".\links\REFSEQ-INVERTEBRATE\AGAP004507-PA-REFSEQ-INVERTEBRATE.txt","AGAP004507-PA, partial")</f>
        <v>AGAP004507-PA, partial</v>
      </c>
      <c r="BB389" s="2" t="str">
        <f>HYPERLINK("http://www.ncbi.nlm.nih.gov/sutils/blink.cgi?pid=XP_562267.4","0.0")</f>
        <v>0.0</v>
      </c>
      <c r="BC389" s="2" t="str">
        <f>HYPERLINK("http://www.ncbi.nlm.nih.gov/protein/XP_562267.4","XP_562267.4")</f>
        <v>XP_562267.4</v>
      </c>
      <c r="BD389" s="2">
        <v>100</v>
      </c>
      <c r="BE389" s="2">
        <v>100</v>
      </c>
      <c r="BF389" s="2">
        <v>100</v>
      </c>
      <c r="BG389" s="2" t="s">
        <v>105</v>
      </c>
      <c r="BH389" s="9" t="str">
        <f>HYPERLINK(".\links\REFSEQ-PROTOZOA\AGAP004507-PA-REFSEQ-PROTOZOA.txt","hypothetical protein CAOG_00399")</f>
        <v>hypothetical protein CAOG_00399</v>
      </c>
      <c r="BI389" s="2" t="str">
        <f>HYPERLINK("http://www.ncbi.nlm.nih.gov/sutils/blink.cgi?pid=XP_004365270.1","0.0")</f>
        <v>0.0</v>
      </c>
      <c r="BJ389" s="2" t="str">
        <f>HYPERLINK("http://www.ncbi.nlm.nih.gov/protein/XP_004365270.1","XP_004365270.1")</f>
        <v>XP_004365270.1</v>
      </c>
      <c r="BK389" s="2">
        <v>35</v>
      </c>
      <c r="BL389" s="2">
        <v>54</v>
      </c>
      <c r="BM389" s="2">
        <v>79</v>
      </c>
      <c r="BN389" s="2" t="s">
        <v>106</v>
      </c>
      <c r="BO389" s="9" t="str">
        <f>HYPERLINK(".\links\SWISSP\AGAP004507-PA-SWISSP.txt","Dedicator of cytokinesis protein 3")</f>
        <v>Dedicator of cytokinesis protein 3</v>
      </c>
      <c r="BP389" s="2" t="str">
        <f>HYPERLINK("http://www.uniprot.org/uniprot/Q8IZD9","0.0")</f>
        <v>0.0</v>
      </c>
      <c r="BQ389" s="2" t="str">
        <f>HYPERLINK("http://www.uniprot.org/uniprot/Q8IZD9#expression","Q8IZD9")</f>
        <v>Q8IZD9</v>
      </c>
      <c r="BR389" s="2">
        <v>39</v>
      </c>
      <c r="BS389" s="2">
        <v>59</v>
      </c>
      <c r="BT389" s="2">
        <v>85</v>
      </c>
      <c r="BU389" s="2" t="s">
        <v>127</v>
      </c>
      <c r="BV389" s="9" t="str">
        <f>HYPERLINK(".\links\FLYBASE\AGAP004507-PA-FLYBASE.txt","FBpp0307742")</f>
        <v>FBpp0307742</v>
      </c>
      <c r="BW389" s="2" t="str">
        <f>HYPERLINK("http://flybase.org/reports/FBgn0264324#alliance_summary_container","0.0")</f>
        <v>0.0</v>
      </c>
      <c r="BX389" s="2">
        <v>2002</v>
      </c>
      <c r="BY389" s="2">
        <v>62</v>
      </c>
      <c r="BZ389" s="2">
        <v>76</v>
      </c>
      <c r="CA389" s="2">
        <v>91</v>
      </c>
      <c r="CB389" s="9" t="str">
        <f>HYPERLINK(".\links\CDD\AGAP004507-PA-CDD.txt","DHR2_DOCK_B, Dock Homology Region 2, a GEF domain, of Class B Dedicator of Cytokinesis proteins")</f>
        <v>DHR2_DOCK_B, Dock Homology Region 2, a GEF domain, of Class B Dedicator of Cytokinesis proteins</v>
      </c>
      <c r="CC389" s="15">
        <v>1E-166</v>
      </c>
      <c r="CD389" s="2">
        <v>101</v>
      </c>
      <c r="CE389" s="2" t="s">
        <v>4171</v>
      </c>
      <c r="CF389" s="2" t="s">
        <v>4172</v>
      </c>
      <c r="CG389" s="9" t="str">
        <f>HYPERLINK(".\links\KOG\AGAP004507-PA-KOG.txt","Signaling protein DOCK180")</f>
        <v>Signaling protein DOCK180</v>
      </c>
      <c r="CH389" s="15">
        <v>0</v>
      </c>
      <c r="CI389" s="2">
        <v>96.3</v>
      </c>
      <c r="CJ389" s="2" t="s">
        <v>4173</v>
      </c>
      <c r="CK389" s="2" t="s">
        <v>173</v>
      </c>
      <c r="CL389" s="9" t="str">
        <f>HYPERLINK(".\links\PFAM\AGAP004507-PA-PFAM.txt","DHR-2, Dock homology region 2")</f>
        <v>DHR-2, Dock homology region 2</v>
      </c>
      <c r="CM389" s="15">
        <v>3.0000000000000001E-74</v>
      </c>
      <c r="CN389" s="2">
        <v>99.4</v>
      </c>
      <c r="CO389" s="2" t="s">
        <v>4174</v>
      </c>
      <c r="CP389" s="9" t="str">
        <f>HYPERLINK(".\links\SMART\AGAP004507-PA-SMART.txt","PRP, Major prion protein")</f>
        <v>PRP, Major prion protein</v>
      </c>
      <c r="CQ389" s="15">
        <v>1.4E-2</v>
      </c>
      <c r="CR389" s="2">
        <v>17</v>
      </c>
      <c r="CS389" s="2" t="s">
        <v>1331</v>
      </c>
      <c r="CT389" s="2" t="s">
        <v>4169</v>
      </c>
      <c r="CU389" s="2" t="s">
        <v>4169</v>
      </c>
      <c r="CV389" s="2" t="s">
        <v>4169</v>
      </c>
      <c r="CW389" s="2" t="str">
        <f>HYPERLINK(".\links\pep\AGAP004507-PA-pep.txt","AGAP004507-PA")</f>
        <v>AGAP004507-PA</v>
      </c>
      <c r="CX389" s="2" t="s">
        <v>95</v>
      </c>
      <c r="CY389" s="2">
        <v>2112</v>
      </c>
      <c r="CZ389" s="2" t="s">
        <v>113</v>
      </c>
      <c r="DA389" s="2" t="s">
        <v>4175</v>
      </c>
      <c r="DB389" s="2">
        <v>0</v>
      </c>
      <c r="DC389" s="2">
        <v>5</v>
      </c>
      <c r="DD389" s="2" t="str">
        <f>HYPERLINK("https://www.kegg.jp/kegg-bin/search_pathway_text?map=aga&amp;keyword=AGAP004507&amp;mode=1&amp;viewImage=true","AGAP004507")</f>
        <v>AGAP004507</v>
      </c>
      <c r="DE389" s="2" t="s">
        <v>4165</v>
      </c>
      <c r="DF389" s="2" t="s">
        <v>93</v>
      </c>
      <c r="DG389" s="2" t="s">
        <v>94</v>
      </c>
      <c r="DH389" s="2" t="str">
        <f>HYPERLINK("https://vectorbase.org/vectorbase/app/record/gene/AGAP004507","AGAP004507-RA")</f>
        <v>AGAP004507-RA</v>
      </c>
      <c r="DI389" s="2" t="s">
        <v>135</v>
      </c>
      <c r="DJ389" s="2">
        <v>8397</v>
      </c>
      <c r="DK389" s="2" t="str">
        <f>HYPERLINK(".\links\netoglyc\AGAP004507-PA-netoglyc.txt","11")</f>
        <v>11</v>
      </c>
      <c r="DL389" s="2">
        <v>14</v>
      </c>
      <c r="DM389" s="2">
        <v>6.5</v>
      </c>
      <c r="DN389" s="2">
        <v>5.5</v>
      </c>
      <c r="DO389" s="2">
        <v>0.1</v>
      </c>
      <c r="DP389" s="2" t="s">
        <v>4176</v>
      </c>
      <c r="DQ389" s="2" t="str">
        <f>HYPERLINK(".\links\Sigp\AGAP004507-PA-SigP.txt","CYT")</f>
        <v>CYT</v>
      </c>
      <c r="DR389" s="2" t="s">
        <v>102</v>
      </c>
      <c r="DS389" s="2">
        <v>237.732</v>
      </c>
      <c r="DT389" s="2">
        <v>6.58</v>
      </c>
      <c r="DU389" s="2" t="s">
        <v>102</v>
      </c>
      <c r="DV389" s="2" t="s">
        <v>102</v>
      </c>
      <c r="DW389" s="2" t="s">
        <v>934</v>
      </c>
      <c r="DX389" s="2">
        <v>2112</v>
      </c>
      <c r="DY389" s="12">
        <v>0</v>
      </c>
      <c r="DZ389" s="2" t="s">
        <v>102</v>
      </c>
      <c r="EA389" s="2" t="s">
        <v>102</v>
      </c>
      <c r="EB389" s="2" t="s">
        <v>102</v>
      </c>
      <c r="EC389" s="2" t="str">
        <f>HYPERLINK(".\links\gpi\AGAP004507-PA-gpi.txt","Y-NoSP")</f>
        <v>Y-NoSP</v>
      </c>
      <c r="ED389" s="2">
        <v>0.11</v>
      </c>
      <c r="EF389" s="2">
        <v>25</v>
      </c>
      <c r="EG389" s="2" t="str">
        <f>HYPERLINK(".\links\pep\AGAP004507-PA-sulf.txt","1")</f>
        <v>1</v>
      </c>
      <c r="EH389" s="2" t="s">
        <v>102</v>
      </c>
      <c r="EI389" s="2">
        <v>13.967803030302999</v>
      </c>
      <c r="EJ389" s="2">
        <v>5.4924242424242404</v>
      </c>
      <c r="EK389" s="2">
        <v>6.5340909090909101</v>
      </c>
      <c r="EL389" s="2">
        <v>12.0265151515152</v>
      </c>
      <c r="EM389" s="2">
        <v>2</v>
      </c>
      <c r="EN389" s="2">
        <v>5</v>
      </c>
      <c r="EO389" s="2">
        <v>9</v>
      </c>
      <c r="EP389" s="2" t="s">
        <v>102</v>
      </c>
      <c r="EQ389" s="2" t="s">
        <v>102</v>
      </c>
      <c r="ER389" s="2" t="s">
        <v>102</v>
      </c>
      <c r="ES389" s="2" t="s">
        <v>102</v>
      </c>
      <c r="ET389" s="2" t="str">
        <f>HYPERLINK(".\links\REFSEQ-INVERTEBRATE\AGAP004507-PA-REFSEQ-INVERTEBRATE.txt","AGAP004507-PB, partial")</f>
        <v>AGAP004507-PB, partial</v>
      </c>
      <c r="EU389" s="2" t="str">
        <f>HYPERLINK("http://www.ncbi.nlm.nih.gov/sutils/blink.cgi?pid=XP_003436830.1","0.0")</f>
        <v>0.0</v>
      </c>
      <c r="EV389" s="2" t="str">
        <f>HYPERLINK("http://www.ncbi.nlm.nih.gov/protein/XP_003436830.1","XP_003436830.1")</f>
        <v>XP_003436830.1</v>
      </c>
      <c r="EW389" s="2">
        <v>98</v>
      </c>
      <c r="EX389" s="2">
        <v>98</v>
      </c>
      <c r="EY389" s="2">
        <v>100</v>
      </c>
      <c r="EZ389" s="2" t="s">
        <v>105</v>
      </c>
    </row>
    <row r="390" spans="1:156" x14ac:dyDescent="0.25">
      <c r="A390" s="2" t="s">
        <v>4177</v>
      </c>
      <c r="B390" s="2">
        <v>-0.32009855910386598</v>
      </c>
      <c r="C390" s="2">
        <f t="shared" si="6"/>
        <v>0.80101515359721398</v>
      </c>
      <c r="D390" s="2">
        <v>6.9344662894868696</v>
      </c>
      <c r="E390" s="2">
        <v>9.1935967008287296</v>
      </c>
      <c r="F390" s="2">
        <v>2.4286320628679899E-3</v>
      </c>
      <c r="G390" s="2">
        <v>4.6584949255024502E-2</v>
      </c>
      <c r="H390" s="2" t="s">
        <v>4178</v>
      </c>
      <c r="I390" s="2" t="s">
        <v>94</v>
      </c>
      <c r="J390" s="2" t="str">
        <f>HYPERLINK("https://vectorbase.org/vectorbase/app/record/gene/AGAP011351","AGAP011351-RA")</f>
        <v>AGAP011351-RA</v>
      </c>
      <c r="K390" s="2" t="str">
        <f>HYPERLINK(".\links\pep\AGAP011351-PA-pep.txt","AGAP011351-PA")</f>
        <v>AGAP011351-PA</v>
      </c>
      <c r="L390" s="12" t="s">
        <v>95</v>
      </c>
      <c r="M390" s="2">
        <v>1437</v>
      </c>
      <c r="N390" s="2">
        <v>0</v>
      </c>
      <c r="O390" s="2">
        <v>1</v>
      </c>
      <c r="P390" s="2" t="s">
        <v>4179</v>
      </c>
      <c r="Q390" s="9" t="s">
        <v>4180</v>
      </c>
      <c r="R390" s="2" t="s">
        <v>355</v>
      </c>
      <c r="S390" s="2" t="str">
        <f>HYPERLINK(".\links\KOG\AGAP011351-PA-KOG.txt","KOG")</f>
        <v>KOG</v>
      </c>
      <c r="T390" s="2">
        <v>0</v>
      </c>
      <c r="U390" s="2">
        <v>107.4</v>
      </c>
      <c r="V390" s="2" t="s">
        <v>4181</v>
      </c>
      <c r="W390" s="10" t="s">
        <v>4182</v>
      </c>
      <c r="X390" s="2" t="s">
        <v>771</v>
      </c>
      <c r="Y390" s="2" t="str">
        <f>HYPERLINK(".\links\ELEGANS\AGAP011351-PA-ELEGANS.txt","ELEGANS")</f>
        <v>ELEGANS</v>
      </c>
      <c r="Z390" s="15">
        <v>0</v>
      </c>
      <c r="AA390" s="2">
        <v>62.1</v>
      </c>
      <c r="AB390" s="13" t="str">
        <f>HYPERLINK(".\links\pep\AGAP011351-PA-sulf.txt","1")</f>
        <v>1</v>
      </c>
      <c r="AC390" s="13" t="str">
        <f>HYPERLINK(".\links\Sigp\AGAP011351-PA-SigP.txt","CYT")</f>
        <v>CYT</v>
      </c>
      <c r="AD390" s="2" t="s">
        <v>102</v>
      </c>
      <c r="AE390" s="2">
        <v>161.12100000000001</v>
      </c>
      <c r="AF390" s="2">
        <v>7.7</v>
      </c>
      <c r="AG390" s="2" t="s">
        <v>102</v>
      </c>
      <c r="AH390" s="2" t="s">
        <v>102</v>
      </c>
      <c r="AI390" s="2" t="s">
        <v>4183</v>
      </c>
      <c r="AJ390" s="13">
        <v>0</v>
      </c>
      <c r="AK390" s="2" t="s">
        <v>102</v>
      </c>
      <c r="AL390" s="2" t="s">
        <v>102</v>
      </c>
      <c r="AM390" s="2" t="s">
        <v>102</v>
      </c>
      <c r="AN390" s="13" t="str">
        <f>HYPERLINK(".\links\gpi\AGAP011351-PA-gpi.txt","N")</f>
        <v>N</v>
      </c>
      <c r="AO390" s="14" t="str">
        <f>HYPERLINK(".\links\netoglyc\AGAP011351-PA-netoglyc.txt","12")</f>
        <v>12</v>
      </c>
      <c r="AP390" s="13">
        <v>14</v>
      </c>
      <c r="AQ390" s="2">
        <v>6.5</v>
      </c>
      <c r="AR390" s="2">
        <v>6.6</v>
      </c>
      <c r="AS390" s="2" t="s">
        <v>104</v>
      </c>
      <c r="AT390" s="9" t="str">
        <f>HYPERLINK(".\links\NR-LIGHT\AGAP011351-PA-NR-LIGHT.txt","AGAP011351-PA")</f>
        <v>AGAP011351-PA</v>
      </c>
      <c r="AU390" s="2" t="str">
        <f>HYPERLINK("http://www.ncbi.nlm.nih.gov/sutils/blink.cgi?pid=XP_564133.3","0.0")</f>
        <v>0.0</v>
      </c>
      <c r="AV390" s="2" t="str">
        <f>HYPERLINK("http://www.ncbi.nlm.nih.gov/protein/XP_564133.3","XP_564133.3")</f>
        <v>XP_564133.3</v>
      </c>
      <c r="AW390" s="2">
        <v>95</v>
      </c>
      <c r="AX390" s="2">
        <v>96</v>
      </c>
      <c r="AY390" s="2">
        <v>102</v>
      </c>
      <c r="AZ390" s="2" t="s">
        <v>105</v>
      </c>
      <c r="BA390" s="9" t="str">
        <f>HYPERLINK(".\links\REFSEQ-INVERTEBRATE\AGAP011351-PA-REFSEQ-INVERTEBRATE.txt","AGAP011351-PA")</f>
        <v>AGAP011351-PA</v>
      </c>
      <c r="BB390" s="2" t="str">
        <f>HYPERLINK("http://www.ncbi.nlm.nih.gov/sutils/blink.cgi?pid=XP_564133.3","0.0")</f>
        <v>0.0</v>
      </c>
      <c r="BC390" s="2" t="str">
        <f>HYPERLINK("http://www.ncbi.nlm.nih.gov/protein/XP_564133.3","XP_564133.3")</f>
        <v>XP_564133.3</v>
      </c>
      <c r="BD390" s="2">
        <v>95</v>
      </c>
      <c r="BE390" s="2">
        <v>96</v>
      </c>
      <c r="BF390" s="2">
        <v>102</v>
      </c>
      <c r="BG390" s="2" t="s">
        <v>105</v>
      </c>
      <c r="BH390" s="9" t="str">
        <f>HYPERLINK(".\links\REFSEQ-PROTOZOA\AGAP011351-PA-REFSEQ-PROTOZOA.txt","hypothetical protein")</f>
        <v>hypothetical protein</v>
      </c>
      <c r="BI390" s="2" t="str">
        <f>HYPERLINK("http://www.ncbi.nlm.nih.gov/sutils/blink.cgi?pid=XP_001742404.1","1E-055")</f>
        <v>1E-055</v>
      </c>
      <c r="BJ390" s="2" t="str">
        <f>HYPERLINK("http://www.ncbi.nlm.nih.gov/protein/XP_001742404.1","XP_001742404.1")</f>
        <v>XP_001742404.1</v>
      </c>
      <c r="BK390" s="2">
        <v>32</v>
      </c>
      <c r="BL390" s="2">
        <v>53</v>
      </c>
      <c r="BM390" s="2">
        <v>29</v>
      </c>
      <c r="BN390" s="2" t="s">
        <v>248</v>
      </c>
      <c r="BO390" s="9" t="str">
        <f>HYPERLINK(".\links\SWISSP\AGAP011351-PA-SWISSP.txt","DENN domain-containing protein 5B")</f>
        <v>DENN domain-containing protein 5B</v>
      </c>
      <c r="BP390" s="2" t="str">
        <f>HYPERLINK("http://www.uniprot.org/uniprot/A2RSQ0","0.0")</f>
        <v>0.0</v>
      </c>
      <c r="BQ390" s="2" t="str">
        <f>HYPERLINK("http://www.uniprot.org/uniprot/A2RSQ0#expression","A2RSQ0")</f>
        <v>A2RSQ0</v>
      </c>
      <c r="BR390" s="2">
        <v>41</v>
      </c>
      <c r="BS390" s="2">
        <v>57</v>
      </c>
      <c r="BT390" s="2">
        <v>111</v>
      </c>
      <c r="BU390" s="2" t="s">
        <v>662</v>
      </c>
      <c r="BV390" s="9" t="str">
        <f>HYPERLINK(".\links\FLYBASE\AGAP011351-PA-FLYBASE.txt","FBpp0072618")</f>
        <v>FBpp0072618</v>
      </c>
      <c r="BW390" s="2" t="str">
        <f>HYPERLINK("http://flybase.org/reports/FBgn0035229#alliance_summary_container","0.0")</f>
        <v>0.0</v>
      </c>
      <c r="BX390" s="2">
        <v>1449</v>
      </c>
      <c r="BY390" s="2">
        <v>61</v>
      </c>
      <c r="BZ390" s="2">
        <v>73</v>
      </c>
      <c r="CA390" s="2">
        <v>100</v>
      </c>
      <c r="CB390" s="9" t="str">
        <f>HYPERLINK(".\links\CDD\AGAP011351-PA-CDD.txt","DENN, Domain found in a variety of signalling proteins, always encircled by uDENN and dDENN")</f>
        <v>DENN, Domain found in a variety of signalling proteins, always encircled by uDENN and dDENN</v>
      </c>
      <c r="CC390" s="15">
        <v>4.9999999999999999E-49</v>
      </c>
      <c r="CD390" s="2">
        <v>105.5</v>
      </c>
      <c r="CE390" s="2" t="s">
        <v>3309</v>
      </c>
      <c r="CF390" s="2" t="s">
        <v>4184</v>
      </c>
      <c r="CG390" s="9" t="str">
        <f>HYPERLINK(".\links\KOG\AGAP011351-PA-KOG.txt","contains DENN and RUN domains")</f>
        <v>contains DENN and RUN domains</v>
      </c>
      <c r="CH390" s="15">
        <v>0</v>
      </c>
      <c r="CI390" s="2">
        <v>107.5</v>
      </c>
      <c r="CJ390" s="2" t="s">
        <v>4185</v>
      </c>
      <c r="CK390" s="2" t="s">
        <v>173</v>
      </c>
      <c r="CL390" s="9" t="str">
        <f>HYPERLINK(".\links\PFAM\AGAP011351-PA-PFAM.txt","DENN, DENN (AEX-3) domain")</f>
        <v>DENN, DENN (AEX-3) domain</v>
      </c>
      <c r="CM390" s="15">
        <v>5.0000000000000002E-43</v>
      </c>
      <c r="CN390" s="2">
        <v>103.8</v>
      </c>
      <c r="CO390" s="2" t="s">
        <v>3306</v>
      </c>
      <c r="CP390" s="9" t="str">
        <f>HYPERLINK(".\links\SMART\AGAP011351-PA-SMART.txt","DENN, Domain found in a variety of signalling proteins, always encircled by uDENN and dDENN")</f>
        <v>DENN, Domain found in a variety of signalling proteins, always encircled by uDENN and dDENN</v>
      </c>
      <c r="CQ390" s="15">
        <v>4E-51</v>
      </c>
      <c r="CR390" s="2">
        <v>105.5</v>
      </c>
      <c r="CS390" s="2" t="s">
        <v>3309</v>
      </c>
      <c r="CT390" s="2" t="s">
        <v>4181</v>
      </c>
      <c r="CU390" s="2" t="s">
        <v>4181</v>
      </c>
      <c r="CV390" s="2" t="s">
        <v>4181</v>
      </c>
      <c r="CW390" s="2" t="str">
        <f>HYPERLINK(".\links\pep\AGAP011351-PA-pep.txt","AGAP011351-PA")</f>
        <v>AGAP011351-PA</v>
      </c>
      <c r="CX390" s="2" t="s">
        <v>95</v>
      </c>
      <c r="CY390" s="2">
        <v>1437</v>
      </c>
      <c r="CZ390" s="2" t="s">
        <v>113</v>
      </c>
      <c r="DA390" s="2" t="s">
        <v>4186</v>
      </c>
      <c r="DB390" s="2">
        <v>0</v>
      </c>
      <c r="DC390" s="2">
        <v>1</v>
      </c>
      <c r="DD390" s="2" t="str">
        <f>HYPERLINK("https://www.kegg.jp/kegg-bin/search_pathway_text?map=aga&amp;keyword=AGAP011351&amp;mode=1&amp;viewImage=true","AGAP011351")</f>
        <v>AGAP011351</v>
      </c>
      <c r="DE390" s="2" t="s">
        <v>4177</v>
      </c>
      <c r="DF390" s="2" t="s">
        <v>4178</v>
      </c>
      <c r="DG390" s="2" t="s">
        <v>94</v>
      </c>
      <c r="DH390" s="2" t="str">
        <f>HYPERLINK("https://vectorbase.org/vectorbase/app/record/gene/AGAP011351","AGAP011351-RA")</f>
        <v>AGAP011351-RA</v>
      </c>
      <c r="DI390" s="2" t="s">
        <v>115</v>
      </c>
      <c r="DJ390" s="2">
        <v>6263</v>
      </c>
      <c r="DK390" s="2" t="str">
        <f>HYPERLINK(".\links\netoglyc\AGAP011351-PA-netoglyc.txt","12")</f>
        <v>12</v>
      </c>
      <c r="DL390" s="2">
        <v>14</v>
      </c>
      <c r="DM390" s="2">
        <v>6.5</v>
      </c>
      <c r="DN390" s="2">
        <v>6.6</v>
      </c>
      <c r="DO390" s="2" t="s">
        <v>104</v>
      </c>
      <c r="DP390" s="2" t="s">
        <v>4187</v>
      </c>
      <c r="DQ390" s="2" t="str">
        <f>HYPERLINK(".\links\Sigp\AGAP011351-PA-SigP.txt","CYT")</f>
        <v>CYT</v>
      </c>
      <c r="DR390" s="2" t="s">
        <v>102</v>
      </c>
      <c r="DS390" s="2">
        <v>161.12100000000001</v>
      </c>
      <c r="DT390" s="2">
        <v>7.7</v>
      </c>
      <c r="DU390" s="2" t="s">
        <v>102</v>
      </c>
      <c r="DV390" s="2" t="s">
        <v>102</v>
      </c>
      <c r="DW390" s="2" t="s">
        <v>4183</v>
      </c>
      <c r="DX390" s="2">
        <v>1437</v>
      </c>
      <c r="DY390" s="12">
        <v>0</v>
      </c>
      <c r="DZ390" s="2" t="s">
        <v>102</v>
      </c>
      <c r="EA390" s="2" t="s">
        <v>102</v>
      </c>
      <c r="EB390" s="2" t="s">
        <v>102</v>
      </c>
      <c r="EC390" s="2" t="str">
        <f>HYPERLINK(".\links\gpi\AGAP011351-PA-gpi.txt","N")</f>
        <v>N</v>
      </c>
      <c r="ED390" s="2">
        <v>0.15</v>
      </c>
      <c r="EF390" s="2">
        <v>32</v>
      </c>
      <c r="EG390" s="2" t="str">
        <f>HYPERLINK(".\links\pep\AGAP011351-PA-sulf.txt","1")</f>
        <v>1</v>
      </c>
      <c r="EH390" s="2" t="s">
        <v>102</v>
      </c>
      <c r="EI390" s="2">
        <v>13.987473903966601</v>
      </c>
      <c r="EJ390" s="2">
        <v>6.6109951287404298</v>
      </c>
      <c r="EK390" s="2">
        <v>6.5414057063326396</v>
      </c>
      <c r="EL390" s="2">
        <v>13.152400835073101</v>
      </c>
      <c r="EM390" s="2">
        <v>3</v>
      </c>
      <c r="EN390" s="2">
        <v>1</v>
      </c>
      <c r="EO390" s="2">
        <v>1</v>
      </c>
      <c r="EP390" s="2" t="s">
        <v>102</v>
      </c>
      <c r="EQ390" s="2" t="s">
        <v>102</v>
      </c>
      <c r="ER390" s="2" t="s">
        <v>102</v>
      </c>
      <c r="ES390" s="2" t="s">
        <v>102</v>
      </c>
      <c r="ET390" s="2" t="str">
        <f>HYPERLINK(".\links\REFSEQ-INVERTEBRATE\AGAP011351-PA-REFSEQ-INVERTEBRATE.txt","AGAP011351-PA")</f>
        <v>AGAP011351-PA</v>
      </c>
      <c r="EU390" s="2" t="str">
        <f>HYPERLINK("http://www.ncbi.nlm.nih.gov/sutils/blink.cgi?pid=XP_564133.3","0.0")</f>
        <v>0.0</v>
      </c>
      <c r="EV390" s="2" t="str">
        <f>HYPERLINK("http://www.ncbi.nlm.nih.gov/protein/XP_564133.3","XP_564133.3")</f>
        <v>XP_564133.3</v>
      </c>
      <c r="EW390" s="2">
        <v>96</v>
      </c>
      <c r="EX390" s="2">
        <v>96</v>
      </c>
      <c r="EY390" s="2">
        <v>102</v>
      </c>
      <c r="EZ390" s="2" t="s">
        <v>105</v>
      </c>
    </row>
    <row r="391" spans="1:156" x14ac:dyDescent="0.25">
      <c r="A391" s="2" t="s">
        <v>4188</v>
      </c>
      <c r="B391" s="2">
        <v>-0.32106239557962202</v>
      </c>
      <c r="C391" s="2">
        <f t="shared" si="6"/>
        <v>0.80048018968368873</v>
      </c>
      <c r="D391" s="2">
        <v>6.3505456099466802</v>
      </c>
      <c r="E391" s="2">
        <v>12.704899529942701</v>
      </c>
      <c r="F391" s="2">
        <v>3.64698780628916E-4</v>
      </c>
      <c r="G391" s="2">
        <v>2.1768426261281001E-2</v>
      </c>
      <c r="H391" s="2" t="s">
        <v>93</v>
      </c>
      <c r="I391" s="2" t="s">
        <v>94</v>
      </c>
      <c r="J391" s="2" t="str">
        <f>HYPERLINK("https://vectorbase.org/vectorbase/app/record/gene/AGAP002942","AGAP002942-RA")</f>
        <v>AGAP002942-RA</v>
      </c>
      <c r="K391" s="2" t="str">
        <f>HYPERLINK(".\links\pep\AGAP002942-PA-pep.txt","AGAP002942-PA")</f>
        <v>AGAP002942-PA</v>
      </c>
      <c r="L391" s="12" t="s">
        <v>95</v>
      </c>
      <c r="M391" s="2">
        <v>1563</v>
      </c>
      <c r="N391" s="2">
        <v>0</v>
      </c>
      <c r="O391" s="2">
        <v>4</v>
      </c>
      <c r="P391" s="2" t="s">
        <v>102</v>
      </c>
      <c r="Q391" s="9" t="s">
        <v>4189</v>
      </c>
      <c r="R391" s="2" t="s">
        <v>420</v>
      </c>
      <c r="S391" s="2" t="str">
        <f>HYPERLINK(".\links\KOG\AGAP002942-PA-KOG.txt","KOG")</f>
        <v>KOG</v>
      </c>
      <c r="T391" s="2">
        <v>9.0000000000000008E-34</v>
      </c>
      <c r="U391" s="2">
        <v>55.3</v>
      </c>
      <c r="V391" s="2" t="s">
        <v>4190</v>
      </c>
      <c r="W391" s="10" t="s">
        <v>4191</v>
      </c>
      <c r="X391" s="2" t="s">
        <v>420</v>
      </c>
      <c r="Y391" s="2" t="str">
        <f>HYPERLINK(".\links\KOG\AGAP002942-PA-KOG.txt","KOG")</f>
        <v>KOG</v>
      </c>
      <c r="Z391" s="15">
        <v>4.0000000000000002E-61</v>
      </c>
      <c r="AA391" s="2">
        <v>63</v>
      </c>
      <c r="AB391" s="13" t="str">
        <f>HYPERLINK(".\links\pep\AGAP002942-PA-sulf.txt","2")</f>
        <v>2</v>
      </c>
      <c r="AC391" s="13" t="str">
        <f>HYPERLINK(".\links\Sigp\AGAP002942-PA-SigP.txt","CYT")</f>
        <v>CYT</v>
      </c>
      <c r="AD391" s="2" t="s">
        <v>102</v>
      </c>
      <c r="AE391" s="2">
        <v>164.27099999999999</v>
      </c>
      <c r="AF391" s="2">
        <v>5.19</v>
      </c>
      <c r="AG391" s="2" t="s">
        <v>102</v>
      </c>
      <c r="AH391" s="2" t="s">
        <v>102</v>
      </c>
      <c r="AI391" s="2" t="s">
        <v>124</v>
      </c>
      <c r="AJ391" s="13">
        <v>0</v>
      </c>
      <c r="AK391" s="2" t="s">
        <v>102</v>
      </c>
      <c r="AL391" s="2" t="s">
        <v>102</v>
      </c>
      <c r="AM391" s="2" t="s">
        <v>102</v>
      </c>
      <c r="AN391" s="13" t="str">
        <f>HYPERLINK(".\links\gpi\AGAP002942-PA-gpi.txt","N")</f>
        <v>N</v>
      </c>
      <c r="AO391" s="14" t="str">
        <f>HYPERLINK(".\links\netoglyc\AGAP002942-PA-netoglyc.txt","27")</f>
        <v>27</v>
      </c>
      <c r="AP391" s="13">
        <v>19.2</v>
      </c>
      <c r="AQ391" s="2">
        <v>8</v>
      </c>
      <c r="AR391" s="2">
        <v>6.7</v>
      </c>
      <c r="AS391" s="2">
        <v>0.2</v>
      </c>
      <c r="AT391" s="9" t="str">
        <f>HYPERLINK(".\links\NR-LIGHT\AGAP002942-PA-NR-LIGHT.txt","AGAP002942-PA")</f>
        <v>AGAP002942-PA</v>
      </c>
      <c r="AU391" s="2" t="str">
        <f>HYPERLINK("http://www.ncbi.nlm.nih.gov/sutils/blink.cgi?pid=XP_311959.5","0.0")</f>
        <v>0.0</v>
      </c>
      <c r="AV391" s="2" t="str">
        <f>HYPERLINK("http://www.ncbi.nlm.nih.gov/protein/XP_311959.5","XP_311959.5")</f>
        <v>XP_311959.5</v>
      </c>
      <c r="AW391" s="2">
        <v>95</v>
      </c>
      <c r="AX391" s="2">
        <v>95</v>
      </c>
      <c r="AY391" s="2">
        <v>93</v>
      </c>
      <c r="AZ391" s="2" t="s">
        <v>105</v>
      </c>
      <c r="BA391" s="9" t="str">
        <f>HYPERLINK(".\links\REFSEQ-INVERTEBRATE\AGAP002942-PA-REFSEQ-INVERTEBRATE.txt","AGAP002942-PA")</f>
        <v>AGAP002942-PA</v>
      </c>
      <c r="BB391" s="2" t="str">
        <f>HYPERLINK("http://www.ncbi.nlm.nih.gov/sutils/blink.cgi?pid=XP_311959.5","0.0")</f>
        <v>0.0</v>
      </c>
      <c r="BC391" s="2" t="str">
        <f>HYPERLINK("http://www.ncbi.nlm.nih.gov/protein/XP_311959.5","XP_311959.5")</f>
        <v>XP_311959.5</v>
      </c>
      <c r="BD391" s="2">
        <v>95</v>
      </c>
      <c r="BE391" s="2">
        <v>95</v>
      </c>
      <c r="BF391" s="2">
        <v>93</v>
      </c>
      <c r="BG391" s="2" t="s">
        <v>105</v>
      </c>
      <c r="BH391" s="9" t="str">
        <f>HYPERLINK(".\links\REFSEQ-PROTOZOA\AGAP002942-PA-REFSEQ-PROTOZOA.txt","proteophosphoglycan 5")</f>
        <v>proteophosphoglycan 5</v>
      </c>
      <c r="BI391" s="2" t="str">
        <f>HYPERLINK("http://www.ncbi.nlm.nih.gov/sutils/blink.cgi?pid=XP_003722449.1","3E-026")</f>
        <v>3E-026</v>
      </c>
      <c r="BJ391" s="2" t="str">
        <f>HYPERLINK("http://www.ncbi.nlm.nih.gov/protein/XP_003722449.1","XP_003722449.1")</f>
        <v>XP_003722449.1</v>
      </c>
      <c r="BK391" s="2">
        <v>19</v>
      </c>
      <c r="BL391" s="2">
        <v>35</v>
      </c>
      <c r="BM391" s="2">
        <v>7</v>
      </c>
      <c r="BN391" s="2" t="s">
        <v>3969</v>
      </c>
      <c r="BO391" s="9" t="str">
        <f>HYPERLINK(".\links\SWISSP\AGAP002942-PA-SWISSP.txt","Protein similar")</f>
        <v>Protein similar</v>
      </c>
      <c r="BP391" s="2" t="str">
        <f>HYPERLINK("http://www.uniprot.org/uniprot/Q24167","1E-164")</f>
        <v>1E-164</v>
      </c>
      <c r="BQ391" s="2" t="str">
        <f>HYPERLINK("http://www.uniprot.org/uniprot/Q24167#expression","Q24167")</f>
        <v>Q24167</v>
      </c>
      <c r="BR391" s="2">
        <v>32</v>
      </c>
      <c r="BS391" s="2">
        <v>44</v>
      </c>
      <c r="BT391" s="2">
        <v>106</v>
      </c>
      <c r="BU391" s="2" t="s">
        <v>107</v>
      </c>
      <c r="BV391" s="9" t="str">
        <f>HYPERLINK(".\links\FLYBASE\AGAP002942-PA-FLYBASE.txt","FBpp0310748")</f>
        <v>FBpp0310748</v>
      </c>
      <c r="BW391" s="2" t="str">
        <f>HYPERLINK("http://flybase.org/reports/FBgn0266411#alliance_summary_container","1E-144")</f>
        <v>1E-144</v>
      </c>
      <c r="BX391" s="2">
        <v>426</v>
      </c>
      <c r="BY391" s="2">
        <v>56</v>
      </c>
      <c r="BZ391" s="2">
        <v>74</v>
      </c>
      <c r="CA391" s="2">
        <v>88</v>
      </c>
      <c r="CB391" s="9" t="str">
        <f>HYPERLINK(".\links\CDD\AGAP002942-PA-CDD.txt","PAS_3, PAS fold")</f>
        <v>PAS_3, PAS fold</v>
      </c>
      <c r="CC391" s="15">
        <v>8E-14</v>
      </c>
      <c r="CD391" s="2">
        <v>97.8</v>
      </c>
      <c r="CE391" s="2" t="s">
        <v>4192</v>
      </c>
      <c r="CF391" s="2" t="s">
        <v>4193</v>
      </c>
      <c r="CG391" s="9" t="str">
        <f>HYPERLINK(".\links\KOG\AGAP002942-PA-KOG.txt","Hypoxia-inducible factor 1/Neuronal PAS domain protein NPAS1")</f>
        <v>Hypoxia-inducible factor 1/Neuronal PAS domain protein NPAS1</v>
      </c>
      <c r="CH391" s="15">
        <v>3.9999999999999996E-96</v>
      </c>
      <c r="CI391" s="2">
        <v>79.2</v>
      </c>
      <c r="CJ391" s="2" t="s">
        <v>4194</v>
      </c>
      <c r="CK391" s="2" t="s">
        <v>4195</v>
      </c>
      <c r="CL391" s="9" t="str">
        <f>HYPERLINK(".\links\PFAM\AGAP002942-PA-PFAM.txt","PAS_3, PAS fold")</f>
        <v>PAS_3, PAS fold</v>
      </c>
      <c r="CM391" s="15">
        <v>1E-14</v>
      </c>
      <c r="CN391" s="2">
        <v>97.8</v>
      </c>
      <c r="CO391" s="2" t="s">
        <v>4192</v>
      </c>
      <c r="CP391" s="9" t="str">
        <f>HYPERLINK(".\links\SMART\AGAP002942-PA-SMART.txt","PAS, PAS domain")</f>
        <v>PAS, PAS domain</v>
      </c>
      <c r="CQ391" s="15">
        <v>5.0000000000000002E-11</v>
      </c>
      <c r="CR391" s="2">
        <v>86.6</v>
      </c>
      <c r="CS391" s="2" t="s">
        <v>4196</v>
      </c>
      <c r="CT391" s="2" t="s">
        <v>4190</v>
      </c>
      <c r="CU391" s="2" t="s">
        <v>4190</v>
      </c>
      <c r="CV391" s="2" t="s">
        <v>4190</v>
      </c>
      <c r="CW391" s="2" t="str">
        <f>HYPERLINK(".\links\pep\AGAP002942-PA-pep.txt","AGAP002942-PA")</f>
        <v>AGAP002942-PA</v>
      </c>
      <c r="CX391" s="2" t="s">
        <v>95</v>
      </c>
      <c r="CY391" s="2">
        <v>1563</v>
      </c>
      <c r="CZ391" s="2" t="s">
        <v>113</v>
      </c>
      <c r="DA391" s="2" t="s">
        <v>4197</v>
      </c>
      <c r="DB391" s="2">
        <v>0</v>
      </c>
      <c r="DC391" s="2">
        <v>4</v>
      </c>
      <c r="DD391" s="2" t="str">
        <f>HYPERLINK("https://www.kegg.jp/kegg-bin/search_pathway_text?map=aga&amp;keyword=AGAP002942&amp;mode=1&amp;viewImage=true","AGAP002942")</f>
        <v>AGAP002942</v>
      </c>
      <c r="DE391" s="2" t="s">
        <v>4188</v>
      </c>
      <c r="DF391" s="2" t="s">
        <v>93</v>
      </c>
      <c r="DG391" s="2" t="s">
        <v>94</v>
      </c>
      <c r="DH391" s="2" t="str">
        <f>HYPERLINK("https://vectorbase.org/vectorbase/app/record/gene/AGAP002942","AGAP002942-RA")</f>
        <v>AGAP002942-RA</v>
      </c>
      <c r="DI391" s="2" t="s">
        <v>90</v>
      </c>
      <c r="DJ391" s="2">
        <v>7790</v>
      </c>
      <c r="DK391" s="2" t="str">
        <f>HYPERLINK(".\links\netoglyc\AGAP002942-PA-netoglyc.txt","27")</f>
        <v>27</v>
      </c>
      <c r="DL391" s="2">
        <v>19.2</v>
      </c>
      <c r="DM391" s="2">
        <v>8</v>
      </c>
      <c r="DN391" s="2">
        <v>6.7</v>
      </c>
      <c r="DO391" s="2">
        <v>0.2</v>
      </c>
      <c r="DP391" s="2" t="s">
        <v>4198</v>
      </c>
      <c r="DQ391" s="2" t="str">
        <f>HYPERLINK(".\links\Sigp\AGAP002942-PA-SigP.txt","CYT")</f>
        <v>CYT</v>
      </c>
      <c r="DR391" s="2" t="s">
        <v>102</v>
      </c>
      <c r="DS391" s="2">
        <v>164.27099999999999</v>
      </c>
      <c r="DT391" s="2">
        <v>5.19</v>
      </c>
      <c r="DU391" s="2" t="s">
        <v>102</v>
      </c>
      <c r="DV391" s="2" t="s">
        <v>102</v>
      </c>
      <c r="DW391" s="2" t="s">
        <v>124</v>
      </c>
      <c r="DX391" s="2">
        <v>1563</v>
      </c>
      <c r="DY391" s="12">
        <v>0</v>
      </c>
      <c r="DZ391" s="2" t="s">
        <v>102</v>
      </c>
      <c r="EA391" s="2" t="s">
        <v>102</v>
      </c>
      <c r="EB391" s="2" t="s">
        <v>102</v>
      </c>
      <c r="EC391" s="2" t="str">
        <f>HYPERLINK(".\links\gpi\AGAP002942-PA-gpi.txt","Y-NoSP")</f>
        <v>Y-NoSP</v>
      </c>
      <c r="ED391" s="2">
        <v>0.22</v>
      </c>
      <c r="EF391" s="2">
        <v>20</v>
      </c>
      <c r="EG391" s="2" t="str">
        <f>HYPERLINK(".\links\pep\AGAP002942-PA-sulf.txt","2")</f>
        <v>2</v>
      </c>
      <c r="EH391" s="2" t="s">
        <v>102</v>
      </c>
      <c r="EI391" s="2">
        <v>19.193857965451102</v>
      </c>
      <c r="EJ391" s="2">
        <v>6.6538707613563703</v>
      </c>
      <c r="EK391" s="2">
        <v>7.9974408189379398</v>
      </c>
      <c r="EL391" s="2">
        <v>14.651311580294299</v>
      </c>
      <c r="EM391" s="2">
        <v>1</v>
      </c>
      <c r="EN391" s="2">
        <v>2</v>
      </c>
      <c r="EO391" s="2">
        <v>6</v>
      </c>
      <c r="EP391" s="2" t="s">
        <v>102</v>
      </c>
      <c r="EQ391" s="2" t="s">
        <v>102</v>
      </c>
      <c r="ER391" s="2" t="s">
        <v>102</v>
      </c>
      <c r="ES391" s="2" t="s">
        <v>102</v>
      </c>
      <c r="ET391" s="2" t="str">
        <f>HYPERLINK(".\links\REFSEQ-INVERTEBRATE\AGAP002942-PA-REFSEQ-INVERTEBRATE.txt","AGAP002942-PA")</f>
        <v>AGAP002942-PA</v>
      </c>
      <c r="EU391" s="2" t="str">
        <f>HYPERLINK("http://www.ncbi.nlm.nih.gov/sutils/blink.cgi?pid=XP_311959.5","0.0")</f>
        <v>0.0</v>
      </c>
      <c r="EV391" s="2" t="str">
        <f>HYPERLINK("http://www.ncbi.nlm.nih.gov/protein/XP_311959.5","XP_311959.5")</f>
        <v>XP_311959.5</v>
      </c>
      <c r="EW391" s="2">
        <v>95</v>
      </c>
      <c r="EX391" s="2">
        <v>95</v>
      </c>
      <c r="EY391" s="2">
        <v>93</v>
      </c>
      <c r="EZ391" s="2" t="s">
        <v>105</v>
      </c>
    </row>
    <row r="392" spans="1:156" x14ac:dyDescent="0.25">
      <c r="A392" s="2" t="s">
        <v>4199</v>
      </c>
      <c r="B392" s="2">
        <v>-0.32108287004893599</v>
      </c>
      <c r="C392" s="2">
        <f t="shared" si="6"/>
        <v>0.80046882949299114</v>
      </c>
      <c r="D392" s="2">
        <v>6.5148312979196197</v>
      </c>
      <c r="E392" s="2">
        <v>9.8820909582566401</v>
      </c>
      <c r="F392" s="2">
        <v>1.6689517568357201E-3</v>
      </c>
      <c r="G392" s="2">
        <v>4.0018295775221403E-2</v>
      </c>
      <c r="H392" s="2" t="s">
        <v>93</v>
      </c>
      <c r="I392" s="2" t="s">
        <v>94</v>
      </c>
      <c r="J392" s="2" t="str">
        <f>HYPERLINK("https://vectorbase.org/vectorbase/app/record/gene/AGAP004052","AGAP004052-RA")</f>
        <v>AGAP004052-RA</v>
      </c>
      <c r="K392" s="2" t="str">
        <f>HYPERLINK(".\links\pep\AGAP004052-PA-pep.txt","AGAP004052-PA")</f>
        <v>AGAP004052-PA</v>
      </c>
      <c r="L392" s="12" t="s">
        <v>95</v>
      </c>
      <c r="M392" s="2">
        <v>1852</v>
      </c>
      <c r="N392" s="2">
        <v>0</v>
      </c>
      <c r="O392" s="2">
        <v>4</v>
      </c>
      <c r="P392" s="2" t="s">
        <v>102</v>
      </c>
      <c r="Q392" s="9" t="s">
        <v>4200</v>
      </c>
      <c r="R392" s="2" t="s">
        <v>564</v>
      </c>
      <c r="S392" s="2" t="str">
        <f>HYPERLINK(".\links\PFAM\AGAP004052-PA-PFAM.txt","PFAM")</f>
        <v>PFAM</v>
      </c>
      <c r="T392" s="2">
        <v>9.9999999999999996E-95</v>
      </c>
      <c r="U392" s="2">
        <v>100</v>
      </c>
      <c r="V392" s="2" t="s">
        <v>4201</v>
      </c>
      <c r="W392" s="10" t="s">
        <v>4202</v>
      </c>
      <c r="X392" s="2" t="s">
        <v>420</v>
      </c>
      <c r="Y392" s="2" t="str">
        <f>HYPERLINK(".\links\PFAM\AGAP004052-PA-PFAM.txt","PFAM")</f>
        <v>PFAM</v>
      </c>
      <c r="Z392" s="15">
        <v>7.9999999999999994E-76</v>
      </c>
      <c r="AA392" s="2">
        <v>99.3</v>
      </c>
      <c r="AB392" s="13" t="s">
        <v>102</v>
      </c>
      <c r="AC392" s="13" t="str">
        <f>HYPERLINK(".\links\Sigp\AGAP004052-PA-SigP.txt","CYT")</f>
        <v>CYT</v>
      </c>
      <c r="AD392" s="2" t="s">
        <v>102</v>
      </c>
      <c r="AE392" s="2">
        <v>195.84800000000001</v>
      </c>
      <c r="AF392" s="2">
        <v>6.33</v>
      </c>
      <c r="AG392" s="2" t="s">
        <v>102</v>
      </c>
      <c r="AH392" s="2" t="s">
        <v>102</v>
      </c>
      <c r="AI392" s="2" t="s">
        <v>482</v>
      </c>
      <c r="AJ392" s="13">
        <v>0</v>
      </c>
      <c r="AK392" s="2" t="s">
        <v>102</v>
      </c>
      <c r="AL392" s="2" t="s">
        <v>102</v>
      </c>
      <c r="AM392" s="2" t="s">
        <v>102</v>
      </c>
      <c r="AN392" s="13" t="str">
        <f>HYPERLINK(".\links\gpi\AGAP004052-PA-gpi.txt","N")</f>
        <v>N</v>
      </c>
      <c r="AO392" s="14" t="str">
        <f>HYPERLINK(".\links\netoglyc\AGAP004052-PA-netoglyc.txt","19")</f>
        <v>19</v>
      </c>
      <c r="AP392" s="13">
        <v>18.5</v>
      </c>
      <c r="AQ392" s="2">
        <v>7.2</v>
      </c>
      <c r="AR392" s="2">
        <v>7.7</v>
      </c>
      <c r="AS392" s="2">
        <v>0.2</v>
      </c>
      <c r="AT392" s="9" t="str">
        <f>HYPERLINK(".\links\NR-LIGHT\AGAP004052-PA-NR-LIGHT.txt","AGAP004052-PA")</f>
        <v>AGAP004052-PA</v>
      </c>
      <c r="AU392" s="2" t="str">
        <f>HYPERLINK("http://www.ncbi.nlm.nih.gov/sutils/blink.cgi?pid=XP_309606.5","0.0")</f>
        <v>0.0</v>
      </c>
      <c r="AV392" s="2" t="str">
        <f>HYPERLINK("http://www.ncbi.nlm.nih.gov/protein/XP_309606.5","XP_309606.5")</f>
        <v>XP_309606.5</v>
      </c>
      <c r="AW392" s="2">
        <v>100</v>
      </c>
      <c r="AX392" s="2">
        <v>100</v>
      </c>
      <c r="AY392" s="2">
        <v>100</v>
      </c>
      <c r="AZ392" s="2" t="s">
        <v>105</v>
      </c>
      <c r="BA392" s="9" t="str">
        <f>HYPERLINK(".\links\REFSEQ-INVERTEBRATE\AGAP004052-PA-REFSEQ-INVERTEBRATE.txt","AGAP004052-PA")</f>
        <v>AGAP004052-PA</v>
      </c>
      <c r="BB392" s="2" t="str">
        <f>HYPERLINK("http://www.ncbi.nlm.nih.gov/sutils/blink.cgi?pid=XP_309606.5","0.0")</f>
        <v>0.0</v>
      </c>
      <c r="BC392" s="2" t="str">
        <f>HYPERLINK("http://www.ncbi.nlm.nih.gov/protein/XP_309606.5","XP_309606.5")</f>
        <v>XP_309606.5</v>
      </c>
      <c r="BD392" s="2">
        <v>100</v>
      </c>
      <c r="BE392" s="2">
        <v>100</v>
      </c>
      <c r="BF392" s="2">
        <v>100</v>
      </c>
      <c r="BG392" s="2" t="s">
        <v>105</v>
      </c>
      <c r="BH392" s="9" t="str">
        <f>HYPERLINK(".\links\REFSEQ-PROTOZOA\AGAP004052-PA-REFSEQ-PROTOZOA.txt","proteophosphoglycan ppg4")</f>
        <v>proteophosphoglycan ppg4</v>
      </c>
      <c r="BI392" s="2" t="str">
        <f>HYPERLINK("http://www.ncbi.nlm.nih.gov/sutils/blink.cgi?pid=XP_003722448.1","2E-050")</f>
        <v>2E-050</v>
      </c>
      <c r="BJ392" s="2" t="str">
        <f>HYPERLINK("http://www.ncbi.nlm.nih.gov/protein/XP_003722448.1","XP_003722448.1")</f>
        <v>XP_003722448.1</v>
      </c>
      <c r="BK392" s="2">
        <v>18</v>
      </c>
      <c r="BL392" s="2">
        <v>35</v>
      </c>
      <c r="BM392" s="2">
        <v>24</v>
      </c>
      <c r="BN392" s="2" t="s">
        <v>3969</v>
      </c>
      <c r="BO392" s="9" t="str">
        <f>HYPERLINK(".\links\SWISSP\AGAP004052-PA-SWISSP.txt","Homeobox protein prospero")</f>
        <v>Homeobox protein prospero</v>
      </c>
      <c r="BP392" s="2" t="str">
        <f>HYPERLINK("http://www.uniprot.org/uniprot/Q9U6A1","0.0")</f>
        <v>0.0</v>
      </c>
      <c r="BQ392" s="2" t="str">
        <f>HYPERLINK("http://www.uniprot.org/uniprot/Q9U6A1#expression","Q9U6A1")</f>
        <v>Q9U6A1</v>
      </c>
      <c r="BR392" s="2">
        <v>36</v>
      </c>
      <c r="BS392" s="2">
        <v>45</v>
      </c>
      <c r="BT392" s="2">
        <v>121</v>
      </c>
      <c r="BU392" s="2" t="s">
        <v>3473</v>
      </c>
      <c r="BV392" s="9" t="str">
        <f>HYPERLINK(".\links\FLYBASE\AGAP004052-PA-FLYBASE.txt","FBpp0293147")</f>
        <v>FBpp0293147</v>
      </c>
      <c r="BW392" s="2" t="str">
        <f>HYPERLINK("http://flybase.org/reports/FBgn0004595#alliance_summary_container","1E-133")</f>
        <v>1E-133</v>
      </c>
      <c r="BX392" s="2">
        <v>1403</v>
      </c>
      <c r="BY392" s="2">
        <v>67</v>
      </c>
      <c r="BZ392" s="2">
        <v>75</v>
      </c>
      <c r="CA392" s="2">
        <v>24</v>
      </c>
      <c r="CB392" s="9" t="str">
        <f>HYPERLINK(".\links\CDD\AGAP004052-PA-CDD.txt","HPD, Homeo-prospero domain")</f>
        <v>HPD, Homeo-prospero domain</v>
      </c>
      <c r="CC392" s="15">
        <v>6.0000000000000003E-94</v>
      </c>
      <c r="CD392" s="2">
        <v>100</v>
      </c>
      <c r="CE392" s="2" t="s">
        <v>4203</v>
      </c>
      <c r="CF392" s="2" t="s">
        <v>4204</v>
      </c>
      <c r="CG392" s="9" t="str">
        <f>HYPERLINK(".\links\KOG\AGAP004052-PA-KOG.txt","Homeobox transcription factor prospero")</f>
        <v>Homeobox transcription factor prospero</v>
      </c>
      <c r="CH392" s="15">
        <v>8.0000000000000003E-61</v>
      </c>
      <c r="CI392" s="2">
        <v>21.6</v>
      </c>
      <c r="CJ392" s="2" t="s">
        <v>4205</v>
      </c>
      <c r="CK392" s="2" t="s">
        <v>309</v>
      </c>
      <c r="CL392" s="9" t="str">
        <f>HYPERLINK(".\links\PFAM\AGAP004052-PA-PFAM.txt","HPD, Homeo-prospero domain")</f>
        <v>HPD, Homeo-prospero domain</v>
      </c>
      <c r="CM392" s="15">
        <v>9.9999999999999996E-95</v>
      </c>
      <c r="CN392" s="2">
        <v>100</v>
      </c>
      <c r="CO392" s="2" t="s">
        <v>4203</v>
      </c>
      <c r="CP392" s="9" t="str">
        <f>HYPERLINK(".\links\SMART\AGAP004052-PA-SMART.txt","Amelogenin, Amelogenins, cell adhesion proteins, play a role in the biomineralisation of teeth")</f>
        <v>Amelogenin, Amelogenins, cell adhesion proteins, play a role in the biomineralisation of teeth</v>
      </c>
      <c r="CQ392" s="15">
        <v>4.9999999999999998E-8</v>
      </c>
      <c r="CR392" s="2">
        <v>63.6</v>
      </c>
      <c r="CS392" s="2" t="s">
        <v>311</v>
      </c>
      <c r="CT392" s="2" t="s">
        <v>4201</v>
      </c>
      <c r="CU392" s="2" t="s">
        <v>4201</v>
      </c>
      <c r="CV392" s="2" t="s">
        <v>4201</v>
      </c>
      <c r="CW392" s="2" t="str">
        <f>HYPERLINK(".\links\pep\AGAP004052-PA-pep.txt","AGAP004052-PA")</f>
        <v>AGAP004052-PA</v>
      </c>
      <c r="CX392" s="2" t="s">
        <v>95</v>
      </c>
      <c r="CY392" s="2">
        <v>1852</v>
      </c>
      <c r="CZ392" s="2" t="s">
        <v>113</v>
      </c>
      <c r="DA392" s="2" t="s">
        <v>4206</v>
      </c>
      <c r="DB392" s="2">
        <v>0</v>
      </c>
      <c r="DC392" s="2">
        <v>4</v>
      </c>
      <c r="DD392" s="2" t="str">
        <f>HYPERLINK("https://www.kegg.jp/kegg-bin/search_pathway_text?map=aga&amp;keyword=AGAP004052&amp;mode=1&amp;viewImage=true","AGAP004052")</f>
        <v>AGAP004052</v>
      </c>
      <c r="DE392" s="2" t="s">
        <v>4199</v>
      </c>
      <c r="DF392" s="2" t="s">
        <v>93</v>
      </c>
      <c r="DG392" s="2" t="s">
        <v>94</v>
      </c>
      <c r="DH392" s="2" t="str">
        <f>HYPERLINK("https://vectorbase.org/vectorbase/app/record/gene/AGAP004052","AGAP004052-RA")</f>
        <v>AGAP004052-RA</v>
      </c>
      <c r="DI392" s="2" t="s">
        <v>90</v>
      </c>
      <c r="DJ392" s="2">
        <v>6238</v>
      </c>
      <c r="DK392" s="2" t="str">
        <f>HYPERLINK(".\links\netoglyc\AGAP004052-PA-netoglyc.txt","19")</f>
        <v>19</v>
      </c>
      <c r="DL392" s="2">
        <v>18.5</v>
      </c>
      <c r="DM392" s="2">
        <v>7.2</v>
      </c>
      <c r="DN392" s="2">
        <v>7.7</v>
      </c>
      <c r="DO392" s="2">
        <v>0.2</v>
      </c>
      <c r="DP392" s="2" t="s">
        <v>102</v>
      </c>
      <c r="DQ392" s="2" t="str">
        <f>HYPERLINK(".\links\Sigp\AGAP004052-PA-SigP.txt","CYT")</f>
        <v>CYT</v>
      </c>
      <c r="DR392" s="2" t="s">
        <v>102</v>
      </c>
      <c r="DS392" s="2">
        <v>195.84800000000001</v>
      </c>
      <c r="DT392" s="2">
        <v>6.33</v>
      </c>
      <c r="DU392" s="2" t="s">
        <v>102</v>
      </c>
      <c r="DV392" s="2" t="s">
        <v>102</v>
      </c>
      <c r="DW392" s="2" t="s">
        <v>482</v>
      </c>
      <c r="DX392" s="2">
        <v>1852</v>
      </c>
      <c r="DY392" s="12">
        <v>0</v>
      </c>
      <c r="DZ392" s="2" t="s">
        <v>102</v>
      </c>
      <c r="EA392" s="2" t="s">
        <v>102</v>
      </c>
      <c r="EB392" s="2" t="s">
        <v>102</v>
      </c>
      <c r="EC392" s="2" t="str">
        <f>HYPERLINK(".\links\gpi\AGAP004052-PA-gpi.txt","N")</f>
        <v>N</v>
      </c>
      <c r="ED392" s="2">
        <v>0.41</v>
      </c>
      <c r="EF392" s="2">
        <v>19</v>
      </c>
      <c r="EG392" s="2" t="s">
        <v>102</v>
      </c>
      <c r="EH392" s="2" t="s">
        <v>102</v>
      </c>
      <c r="EI392" s="2">
        <v>18.520518358531302</v>
      </c>
      <c r="EJ392" s="2">
        <v>7.6673866090712703</v>
      </c>
      <c r="EK392" s="2">
        <v>7.1814254859611202</v>
      </c>
      <c r="EL392" s="2">
        <v>14.8488120950324</v>
      </c>
      <c r="EM392" s="2">
        <v>4</v>
      </c>
      <c r="EN392" s="2">
        <v>3</v>
      </c>
      <c r="EO392" s="2">
        <v>5</v>
      </c>
      <c r="EP392" s="2" t="s">
        <v>102</v>
      </c>
      <c r="EQ392" s="2" t="s">
        <v>102</v>
      </c>
      <c r="ER392" s="2" t="s">
        <v>102</v>
      </c>
      <c r="ES392" s="2" t="s">
        <v>102</v>
      </c>
      <c r="ET392" s="2" t="str">
        <f>HYPERLINK(".\links\REFSEQ-INVERTEBRATE\AGAP004052-PA-REFSEQ-INVERTEBRATE.txt","AGAP004052-PA")</f>
        <v>AGAP004052-PA</v>
      </c>
      <c r="EU392" s="2" t="str">
        <f>HYPERLINK("http://www.ncbi.nlm.nih.gov/sutils/blink.cgi?pid=XP_309606.5","0.0")</f>
        <v>0.0</v>
      </c>
      <c r="EV392" s="2" t="str">
        <f>HYPERLINK("http://www.ncbi.nlm.nih.gov/protein/XP_309606.5","XP_309606.5")</f>
        <v>XP_309606.5</v>
      </c>
      <c r="EW392" s="2">
        <v>100</v>
      </c>
      <c r="EX392" s="2">
        <v>100</v>
      </c>
      <c r="EY392" s="2">
        <v>100</v>
      </c>
      <c r="EZ392" s="2" t="s">
        <v>105</v>
      </c>
    </row>
    <row r="393" spans="1:156" x14ac:dyDescent="0.25">
      <c r="A393" s="2" t="s">
        <v>4207</v>
      </c>
      <c r="B393" s="2">
        <v>-0.32176617585960299</v>
      </c>
      <c r="C393" s="2">
        <f t="shared" si="6"/>
        <v>0.80008979201280772</v>
      </c>
      <c r="D393" s="2">
        <v>7.2245614559414397</v>
      </c>
      <c r="E393" s="2">
        <v>15.7079084662684</v>
      </c>
      <c r="F393" s="2">
        <v>7.3914479803107995E-5</v>
      </c>
      <c r="G393" s="2">
        <v>9.1053399807453604E-3</v>
      </c>
      <c r="H393" s="2" t="s">
        <v>93</v>
      </c>
      <c r="I393" s="2" t="s">
        <v>94</v>
      </c>
      <c r="J393" s="2" t="str">
        <f>HYPERLINK("https://vectorbase.org/vectorbase/app/record/gene/AGAP008017","AGAP008017-RB")</f>
        <v>AGAP008017-RB</v>
      </c>
      <c r="K393" s="2" t="str">
        <f>HYPERLINK(".\links\pep\AGAP008017-PB-pep.txt","AGAP008017-PB")</f>
        <v>AGAP008017-PB</v>
      </c>
      <c r="L393" s="12" t="s">
        <v>95</v>
      </c>
      <c r="M393" s="2">
        <v>3568</v>
      </c>
      <c r="N393" s="2">
        <v>0</v>
      </c>
      <c r="O393" s="2">
        <v>7</v>
      </c>
      <c r="P393" s="2" t="s">
        <v>102</v>
      </c>
      <c r="Q393" s="9" t="s">
        <v>4208</v>
      </c>
      <c r="R393" s="2" t="s">
        <v>388</v>
      </c>
      <c r="S393" s="2" t="str">
        <f>HYPERLINK(".\links\CDD\AGAP008017-PB-CDD.txt","CDD")</f>
        <v>CDD</v>
      </c>
      <c r="T393" s="2">
        <v>3.9999999999999997E-49</v>
      </c>
      <c r="U393" s="2">
        <v>100</v>
      </c>
      <c r="V393" s="2" t="s">
        <v>4209</v>
      </c>
      <c r="W393" s="10" t="s">
        <v>4210</v>
      </c>
      <c r="X393" s="2" t="s">
        <v>388</v>
      </c>
      <c r="Y393" s="2" t="str">
        <f>HYPERLINK(".\links\REFSEQVERTEBRATE95\AGAP008017-PB-REFSEQVERTEBRATE95.txt","REFSEQVERTEBRATE95")</f>
        <v>REFSEQVERTEBRATE95</v>
      </c>
      <c r="Z393" s="15">
        <v>2E-87</v>
      </c>
      <c r="AA393" s="2">
        <v>29</v>
      </c>
      <c r="AB393" s="13" t="str">
        <f>HYPERLINK(".\links\pep\AGAP008017-PB-sulf.txt","6")</f>
        <v>6</v>
      </c>
      <c r="AC393" s="13" t="str">
        <f>HYPERLINK(".\links\Sigp\AGAP008017-PB-SigP.txt","CYT")</f>
        <v>CYT</v>
      </c>
      <c r="AD393" s="2" t="s">
        <v>102</v>
      </c>
      <c r="AE393" s="2">
        <v>380.03699999999998</v>
      </c>
      <c r="AF393" s="2">
        <v>5.14</v>
      </c>
      <c r="AG393" s="2" t="s">
        <v>102</v>
      </c>
      <c r="AH393" s="2" t="s">
        <v>102</v>
      </c>
      <c r="AI393" s="2" t="s">
        <v>4211</v>
      </c>
      <c r="AJ393" s="13">
        <v>0</v>
      </c>
      <c r="AK393" s="2" t="s">
        <v>102</v>
      </c>
      <c r="AL393" s="2" t="s">
        <v>102</v>
      </c>
      <c r="AM393" s="2" t="s">
        <v>102</v>
      </c>
      <c r="AN393" s="13" t="str">
        <f>HYPERLINK(".\links\gpi\AGAP008017-PB-gpi.txt","N")</f>
        <v>N</v>
      </c>
      <c r="AO393" s="14" t="str">
        <f>HYPERLINK(".\links\netoglyc\AGAP008017-PB-netoglyc.txt","10")</f>
        <v>10</v>
      </c>
      <c r="AP393" s="13">
        <v>16.2</v>
      </c>
      <c r="AQ393" s="2">
        <v>9.6</v>
      </c>
      <c r="AR393" s="2">
        <v>5.7</v>
      </c>
      <c r="AS393" s="2" t="s">
        <v>104</v>
      </c>
      <c r="AT393" s="9" t="str">
        <f>HYPERLINK(".\links\NR-LIGHT\AGAP008017-PB-NR-LIGHT.txt","hypothetical protein ZHAS_00005735")</f>
        <v>hypothetical protein ZHAS_00005735</v>
      </c>
      <c r="AU393" s="2" t="str">
        <f>HYPERLINK("http://www.ncbi.nlm.nih.gov/sutils/blink.cgi?pid=KFB38381.1","0.0")</f>
        <v>0.0</v>
      </c>
      <c r="AV393" s="2" t="str">
        <f>HYPERLINK("http://www.ncbi.nlm.nih.gov/protein/KFB38381.1","KFB38381.1")</f>
        <v>KFB38381.1</v>
      </c>
      <c r="AW393" s="2">
        <v>66</v>
      </c>
      <c r="AX393" s="2">
        <v>72</v>
      </c>
      <c r="AY393" s="2">
        <v>110</v>
      </c>
      <c r="AZ393" s="2" t="s">
        <v>1522</v>
      </c>
      <c r="BA393" s="9" t="str">
        <f>HYPERLINK(".\links\REFSEQ-INVERTEBRATE\AGAP008017-PB-REFSEQ-INVERTEBRATE.txt","AGAP008017-PA, partial")</f>
        <v>AGAP008017-PA, partial</v>
      </c>
      <c r="BB393" s="2" t="str">
        <f>HYPERLINK("http://www.ncbi.nlm.nih.gov/sutils/blink.cgi?pid=XP_317442.4","0.0")</f>
        <v>0.0</v>
      </c>
      <c r="BC393" s="2" t="str">
        <f>HYPERLINK("http://www.ncbi.nlm.nih.gov/protein/XP_317442.4","XP_317442.4")</f>
        <v>XP_317442.4</v>
      </c>
      <c r="BD393" s="2">
        <v>77</v>
      </c>
      <c r="BE393" s="2">
        <v>79</v>
      </c>
      <c r="BF393" s="2">
        <v>57</v>
      </c>
      <c r="BG393" s="2" t="s">
        <v>105</v>
      </c>
      <c r="BH393" s="9" t="str">
        <f>HYPERLINK(".\links\REFSEQ-PROTOZOA\AGAP008017-PB-REFSEQ-PROTOZOA.txt","hypothetical protein DFA_01589")</f>
        <v>hypothetical protein DFA_01589</v>
      </c>
      <c r="BI393" s="2" t="str">
        <f>HYPERLINK("http://www.ncbi.nlm.nih.gov/sutils/blink.cgi?pid=XP_004359553.1","2E-051")</f>
        <v>2E-051</v>
      </c>
      <c r="BJ393" s="2" t="str">
        <f>HYPERLINK("http://www.ncbi.nlm.nih.gov/protein/XP_004359553.1","XP_004359553.1")</f>
        <v>XP_004359553.1</v>
      </c>
      <c r="BK393" s="2">
        <v>27</v>
      </c>
      <c r="BL393" s="2">
        <v>41</v>
      </c>
      <c r="BM393" s="2">
        <v>81</v>
      </c>
      <c r="BN393" s="2" t="s">
        <v>212</v>
      </c>
      <c r="BO393" s="9" t="str">
        <f>HYPERLINK(".\links\SWISSP\AGAP008017-PB-SWISSP.txt","Bromodomain adjacent to zinc finger domain protein 2B")</f>
        <v>Bromodomain adjacent to zinc finger domain protein 2B</v>
      </c>
      <c r="BP393" s="2" t="str">
        <f>HYPERLINK("http://www.uniprot.org/uniprot/Q9UIF8","7E-075")</f>
        <v>7E-075</v>
      </c>
      <c r="BQ393" s="2" t="str">
        <f>HYPERLINK("http://www.uniprot.org/uniprot/Q9UIF8#expression","Q9UIF8")</f>
        <v>Q9UIF8</v>
      </c>
      <c r="BR393" s="2">
        <v>31</v>
      </c>
      <c r="BS393" s="2">
        <v>50</v>
      </c>
      <c r="BT393" s="2">
        <v>29</v>
      </c>
      <c r="BU393" s="2" t="s">
        <v>127</v>
      </c>
      <c r="BV393" s="9" t="str">
        <f>HYPERLINK(".\links\FLYBASE\AGAP008017-PB-FLYBASE.txt","FBpp0087193")</f>
        <v>FBpp0087193</v>
      </c>
      <c r="BW393" s="2" t="str">
        <f>HYPERLINK("http://flybase.org/reports/FBgn0033636#alliance_summary_container","0.0")</f>
        <v>0.0</v>
      </c>
      <c r="BX393" s="2">
        <v>2999</v>
      </c>
      <c r="BY393" s="2">
        <v>64</v>
      </c>
      <c r="BZ393" s="2">
        <v>78</v>
      </c>
      <c r="CA393" s="2">
        <v>21</v>
      </c>
      <c r="CB393" s="9" t="str">
        <f>HYPERLINK(".\links\CDD\AGAP008017-PB-CDD.txt","Bromo_BAZ2A_B_like, Bromodomain, BAZ2A/BAZ2B_like subfamily")</f>
        <v>Bromo_BAZ2A_B_like, Bromodomain, BAZ2A/BAZ2B_like subfamily</v>
      </c>
      <c r="CC393" s="15">
        <v>3.9999999999999997E-49</v>
      </c>
      <c r="CD393" s="2">
        <v>100</v>
      </c>
      <c r="CE393" s="2" t="s">
        <v>4212</v>
      </c>
      <c r="CF393" s="2" t="s">
        <v>4213</v>
      </c>
      <c r="CG393" s="9" t="str">
        <f>HYPERLINK(".\links\KOG\AGAP008017-PB-KOG.txt","large subunit (contains heterochromatin localization, PHD and BROMO domains)")</f>
        <v>large subunit (contains heterochromatin localization, PHD and BROMO domains)</v>
      </c>
      <c r="CH393" s="15">
        <v>3.9999999999999998E-29</v>
      </c>
      <c r="CI393" s="2">
        <v>9.3000000000000007</v>
      </c>
      <c r="CJ393" s="2" t="s">
        <v>4214</v>
      </c>
      <c r="CK393" s="2" t="s">
        <v>398</v>
      </c>
      <c r="CL393" s="9" t="str">
        <f>HYPERLINK(".\links\PFAM\AGAP008017-PB-PFAM.txt","Bromodomain, Bromodomain")</f>
        <v>Bromodomain, Bromodomain</v>
      </c>
      <c r="CM393" s="15">
        <v>4.9999999999999997E-21</v>
      </c>
      <c r="CN393" s="2">
        <v>98.8</v>
      </c>
      <c r="CO393" s="2" t="s">
        <v>4215</v>
      </c>
      <c r="CP393" s="9" t="str">
        <f>HYPERLINK(".\links\SMART\AGAP008017-PB-SMART.txt","BROMO, bromo domain")</f>
        <v>BROMO, bromo domain</v>
      </c>
      <c r="CQ393" s="15">
        <v>1.0000000000000001E-32</v>
      </c>
      <c r="CR393" s="2">
        <v>98.1</v>
      </c>
      <c r="CS393" s="2" t="s">
        <v>2466</v>
      </c>
      <c r="CT393" s="2" t="s">
        <v>4209</v>
      </c>
      <c r="CU393" s="2" t="s">
        <v>4209</v>
      </c>
      <c r="CV393" s="2" t="s">
        <v>4209</v>
      </c>
      <c r="CW393" s="2" t="str">
        <f>HYPERLINK(".\links\pep\AGAP008017-PB-pep.txt","AGAP008017-PB")</f>
        <v>AGAP008017-PB</v>
      </c>
      <c r="CX393" s="2" t="s">
        <v>95</v>
      </c>
      <c r="CY393" s="2">
        <v>3568</v>
      </c>
      <c r="CZ393" s="2" t="s">
        <v>113</v>
      </c>
      <c r="DA393" s="2" t="s">
        <v>4216</v>
      </c>
      <c r="DB393" s="2">
        <v>0</v>
      </c>
      <c r="DC393" s="2">
        <v>7</v>
      </c>
      <c r="DD393" s="2" t="str">
        <f>HYPERLINK("https://www.kegg.jp/kegg-bin/search_pathway_text?map=aga&amp;keyword=AGAP008017&amp;mode=1&amp;viewImage=true","AGAP008017")</f>
        <v>AGAP008017</v>
      </c>
      <c r="DE393" s="2" t="s">
        <v>4207</v>
      </c>
      <c r="DF393" s="2" t="s">
        <v>93</v>
      </c>
      <c r="DG393" s="2" t="s">
        <v>94</v>
      </c>
      <c r="DH393" s="2" t="str">
        <f>HYPERLINK("https://vectorbase.org/vectorbase/app/record/gene/AGAP008017","AGAP008017-RB")</f>
        <v>AGAP008017-RB</v>
      </c>
      <c r="DI393" s="2" t="s">
        <v>115</v>
      </c>
      <c r="DJ393" s="2">
        <v>14872</v>
      </c>
      <c r="DK393" s="2" t="str">
        <f>HYPERLINK(".\links\netoglyc\AGAP008017-PB-netoglyc.txt","10")</f>
        <v>10</v>
      </c>
      <c r="DL393" s="2">
        <v>16.2</v>
      </c>
      <c r="DM393" s="2">
        <v>9.6</v>
      </c>
      <c r="DN393" s="2">
        <v>5.7</v>
      </c>
      <c r="DO393" s="2" t="s">
        <v>104</v>
      </c>
      <c r="DP393" s="2" t="s">
        <v>4217</v>
      </c>
      <c r="DQ393" s="2" t="str">
        <f>HYPERLINK(".\links\Sigp\AGAP008017-PB-SigP.txt","CYT")</f>
        <v>CYT</v>
      </c>
      <c r="DR393" s="2" t="s">
        <v>102</v>
      </c>
      <c r="DS393" s="2">
        <v>380.03699999999998</v>
      </c>
      <c r="DT393" s="2">
        <v>5.14</v>
      </c>
      <c r="DU393" s="2" t="s">
        <v>102</v>
      </c>
      <c r="DV393" s="2" t="s">
        <v>102</v>
      </c>
      <c r="DW393" s="2" t="s">
        <v>4211</v>
      </c>
      <c r="DX393" s="2">
        <v>3568</v>
      </c>
      <c r="DY393" s="12">
        <v>0</v>
      </c>
      <c r="DZ393" s="2" t="s">
        <v>102</v>
      </c>
      <c r="EA393" s="2" t="s">
        <v>102</v>
      </c>
      <c r="EB393" s="2" t="s">
        <v>102</v>
      </c>
      <c r="EC393" s="2" t="str">
        <f>HYPERLINK(".\links\gpi\AGAP008017-PB-gpi.txt","N")</f>
        <v>N</v>
      </c>
      <c r="ED393" s="2">
        <v>0.25</v>
      </c>
      <c r="EF393" s="2">
        <v>46</v>
      </c>
      <c r="EG393" s="2" t="str">
        <f>HYPERLINK(".\links\pep\AGAP008017-PB-sulf.txt","6")</f>
        <v>6</v>
      </c>
      <c r="EH393" s="2" t="s">
        <v>102</v>
      </c>
      <c r="EI393" s="2">
        <v>16.171524663677101</v>
      </c>
      <c r="EJ393" s="2">
        <v>5.7174887892376702</v>
      </c>
      <c r="EK393" s="2">
        <v>9.5571748878923799</v>
      </c>
      <c r="EL393" s="2">
        <v>15.27466367713</v>
      </c>
      <c r="EM393" s="2">
        <v>2</v>
      </c>
      <c r="EN393" s="2">
        <v>15</v>
      </c>
      <c r="EO393" s="2">
        <v>17</v>
      </c>
      <c r="EP393" s="2" t="s">
        <v>102</v>
      </c>
      <c r="EQ393" s="2" t="s">
        <v>102</v>
      </c>
      <c r="ER393" s="2" t="s">
        <v>102</v>
      </c>
      <c r="ES393" s="2" t="s">
        <v>102</v>
      </c>
      <c r="ET393" s="2" t="str">
        <f>HYPERLINK(".\links\REFSEQ-INVERTEBRATE\AGAP008017-PB-REFSEQ-INVERTEBRATE.txt","uncharacterized protein LOC118513832 isoform X7")</f>
        <v>uncharacterized protein LOC118513832 isoform X7</v>
      </c>
      <c r="EU393" s="2" t="str">
        <f>HYPERLINK("http://www.ncbi.nlm.nih.gov/sutils/blink.cgi?pid=XP_035915984.1","0.0")</f>
        <v>0.0</v>
      </c>
      <c r="EV393" s="2" t="str">
        <f>HYPERLINK("http://www.ncbi.nlm.nih.gov/protein/XP_035915984.1","XP_035915984.1")</f>
        <v>XP_035915984.1</v>
      </c>
      <c r="EW393" s="2">
        <v>78</v>
      </c>
      <c r="EX393" s="2">
        <v>82</v>
      </c>
      <c r="EY393" s="2">
        <v>92</v>
      </c>
      <c r="EZ393" s="2" t="s">
        <v>370</v>
      </c>
    </row>
    <row r="394" spans="1:156" x14ac:dyDescent="0.25">
      <c r="A394" s="2" t="s">
        <v>4218</v>
      </c>
      <c r="B394" s="2">
        <v>-0.322029617583872</v>
      </c>
      <c r="C394" s="2">
        <f t="shared" si="6"/>
        <v>0.79994370584405916</v>
      </c>
      <c r="D394" s="2">
        <v>6.2552282172154596</v>
      </c>
      <c r="E394" s="2">
        <v>16.6877513523552</v>
      </c>
      <c r="F394" s="2">
        <v>4.4064588758607897E-5</v>
      </c>
      <c r="G394" s="2">
        <v>7.8955731312014606E-3</v>
      </c>
      <c r="H394" s="2" t="s">
        <v>93</v>
      </c>
      <c r="I394" s="2" t="s">
        <v>94</v>
      </c>
      <c r="J394" s="2" t="str">
        <f>HYPERLINK("https://vectorbase.org/vectorbase/app/record/gene/AGAP002781","AGAP002781-RA")</f>
        <v>AGAP002781-RA</v>
      </c>
      <c r="K394" s="2" t="str">
        <f>HYPERLINK(".\links\pep\AGAP002781-PA-pep.txt","AGAP002781-PA")</f>
        <v>AGAP002781-PA</v>
      </c>
      <c r="L394" s="12" t="s">
        <v>95</v>
      </c>
      <c r="M394" s="2">
        <v>1083</v>
      </c>
      <c r="N394" s="2">
        <v>0</v>
      </c>
      <c r="O394" s="2">
        <v>2</v>
      </c>
      <c r="P394" s="2" t="s">
        <v>102</v>
      </c>
      <c r="Q394" s="9" t="s">
        <v>1984</v>
      </c>
      <c r="R394" s="2" t="s">
        <v>196</v>
      </c>
      <c r="S394" s="2" t="str">
        <f>HYPERLINK(".\links\KOG\AGAP002781-PA-KOG.txt","KOG")</f>
        <v>KOG</v>
      </c>
      <c r="T394" s="2">
        <v>0</v>
      </c>
      <c r="U394" s="2">
        <v>104.7</v>
      </c>
      <c r="V394" s="2" t="s">
        <v>4219</v>
      </c>
      <c r="W394" s="10" t="s">
        <v>4220</v>
      </c>
      <c r="X394" s="2" t="s">
        <v>771</v>
      </c>
      <c r="Y394" s="2" t="str">
        <f>HYPERLINK(".\links\UNIPROTKB\AGAP002781-PA-UNIPROTKB.txt","UNIPROTKB")</f>
        <v>UNIPROTKB</v>
      </c>
      <c r="Z394" s="2">
        <v>0</v>
      </c>
      <c r="AA394" s="2">
        <v>88.2</v>
      </c>
      <c r="AB394" s="13" t="s">
        <v>102</v>
      </c>
      <c r="AC394" s="13" t="str">
        <f>HYPERLINK(".\links\Sigp\AGAP002781-PA-SigP.txt","CYT")</f>
        <v>CYT</v>
      </c>
      <c r="AD394" s="2" t="s">
        <v>102</v>
      </c>
      <c r="AE394" s="2">
        <v>120.58799999999999</v>
      </c>
      <c r="AF394" s="2">
        <v>6.96</v>
      </c>
      <c r="AG394" s="2" t="s">
        <v>102</v>
      </c>
      <c r="AH394" s="2" t="s">
        <v>102</v>
      </c>
      <c r="AI394" s="2" t="s">
        <v>4221</v>
      </c>
      <c r="AJ394" s="13">
        <v>0</v>
      </c>
      <c r="AK394" s="2" t="s">
        <v>102</v>
      </c>
      <c r="AL394" s="2" t="s">
        <v>102</v>
      </c>
      <c r="AM394" s="2" t="s">
        <v>102</v>
      </c>
      <c r="AN394" s="13" t="str">
        <f>HYPERLINK(".\links\gpi\AGAP002781-PA-gpi.txt","N")</f>
        <v>N</v>
      </c>
      <c r="AO394" s="14" t="str">
        <f>HYPERLINK(".\links\netoglyc\AGAP002781-PA-netoglyc.txt","7")</f>
        <v>7</v>
      </c>
      <c r="AP394" s="13">
        <v>16.399999999999999</v>
      </c>
      <c r="AQ394" s="2">
        <v>5.3</v>
      </c>
      <c r="AR394" s="2">
        <v>5.3</v>
      </c>
      <c r="AS394" s="2" t="s">
        <v>104</v>
      </c>
      <c r="AT394" s="9" t="str">
        <f>HYPERLINK(".\links\NR-LIGHT\AGAP002781-PA-NR-LIGHT.txt","AGAP002781-PA")</f>
        <v>AGAP002781-PA</v>
      </c>
      <c r="AU394" s="2" t="str">
        <f>HYPERLINK("http://www.ncbi.nlm.nih.gov/sutils/blink.cgi?pid=XP_312142.5","0.0")</f>
        <v>0.0</v>
      </c>
      <c r="AV394" s="2" t="str">
        <f>HYPERLINK("http://www.ncbi.nlm.nih.gov/protein/XP_312142.5","XP_312142.5")</f>
        <v>XP_312142.5</v>
      </c>
      <c r="AW394" s="2">
        <v>100</v>
      </c>
      <c r="AX394" s="2">
        <v>100</v>
      </c>
      <c r="AY394" s="2">
        <v>100</v>
      </c>
      <c r="AZ394" s="2" t="s">
        <v>105</v>
      </c>
      <c r="BA394" s="9" t="str">
        <f>HYPERLINK(".\links\REFSEQ-INVERTEBRATE\AGAP002781-PA-REFSEQ-INVERTEBRATE.txt","AGAP002781-PA")</f>
        <v>AGAP002781-PA</v>
      </c>
      <c r="BB394" s="2" t="str">
        <f>HYPERLINK("http://www.ncbi.nlm.nih.gov/sutils/blink.cgi?pid=XP_312142.5","0.0")</f>
        <v>0.0</v>
      </c>
      <c r="BC394" s="2" t="str">
        <f>HYPERLINK("http://www.ncbi.nlm.nih.gov/protein/XP_312142.5","XP_312142.5")</f>
        <v>XP_312142.5</v>
      </c>
      <c r="BD394" s="2">
        <v>100</v>
      </c>
      <c r="BE394" s="2">
        <v>100</v>
      </c>
      <c r="BF394" s="2">
        <v>100</v>
      </c>
      <c r="BG394" s="2" t="s">
        <v>105</v>
      </c>
      <c r="BH394" s="9" t="str">
        <f>HYPERLINK(".\links\REFSEQ-PROTOZOA\AGAP002781-PA-REFSEQ-PROTOZOA.txt","hypothetical protein CAOG_03925")</f>
        <v>hypothetical protein CAOG_03925</v>
      </c>
      <c r="BI394" s="2" t="str">
        <f>HYPERLINK("http://www.ncbi.nlm.nih.gov/sutils/blink.cgi?pid=XP_004363653.2","1E-117")</f>
        <v>1E-117</v>
      </c>
      <c r="BJ394" s="2" t="str">
        <f>HYPERLINK("http://www.ncbi.nlm.nih.gov/protein/XP_004363653.2","XP_004363653.2")</f>
        <v>XP_004363653.2</v>
      </c>
      <c r="BK394" s="2">
        <v>45</v>
      </c>
      <c r="BL394" s="2">
        <v>58</v>
      </c>
      <c r="BM394" s="2">
        <v>51</v>
      </c>
      <c r="BN394" s="2" t="s">
        <v>106</v>
      </c>
      <c r="BO394" s="9" t="str">
        <f>HYPERLINK(".\links\SWISSP\AGAP002781-PA-SWISSP.txt","Protein CLEC16A homolog")</f>
        <v>Protein CLEC16A homolog</v>
      </c>
      <c r="BP394" s="2" t="str">
        <f>HYPERLINK("http://www.uniprot.org/uniprot/Q9VEV4","0.0")</f>
        <v>0.0</v>
      </c>
      <c r="BQ394" s="2" t="str">
        <f>HYPERLINK("http://www.uniprot.org/uniprot/Q9VEV4#expression","Q9VEV4")</f>
        <v>Q9VEV4</v>
      </c>
      <c r="BR394" s="2">
        <v>65</v>
      </c>
      <c r="BS394" s="2">
        <v>76</v>
      </c>
      <c r="BT394" s="2">
        <v>104</v>
      </c>
      <c r="BU394" s="2" t="s">
        <v>107</v>
      </c>
      <c r="BV394" s="9" t="str">
        <f>HYPERLINK(".\links\FLYBASE\AGAP002781-PA-FLYBASE.txt","FBpp0082766")</f>
        <v>FBpp0082766</v>
      </c>
      <c r="BW394" s="2" t="str">
        <f>HYPERLINK("http://flybase.org/reports/FBgn0038427#alliance_summary_container","0.0")</f>
        <v>0.0</v>
      </c>
      <c r="BX394" s="2">
        <v>1067</v>
      </c>
      <c r="BY394" s="2">
        <v>64</v>
      </c>
      <c r="BZ394" s="2">
        <v>75</v>
      </c>
      <c r="CA394" s="2">
        <v>104</v>
      </c>
      <c r="CB394" s="9" t="str">
        <f>HYPERLINK(".\links\CDD\AGAP002781-PA-CDD.txt","FPL, Uncharacterized conserved protein")</f>
        <v>FPL, Uncharacterized conserved protein</v>
      </c>
      <c r="CC394" s="15">
        <v>8E-70</v>
      </c>
      <c r="CD394" s="2">
        <v>101.4</v>
      </c>
      <c r="CE394" s="2" t="s">
        <v>4222</v>
      </c>
      <c r="CF394" s="2" t="s">
        <v>4223</v>
      </c>
      <c r="CG394" s="9" t="str">
        <f>HYPERLINK(".\links\KOG\AGAP002781-PA-KOG.txt","Uncharacterized conserved protein")</f>
        <v>Uncharacterized conserved protein</v>
      </c>
      <c r="CH394" s="15">
        <v>0</v>
      </c>
      <c r="CI394" s="2">
        <v>104.7</v>
      </c>
      <c r="CJ394" s="2" t="s">
        <v>4224</v>
      </c>
      <c r="CK394" s="2" t="s">
        <v>284</v>
      </c>
      <c r="CL394" s="9" t="str">
        <f>HYPERLINK(".\links\PFAM\AGAP002781-PA-PFAM.txt","FPL, Uncharacterized conserved protein")</f>
        <v>FPL, Uncharacterized conserved protein</v>
      </c>
      <c r="CM394" s="15">
        <v>2E-70</v>
      </c>
      <c r="CN394" s="2">
        <v>101.4</v>
      </c>
      <c r="CO394" s="2" t="s">
        <v>4222</v>
      </c>
      <c r="CP394" s="9" t="str">
        <f>HYPERLINK(".\links\SMART\AGAP002781-PA-SMART.txt","WHy, Water Stress and Hypersensitive response")</f>
        <v>WHy, Water Stress and Hypersensitive response</v>
      </c>
      <c r="CQ394" s="15">
        <v>0.32</v>
      </c>
      <c r="CR394" s="2">
        <v>29</v>
      </c>
      <c r="CS394" s="2" t="s">
        <v>4225</v>
      </c>
      <c r="CT394" s="2" t="s">
        <v>4219</v>
      </c>
      <c r="CU394" s="2" t="s">
        <v>4219</v>
      </c>
      <c r="CV394" s="2" t="s">
        <v>4219</v>
      </c>
      <c r="CW394" s="2" t="str">
        <f>HYPERLINK(".\links\pep\AGAP002781-PA-pep.txt","AGAP002781-PA")</f>
        <v>AGAP002781-PA</v>
      </c>
      <c r="CX394" s="2" t="s">
        <v>95</v>
      </c>
      <c r="CY394" s="2">
        <v>1102</v>
      </c>
      <c r="CZ394" s="2" t="s">
        <v>113</v>
      </c>
      <c r="DA394" s="2" t="s">
        <v>4226</v>
      </c>
      <c r="DB394" s="2">
        <v>0</v>
      </c>
      <c r="DC394" s="2">
        <v>2</v>
      </c>
      <c r="DD394" s="2" t="str">
        <f>HYPERLINK("https://www.kegg.jp/kegg-bin/search_pathway_text?map=aga&amp;keyword=AGAP002781&amp;mode=1&amp;viewImage=true","AGAP002781")</f>
        <v>AGAP002781</v>
      </c>
      <c r="DE394" s="2" t="s">
        <v>4218</v>
      </c>
      <c r="DF394" s="2" t="s">
        <v>93</v>
      </c>
      <c r="DG394" s="2" t="s">
        <v>94</v>
      </c>
      <c r="DH394" s="2" t="str">
        <f>HYPERLINK("https://vectorbase.org/vectorbase/app/record/gene/AGAP002781","AGAP002781-RA")</f>
        <v>AGAP002781-RA</v>
      </c>
      <c r="DI394" s="2" t="s">
        <v>115</v>
      </c>
      <c r="DJ394" s="2">
        <v>3638</v>
      </c>
      <c r="DK394" s="2" t="str">
        <f>HYPERLINK(".\links\netoglyc\AGAP002781-PA-netoglyc.txt","8")</f>
        <v>8</v>
      </c>
      <c r="DL394" s="2">
        <v>17</v>
      </c>
      <c r="DM394" s="2">
        <v>5.3</v>
      </c>
      <c r="DN394" s="2">
        <v>5.3</v>
      </c>
      <c r="DO394" s="2" t="s">
        <v>104</v>
      </c>
      <c r="DP394" s="2" t="s">
        <v>102</v>
      </c>
      <c r="DQ394" s="2" t="str">
        <f>HYPERLINK(".\links\Sigp\AGAP002781-PA-SigP.txt","CYT")</f>
        <v>CYT</v>
      </c>
      <c r="DR394" s="2" t="s">
        <v>102</v>
      </c>
      <c r="DS394" s="2">
        <v>122.44499999999999</v>
      </c>
      <c r="DT394" s="2">
        <v>7.14</v>
      </c>
      <c r="DU394" s="2" t="s">
        <v>102</v>
      </c>
      <c r="DV394" s="2" t="s">
        <v>102</v>
      </c>
      <c r="DW394" s="2" t="s">
        <v>4221</v>
      </c>
      <c r="DX394" s="2">
        <v>1102</v>
      </c>
      <c r="DY394" s="12">
        <v>0</v>
      </c>
      <c r="DZ394" s="2" t="s">
        <v>102</v>
      </c>
      <c r="EA394" s="2" t="s">
        <v>102</v>
      </c>
      <c r="EB394" s="2" t="s">
        <v>102</v>
      </c>
      <c r="EC394" s="2" t="str">
        <f>HYPERLINK(".\links\gpi\AGAP002781-PA-gpi.txt","N")</f>
        <v>N</v>
      </c>
      <c r="ED394" s="2">
        <v>0.23</v>
      </c>
      <c r="EF394" s="2">
        <v>13</v>
      </c>
      <c r="EG394" s="2" t="s">
        <v>102</v>
      </c>
      <c r="EH394" s="2" t="s">
        <v>102</v>
      </c>
      <c r="EI394" s="2">
        <v>16.969147005444601</v>
      </c>
      <c r="EJ394" s="2">
        <v>5.2631578947368398</v>
      </c>
      <c r="EK394" s="2">
        <v>5.2631578947368398</v>
      </c>
      <c r="EL394" s="2">
        <v>10.526315789473699</v>
      </c>
      <c r="EM394" s="2" t="s">
        <v>102</v>
      </c>
      <c r="EN394" s="2">
        <v>2</v>
      </c>
      <c r="EO394" s="2">
        <v>4</v>
      </c>
      <c r="EP394" s="2" t="s">
        <v>102</v>
      </c>
      <c r="EQ394" s="2" t="s">
        <v>102</v>
      </c>
      <c r="ER394" s="2" t="s">
        <v>102</v>
      </c>
      <c r="ES394" s="2" t="s">
        <v>102</v>
      </c>
      <c r="ET394" s="2" t="str">
        <f>HYPERLINK(".\links\REFSEQ-INVERTEBRATE\AGAP002781-PA-REFSEQ-INVERTEBRATE.txt","AGAP002781-PA")</f>
        <v>AGAP002781-PA</v>
      </c>
      <c r="EU394" s="2" t="str">
        <f>HYPERLINK("http://www.ncbi.nlm.nih.gov/sutils/blink.cgi?pid=XP_312142.5","0.0")</f>
        <v>0.0</v>
      </c>
      <c r="EV394" s="2" t="str">
        <f>HYPERLINK("http://www.ncbi.nlm.nih.gov/protein/XP_312142.5","XP_312142.5")</f>
        <v>XP_312142.5</v>
      </c>
      <c r="EW394" s="2">
        <v>97</v>
      </c>
      <c r="EX394" s="2">
        <v>97</v>
      </c>
      <c r="EY394" s="2">
        <v>102</v>
      </c>
      <c r="EZ394" s="2" t="s">
        <v>105</v>
      </c>
    </row>
    <row r="395" spans="1:156" x14ac:dyDescent="0.25">
      <c r="A395" s="2" t="s">
        <v>4227</v>
      </c>
      <c r="B395" s="2">
        <v>-0.32246485834402</v>
      </c>
      <c r="C395" s="2">
        <f t="shared" si="6"/>
        <v>0.79970241050213553</v>
      </c>
      <c r="D395" s="2">
        <v>6.7482689568463696</v>
      </c>
      <c r="E395" s="2">
        <v>11.4679355379575</v>
      </c>
      <c r="F395" s="2">
        <v>7.0807294634646595E-4</v>
      </c>
      <c r="G395" s="2">
        <v>2.8954601187736202E-2</v>
      </c>
      <c r="H395" s="2" t="s">
        <v>4228</v>
      </c>
      <c r="I395" s="2" t="s">
        <v>94</v>
      </c>
      <c r="J395" s="2" t="str">
        <f>HYPERLINK("https://vectorbase.org/vectorbase/app/record/gene/AGAP000826","AGAP000826-RA")</f>
        <v>AGAP000826-RA</v>
      </c>
      <c r="K395" s="2" t="str">
        <f>HYPERLINK(".\links\pep\AGAP000826-PA-pep.txt","AGAP000826-PA")</f>
        <v>AGAP000826-PA</v>
      </c>
      <c r="L395" s="12" t="s">
        <v>95</v>
      </c>
      <c r="M395" s="2">
        <v>855</v>
      </c>
      <c r="N395" s="2">
        <v>0</v>
      </c>
      <c r="O395" s="2">
        <v>5</v>
      </c>
      <c r="P395" s="2" t="s">
        <v>4229</v>
      </c>
      <c r="Q395" s="9" t="s">
        <v>4230</v>
      </c>
      <c r="R395" s="2" t="s">
        <v>420</v>
      </c>
      <c r="S395" s="2" t="str">
        <f>HYPERLINK(".\links\KOG\AGAP000826-PA-KOG.txt","KOG")</f>
        <v>KOG</v>
      </c>
      <c r="T395" s="2">
        <v>0</v>
      </c>
      <c r="U395" s="2">
        <v>100.3</v>
      </c>
      <c r="V395" s="2" t="s">
        <v>4231</v>
      </c>
      <c r="W395" s="10" t="s">
        <v>4232</v>
      </c>
      <c r="X395" s="2" t="s">
        <v>781</v>
      </c>
      <c r="Y395" s="2" t="str">
        <f>HYPERLINK(".\links\REFSEQ-VIRUS\AGAP000826-PA-REFSEQ-VIRUS.txt","REFSEQ-VIRUS")</f>
        <v>REFSEQ-VIRUS</v>
      </c>
      <c r="Z395" s="2">
        <v>0</v>
      </c>
      <c r="AA395" s="2">
        <v>89</v>
      </c>
      <c r="AB395" s="13" t="str">
        <f>HYPERLINK(".\links\pep\AGAP000826-PA-sulf.txt","2")</f>
        <v>2</v>
      </c>
      <c r="AC395" s="13" t="str">
        <f>HYPERLINK(".\links\Sigp\AGAP000826-PA-SigP.txt","CYT")</f>
        <v>CYT</v>
      </c>
      <c r="AD395" s="2" t="s">
        <v>102</v>
      </c>
      <c r="AE395" s="2">
        <v>96.927000000000007</v>
      </c>
      <c r="AF395" s="2">
        <v>8.0299999999999994</v>
      </c>
      <c r="AG395" s="2" t="s">
        <v>102</v>
      </c>
      <c r="AH395" s="2" t="s">
        <v>102</v>
      </c>
      <c r="AI395" s="2" t="s">
        <v>1621</v>
      </c>
      <c r="AJ395" s="13">
        <v>0</v>
      </c>
      <c r="AK395" s="2" t="s">
        <v>102</v>
      </c>
      <c r="AL395" s="2" t="s">
        <v>102</v>
      </c>
      <c r="AM395" s="2" t="s">
        <v>102</v>
      </c>
      <c r="AN395" s="13" t="str">
        <f>HYPERLINK(".\links\gpi\AGAP000826-PA-gpi.txt","N")</f>
        <v>N</v>
      </c>
      <c r="AO395" s="14" t="str">
        <f>HYPERLINK(".\links\netoglyc\AGAP000826-PA-netoglyc.txt","0")</f>
        <v>0</v>
      </c>
      <c r="AP395" s="13">
        <v>11</v>
      </c>
      <c r="AQ395" s="2">
        <v>7.3</v>
      </c>
      <c r="AR395" s="2">
        <v>4.8</v>
      </c>
      <c r="AS395" s="2" t="s">
        <v>104</v>
      </c>
      <c r="AT395" s="9" t="str">
        <f>HYPERLINK(".\links\NR-LIGHT\AGAP000826-PA-NR-LIGHT.txt","AGAP000826-PA")</f>
        <v>AGAP000826-PA</v>
      </c>
      <c r="AU395" s="2" t="str">
        <f>HYPERLINK("http://www.ncbi.nlm.nih.gov/sutils/blink.cgi?pid=XP_316791.5","0.0")</f>
        <v>0.0</v>
      </c>
      <c r="AV395" s="2" t="str">
        <f>HYPERLINK("http://www.ncbi.nlm.nih.gov/protein/XP_316791.5","XP_316791.5")</f>
        <v>XP_316791.5</v>
      </c>
      <c r="AW395" s="2">
        <v>100</v>
      </c>
      <c r="AX395" s="2">
        <v>100</v>
      </c>
      <c r="AY395" s="2">
        <v>100</v>
      </c>
      <c r="AZ395" s="2" t="s">
        <v>105</v>
      </c>
      <c r="BA395" s="9" t="str">
        <f>HYPERLINK(".\links\REFSEQ-INVERTEBRATE\AGAP000826-PA-REFSEQ-INVERTEBRATE.txt","AGAP000826-PA")</f>
        <v>AGAP000826-PA</v>
      </c>
      <c r="BB395" s="2" t="str">
        <f>HYPERLINK("http://www.ncbi.nlm.nih.gov/sutils/blink.cgi?pid=XP_316791.5","0.0")</f>
        <v>0.0</v>
      </c>
      <c r="BC395" s="2" t="str">
        <f>HYPERLINK("http://www.ncbi.nlm.nih.gov/protein/XP_316791.5","XP_316791.5")</f>
        <v>XP_316791.5</v>
      </c>
      <c r="BD395" s="2">
        <v>100</v>
      </c>
      <c r="BE395" s="2">
        <v>100</v>
      </c>
      <c r="BF395" s="2">
        <v>100</v>
      </c>
      <c r="BG395" s="2" t="s">
        <v>105</v>
      </c>
      <c r="BH395" s="9" t="str">
        <f>HYPERLINK(".\links\REFSEQ-PROTOZOA\AGAP000826-PA-REFSEQ-PROTOZOA.txt","hypothetical protein SARC_02289")</f>
        <v>hypothetical protein SARC_02289</v>
      </c>
      <c r="BI395" s="2" t="str">
        <f>HYPERLINK("http://www.ncbi.nlm.nih.gov/sutils/blink.cgi?pid=XP_014159430.1","6E-079")</f>
        <v>6E-079</v>
      </c>
      <c r="BJ395" s="2" t="str">
        <f>HYPERLINK("http://www.ncbi.nlm.nih.gov/protein/XP_014159430.1","XP_014159430.1")</f>
        <v>XP_014159430.1</v>
      </c>
      <c r="BK395" s="2">
        <v>37</v>
      </c>
      <c r="BL395" s="2">
        <v>53</v>
      </c>
      <c r="BM395" s="2">
        <v>25</v>
      </c>
      <c r="BN395" s="2" t="s">
        <v>393</v>
      </c>
      <c r="BO395" s="9" t="str">
        <f>HYPERLINK(".\links\SWISSP\AGAP000826-PA-SWISSP.txt","Cap-specific mRNA (nucleoside-2'-O-)-methyltransferase 1")</f>
        <v>Cap-specific mRNA (nucleoside-2'-O-)-methyltransferase 1</v>
      </c>
      <c r="BP395" s="2" t="str">
        <f>HYPERLINK("http://www.uniprot.org/uniprot/Q9W4N2","0.0")</f>
        <v>0.0</v>
      </c>
      <c r="BQ395" s="2" t="str">
        <f>HYPERLINK("http://www.uniprot.org/uniprot/Q9W4N2#expression","Q9W4N2")</f>
        <v>Q9W4N2</v>
      </c>
      <c r="BR395" s="2">
        <v>45</v>
      </c>
      <c r="BS395" s="2">
        <v>63</v>
      </c>
      <c r="BT395" s="2">
        <v>99</v>
      </c>
      <c r="BU395" s="2" t="s">
        <v>107</v>
      </c>
      <c r="BV395" s="9" t="str">
        <f>HYPERLINK(".\links\FLYBASE\AGAP000826-PA-FLYBASE.txt","FBpp0309962")</f>
        <v>FBpp0309962</v>
      </c>
      <c r="BW395" s="2" t="str">
        <f>HYPERLINK("http://flybase.org/reports/FBgn0029693#alliance_summary_container","0.0")</f>
        <v>0.0</v>
      </c>
      <c r="BX395" s="2">
        <v>788</v>
      </c>
      <c r="BY395" s="2">
        <v>45</v>
      </c>
      <c r="BZ395" s="2">
        <v>63</v>
      </c>
      <c r="CA395" s="2">
        <v>98</v>
      </c>
      <c r="CB395" s="9" t="str">
        <f>HYPERLINK(".\links\CDD\AGAP000826-PA-CDD.txt","FtsJ, FtsJ-like methyltransferase")</f>
        <v>FtsJ, FtsJ-like methyltransferase</v>
      </c>
      <c r="CC395" s="15">
        <v>8.9999999999999998E-33</v>
      </c>
      <c r="CD395" s="2">
        <v>119.1</v>
      </c>
      <c r="CE395" s="2" t="s">
        <v>4233</v>
      </c>
      <c r="CF395" s="2" t="s">
        <v>4234</v>
      </c>
      <c r="CG395" s="9" t="str">
        <f>HYPERLINK(".\links\KOG\AGAP000826-PA-KOG.txt","FtsJ-like RNA methyltransferase")</f>
        <v>FtsJ-like RNA methyltransferase</v>
      </c>
      <c r="CH395" s="15">
        <v>0</v>
      </c>
      <c r="CI395" s="2">
        <v>100.4</v>
      </c>
      <c r="CJ395" s="2" t="s">
        <v>4235</v>
      </c>
      <c r="CK395" s="2" t="s">
        <v>722</v>
      </c>
      <c r="CL395" s="9" t="str">
        <f>HYPERLINK(".\links\PFAM\AGAP000826-PA-PFAM.txt","FtsJ, FtsJ-like methyltransferase")</f>
        <v>FtsJ, FtsJ-like methyltransferase</v>
      </c>
      <c r="CM395" s="15">
        <v>2.0000000000000001E-33</v>
      </c>
      <c r="CN395" s="2">
        <v>119.1</v>
      </c>
      <c r="CO395" s="2" t="s">
        <v>4233</v>
      </c>
      <c r="CP395" s="9" t="str">
        <f>HYPERLINK(".\links\SMART\AGAP000826-PA-SMART.txt","G_patch, glycine rich nucleic binding domain")</f>
        <v>G_patch, glycine rich nucleic binding domain</v>
      </c>
      <c r="CQ395" s="15">
        <v>2.0000000000000001E-10</v>
      </c>
      <c r="CR395" s="2">
        <v>93.6</v>
      </c>
      <c r="CS395" s="2" t="s">
        <v>1337</v>
      </c>
      <c r="CT395" s="2" t="s">
        <v>4231</v>
      </c>
      <c r="CU395" s="2" t="s">
        <v>4231</v>
      </c>
      <c r="CV395" s="2" t="s">
        <v>4231</v>
      </c>
      <c r="CW395" s="2" t="str">
        <f>HYPERLINK(".\links\pep\AGAP000826-PA-pep.txt","AGAP000826-PA")</f>
        <v>AGAP000826-PA</v>
      </c>
      <c r="CX395" s="2" t="s">
        <v>95</v>
      </c>
      <c r="CY395" s="2">
        <v>855</v>
      </c>
      <c r="CZ395" s="2" t="s">
        <v>113</v>
      </c>
      <c r="DA395" s="2" t="s">
        <v>4236</v>
      </c>
      <c r="DB395" s="2">
        <v>0</v>
      </c>
      <c r="DC395" s="2">
        <v>5</v>
      </c>
      <c r="DD395" s="2" t="str">
        <f>HYPERLINK("https://www.kegg.jp/kegg-bin/search_pathway_text?map=aga&amp;keyword=AGAP000826&amp;mode=1&amp;viewImage=true","AGAP000826")</f>
        <v>AGAP000826</v>
      </c>
      <c r="DE395" s="2" t="s">
        <v>4227</v>
      </c>
      <c r="DF395" s="2" t="s">
        <v>4228</v>
      </c>
      <c r="DG395" s="2" t="s">
        <v>94</v>
      </c>
      <c r="DH395" s="2" t="str">
        <f>HYPERLINK("https://vectorbase.org/vectorbase/app/record/gene/AGAP000826","AGAP000826-RA")</f>
        <v>AGAP000826-RA</v>
      </c>
      <c r="DI395" s="2" t="s">
        <v>135</v>
      </c>
      <c r="DJ395" s="2">
        <v>3816</v>
      </c>
      <c r="DK395" s="2" t="str">
        <f>HYPERLINK(".\links\netoglyc\AGAP000826-PA-netoglyc.txt","0")</f>
        <v>0</v>
      </c>
      <c r="DL395" s="2">
        <v>11</v>
      </c>
      <c r="DM395" s="2">
        <v>7.3</v>
      </c>
      <c r="DN395" s="2">
        <v>4.8</v>
      </c>
      <c r="DO395" s="2" t="s">
        <v>104</v>
      </c>
      <c r="DP395" s="2" t="s">
        <v>4237</v>
      </c>
      <c r="DQ395" s="2" t="str">
        <f>HYPERLINK(".\links\Sigp\AGAP000826-PA-SigP.txt","CYT")</f>
        <v>CYT</v>
      </c>
      <c r="DR395" s="2" t="s">
        <v>102</v>
      </c>
      <c r="DS395" s="2">
        <v>96.927000000000007</v>
      </c>
      <c r="DT395" s="2">
        <v>8.0299999999999994</v>
      </c>
      <c r="DU395" s="2" t="s">
        <v>102</v>
      </c>
      <c r="DV395" s="2" t="s">
        <v>102</v>
      </c>
      <c r="DW395" s="2" t="s">
        <v>1621</v>
      </c>
      <c r="DX395" s="2">
        <v>855</v>
      </c>
      <c r="DY395" s="12">
        <v>0</v>
      </c>
      <c r="DZ395" s="2" t="s">
        <v>102</v>
      </c>
      <c r="EA395" s="2" t="s">
        <v>102</v>
      </c>
      <c r="EB395" s="2" t="s">
        <v>102</v>
      </c>
      <c r="EC395" s="2" t="str">
        <f>HYPERLINK(".\links\gpi\AGAP000826-PA-gpi.txt","N")</f>
        <v>N</v>
      </c>
      <c r="ED395" s="2">
        <v>0.12</v>
      </c>
      <c r="EF395" s="2">
        <v>14</v>
      </c>
      <c r="EG395" s="2" t="str">
        <f>HYPERLINK(".\links\pep\AGAP000826-PA-sulf.txt","2")</f>
        <v>2</v>
      </c>
      <c r="EH395" s="2" t="s">
        <v>102</v>
      </c>
      <c r="EI395" s="2">
        <v>10.994152046783601</v>
      </c>
      <c r="EJ395" s="2">
        <v>4.7953216374269001</v>
      </c>
      <c r="EK395" s="2">
        <v>7.2514619883040901</v>
      </c>
      <c r="EL395" s="2">
        <v>12.046783625731001</v>
      </c>
      <c r="EM395" s="2">
        <v>2</v>
      </c>
      <c r="EN395" s="2">
        <v>6</v>
      </c>
      <c r="EO395" s="2">
        <v>7</v>
      </c>
      <c r="EP395" s="2" t="s">
        <v>102</v>
      </c>
      <c r="EQ395" s="2" t="s">
        <v>102</v>
      </c>
      <c r="ER395" s="2" t="s">
        <v>102</v>
      </c>
      <c r="ES395" s="2" t="s">
        <v>102</v>
      </c>
      <c r="ET395" s="2" t="str">
        <f>HYPERLINK(".\links\REFSEQ-INVERTEBRATE\AGAP000826-PA-REFSEQ-INVERTEBRATE.txt","AGAP000826-PA")</f>
        <v>AGAP000826-PA</v>
      </c>
      <c r="EU395" s="2" t="str">
        <f>HYPERLINK("http://www.ncbi.nlm.nih.gov/sutils/blink.cgi?pid=XP_316791.5","0.0")</f>
        <v>0.0</v>
      </c>
      <c r="EV395" s="2" t="str">
        <f>HYPERLINK("http://www.ncbi.nlm.nih.gov/protein/XP_316791.5","XP_316791.5")</f>
        <v>XP_316791.5</v>
      </c>
      <c r="EW395" s="2">
        <v>100</v>
      </c>
      <c r="EX395" s="2">
        <v>100</v>
      </c>
      <c r="EY395" s="2">
        <v>100</v>
      </c>
      <c r="EZ395" s="2" t="s">
        <v>105</v>
      </c>
    </row>
    <row r="396" spans="1:156" x14ac:dyDescent="0.25">
      <c r="A396" s="2" t="s">
        <v>4238</v>
      </c>
      <c r="B396" s="2">
        <v>-0.32336454173283502</v>
      </c>
      <c r="C396" s="2">
        <f t="shared" si="6"/>
        <v>0.79920386114642095</v>
      </c>
      <c r="D396" s="2">
        <v>7.97642393491875</v>
      </c>
      <c r="E396" s="2">
        <v>12.3422611623939</v>
      </c>
      <c r="F396" s="2">
        <v>4.4281833341523801E-4</v>
      </c>
      <c r="G396" s="2">
        <v>2.41103573249015E-2</v>
      </c>
      <c r="H396" s="2" t="s">
        <v>93</v>
      </c>
      <c r="I396" s="2" t="s">
        <v>94</v>
      </c>
      <c r="J396" s="2" t="str">
        <f>HYPERLINK("https://vectorbase.org/vectorbase/app/record/gene/AGAP029510","AGAP029510-RB")</f>
        <v>AGAP029510-RB</v>
      </c>
      <c r="K396" s="2" t="str">
        <f>HYPERLINK(".\links\pep\AGAP029510-PB-pep.txt","AGAP029510-PB")</f>
        <v>AGAP029510-PB</v>
      </c>
      <c r="Q396" s="9"/>
      <c r="V396" s="2" t="s">
        <v>4239</v>
      </c>
      <c r="W396" s="10" t="s">
        <v>4240</v>
      </c>
      <c r="X396" s="2" t="s">
        <v>420</v>
      </c>
      <c r="Y396" s="2" t="str">
        <f>HYPERLINK(".\links\CDD\AGAP029510-PB-CDD.txt","CDD")</f>
        <v>CDD</v>
      </c>
      <c r="Z396" s="15">
        <v>6.0000000000000001E-23</v>
      </c>
      <c r="AA396" s="2">
        <v>97.2</v>
      </c>
      <c r="AB396" s="9"/>
      <c r="AC396" s="9"/>
      <c r="AJ396" s="9"/>
      <c r="AN396" s="9"/>
      <c r="AO396" s="11"/>
      <c r="AP396" s="9"/>
      <c r="AT396" s="9"/>
      <c r="BA396" s="9"/>
      <c r="BH396" s="9"/>
      <c r="BO396" s="9"/>
      <c r="BV396" s="9"/>
      <c r="CB396" s="9"/>
      <c r="CG396" s="9"/>
      <c r="CL396" s="9"/>
      <c r="CP396" s="9"/>
      <c r="CW396" s="2" t="str">
        <f>HYPERLINK(".\links\pep\AGAP029510-PB-pep.txt","AGAP029510-PB")</f>
        <v>AGAP029510-PB</v>
      </c>
      <c r="CX396" s="2" t="s">
        <v>95</v>
      </c>
      <c r="CY396" s="2">
        <v>2983</v>
      </c>
      <c r="CZ396" s="2" t="s">
        <v>113</v>
      </c>
      <c r="DA396" s="2" t="s">
        <v>4241</v>
      </c>
      <c r="DB396" s="2">
        <v>0</v>
      </c>
      <c r="DC396" s="2">
        <v>3</v>
      </c>
      <c r="DD396" s="2" t="str">
        <f>HYPERLINK("https://www.kegg.jp/kegg-bin/search_pathway_text?map=aga&amp;keyword=AGAP029510&amp;mode=1&amp;viewImage=true","AGAP029510")</f>
        <v>AGAP029510</v>
      </c>
      <c r="DE396" s="2" t="s">
        <v>4238</v>
      </c>
      <c r="DF396" s="2" t="s">
        <v>93</v>
      </c>
      <c r="DG396" s="2" t="s">
        <v>94</v>
      </c>
      <c r="DH396" s="2" t="str">
        <f>HYPERLINK("https://vectorbase.org/vectorbase/app/record/gene/AGAP029510","AGAP029510-RB")</f>
        <v>AGAP029510-RB</v>
      </c>
      <c r="DI396" s="2" t="s">
        <v>135</v>
      </c>
      <c r="DJ396" s="2">
        <v>15865</v>
      </c>
      <c r="DK396" s="2" t="str">
        <f>HYPERLINK(".\links\netoglyc\AGAP029510-PB-netoglyc.txt","47")</f>
        <v>47</v>
      </c>
      <c r="DL396" s="2">
        <v>22.4</v>
      </c>
      <c r="DM396" s="2">
        <v>9</v>
      </c>
      <c r="DN396" s="2">
        <v>8</v>
      </c>
      <c r="DO396" s="2" t="s">
        <v>104</v>
      </c>
      <c r="DP396" s="2" t="s">
        <v>4242</v>
      </c>
      <c r="DQ396" s="2" t="str">
        <f>HYPERLINK(".\links\Sigp\AGAP029510-PB-SigP.txt","CYT")</f>
        <v>CYT</v>
      </c>
      <c r="DR396" s="2" t="s">
        <v>102</v>
      </c>
      <c r="DS396" s="2">
        <v>312.392</v>
      </c>
      <c r="DT396" s="2">
        <v>7.01</v>
      </c>
      <c r="DU396" s="2" t="s">
        <v>102</v>
      </c>
      <c r="DV396" s="2" t="s">
        <v>102</v>
      </c>
      <c r="DW396" s="2" t="s">
        <v>124</v>
      </c>
      <c r="DX396" s="2">
        <v>2983</v>
      </c>
      <c r="DY396" s="12">
        <v>0</v>
      </c>
      <c r="DZ396" s="2" t="s">
        <v>102</v>
      </c>
      <c r="EA396" s="2" t="s">
        <v>102</v>
      </c>
      <c r="EB396" s="2" t="s">
        <v>102</v>
      </c>
      <c r="EC396" s="2" t="str">
        <f>HYPERLINK(".\links\gpi\AGAP029510-PB-gpi.txt","Y-NoSP")</f>
        <v>Y-NoSP</v>
      </c>
      <c r="ED396" s="2">
        <v>0.44</v>
      </c>
      <c r="EF396" s="2">
        <v>17</v>
      </c>
      <c r="EG396" s="2" t="str">
        <f>HYPERLINK(".\links\pep\AGAP029510-PB-sulf.txt","2")</f>
        <v>2</v>
      </c>
      <c r="EH396" s="2" t="s">
        <v>102</v>
      </c>
      <c r="EI396" s="2">
        <v>22.427086825343601</v>
      </c>
      <c r="EJ396" s="2">
        <v>7.9785450888367402</v>
      </c>
      <c r="EK396" s="2">
        <v>9.0177673483070695</v>
      </c>
      <c r="EL396" s="2">
        <v>16.9963124371438</v>
      </c>
      <c r="EM396" s="2">
        <v>6</v>
      </c>
      <c r="EN396" s="2">
        <v>3</v>
      </c>
      <c r="EO396" s="2">
        <v>4</v>
      </c>
      <c r="EP396" s="2" t="s">
        <v>102</v>
      </c>
      <c r="EQ396" s="2" t="s">
        <v>102</v>
      </c>
      <c r="ER396" s="2" t="s">
        <v>102</v>
      </c>
      <c r="ES396" s="2" t="s">
        <v>102</v>
      </c>
      <c r="ET396" s="2" t="str">
        <f>HYPERLINK(".\links\REFSEQ-INVERTEBRATE\AGAP029510-PB-REFSEQ-INVERTEBRATE.txt","uncharacterized protein LOC118508524 isoform X5")</f>
        <v>uncharacterized protein LOC118508524 isoform X5</v>
      </c>
      <c r="EU396" s="2" t="str">
        <f>HYPERLINK("http://www.ncbi.nlm.nih.gov/sutils/blink.cgi?pid=XP_035904285.1","0.0")</f>
        <v>0.0</v>
      </c>
      <c r="EV396" s="2" t="str">
        <f>HYPERLINK("http://www.ncbi.nlm.nih.gov/protein/XP_035904285.1","XP_035904285.1")</f>
        <v>XP_035904285.1</v>
      </c>
      <c r="EW396" s="2">
        <v>65</v>
      </c>
      <c r="EX396" s="2">
        <v>72</v>
      </c>
      <c r="EY396" s="2">
        <v>76</v>
      </c>
      <c r="EZ396" s="2" t="s">
        <v>370</v>
      </c>
    </row>
    <row r="397" spans="1:156" x14ac:dyDescent="0.25">
      <c r="A397" s="2" t="s">
        <v>4243</v>
      </c>
      <c r="B397" s="2">
        <v>-0.32440091956796602</v>
      </c>
      <c r="C397" s="2">
        <f t="shared" si="6"/>
        <v>0.79862994932609477</v>
      </c>
      <c r="D397" s="2">
        <v>7.3244272447057703</v>
      </c>
      <c r="E397" s="2">
        <v>10.1956101254067</v>
      </c>
      <c r="F397" s="2">
        <v>1.4077537532345701E-3</v>
      </c>
      <c r="G397" s="2">
        <v>3.7152645524746501E-2</v>
      </c>
      <c r="H397" s="2" t="s">
        <v>93</v>
      </c>
      <c r="I397" s="2" t="s">
        <v>94</v>
      </c>
      <c r="J397" s="2" t="str">
        <f>HYPERLINK("https://vectorbase.org/vectorbase/app/record/gene/AGAP006042","AGAP006042-RB")</f>
        <v>AGAP006042-RB</v>
      </c>
      <c r="K397" s="2" t="str">
        <f>HYPERLINK(".\links\pep\AGAP006042-PB-pep.txt","AGAP006042-PB")</f>
        <v>AGAP006042-PB</v>
      </c>
      <c r="L397" s="12" t="s">
        <v>95</v>
      </c>
      <c r="M397" s="2">
        <v>720</v>
      </c>
      <c r="N397" s="2">
        <v>0</v>
      </c>
      <c r="O397" s="2">
        <v>1</v>
      </c>
      <c r="P397" s="2" t="s">
        <v>102</v>
      </c>
      <c r="Q397" s="9" t="s">
        <v>4244</v>
      </c>
      <c r="R397" s="2" t="s">
        <v>196</v>
      </c>
      <c r="S397" s="2" t="str">
        <f>HYPERLINK(".\links\KOG\AGAP006042-PB-KOG.txt","KOG")</f>
        <v>KOG</v>
      </c>
      <c r="T397" s="2">
        <v>0</v>
      </c>
      <c r="U397" s="2">
        <v>100.7</v>
      </c>
      <c r="V397" s="2" t="s">
        <v>4245</v>
      </c>
      <c r="W397" s="10" t="s">
        <v>4246</v>
      </c>
      <c r="X397" s="2" t="s">
        <v>771</v>
      </c>
      <c r="Y397" s="2" t="str">
        <f>HYPERLINK(".\links\UNIPROTKB\AGAP006042-PB-UNIPROTKB.txt","UNIPROTKB")</f>
        <v>UNIPROTKB</v>
      </c>
      <c r="Z397" s="2">
        <v>0</v>
      </c>
      <c r="AA397" s="2">
        <v>83.1</v>
      </c>
      <c r="AB397" s="13" t="s">
        <v>102</v>
      </c>
      <c r="AC397" s="13" t="str">
        <f>HYPERLINK(".\links\Sigp\AGAP006042-PB-SigP.txt","CYT")</f>
        <v>CYT</v>
      </c>
      <c r="AD397" s="2" t="s">
        <v>102</v>
      </c>
      <c r="AE397" s="2">
        <v>77.242999999999995</v>
      </c>
      <c r="AF397" s="2">
        <v>5.77</v>
      </c>
      <c r="AG397" s="2" t="s">
        <v>102</v>
      </c>
      <c r="AH397" s="2" t="s">
        <v>102</v>
      </c>
      <c r="AI397" s="2" t="s">
        <v>211</v>
      </c>
      <c r="AJ397" s="13">
        <v>0</v>
      </c>
      <c r="AK397" s="2" t="s">
        <v>102</v>
      </c>
      <c r="AL397" s="2" t="s">
        <v>102</v>
      </c>
      <c r="AM397" s="2" t="s">
        <v>102</v>
      </c>
      <c r="AN397" s="13" t="str">
        <f>HYPERLINK(".\links\gpi\AGAP006042-PB-gpi.txt","N")</f>
        <v>N</v>
      </c>
      <c r="AO397" s="14" t="str">
        <f>HYPERLINK(".\links\netoglyc\AGAP006042-PB-netoglyc.txt","17")</f>
        <v>17</v>
      </c>
      <c r="AP397" s="13">
        <v>17.399999999999999</v>
      </c>
      <c r="AQ397" s="2">
        <v>11.5</v>
      </c>
      <c r="AR397" s="2">
        <v>4.5999999999999996</v>
      </c>
      <c r="AS397" s="2" t="s">
        <v>104</v>
      </c>
      <c r="AT397" s="9" t="str">
        <f>HYPERLINK(".\links\NR-LIGHT\AGAP006042-PB-NR-LIGHT.txt","AGAP006042-PB")</f>
        <v>AGAP006042-PB</v>
      </c>
      <c r="AU397" s="2" t="str">
        <f>HYPERLINK("http://www.ncbi.nlm.nih.gov/sutils/blink.cgi?pid=XP_316089.4","0.0")</f>
        <v>0.0</v>
      </c>
      <c r="AV397" s="2" t="str">
        <f>HYPERLINK("http://www.ncbi.nlm.nih.gov/protein/XP_316089.4","XP_316089.4")</f>
        <v>XP_316089.4</v>
      </c>
      <c r="AW397" s="2">
        <v>100</v>
      </c>
      <c r="AX397" s="2">
        <v>100</v>
      </c>
      <c r="AY397" s="2">
        <v>70</v>
      </c>
      <c r="AZ397" s="2" t="s">
        <v>105</v>
      </c>
      <c r="BA397" s="9" t="str">
        <f>HYPERLINK(".\links\REFSEQ-INVERTEBRATE\AGAP006042-PB-REFSEQ-INVERTEBRATE.txt","AGAP006042-PA")</f>
        <v>AGAP006042-PA</v>
      </c>
      <c r="BB397" s="2" t="str">
        <f>HYPERLINK("http://www.ncbi.nlm.nih.gov/sutils/blink.cgi?pid=XP_556722.2","0.0")</f>
        <v>0.0</v>
      </c>
      <c r="BC397" s="2" t="str">
        <f>HYPERLINK("http://www.ncbi.nlm.nih.gov/protein/XP_556722.2","XP_556722.2")</f>
        <v>XP_556722.2</v>
      </c>
      <c r="BD397" s="2">
        <v>100</v>
      </c>
      <c r="BE397" s="2">
        <v>100</v>
      </c>
      <c r="BF397" s="2">
        <v>70</v>
      </c>
      <c r="BG397" s="2" t="s">
        <v>105</v>
      </c>
      <c r="BH397" s="9" t="str">
        <f>HYPERLINK(".\links\REFSEQ-PROTOZOA\AGAP006042-PB-REFSEQ-PROTOZOA.txt","hypothetical protein ACA1_355860")</f>
        <v>hypothetical protein ACA1_355860</v>
      </c>
      <c r="BI397" s="2" t="str">
        <f>HYPERLINK("http://www.ncbi.nlm.nih.gov/sutils/blink.cgi?pid=XP_004345356.1","9E-099")</f>
        <v>9E-099</v>
      </c>
      <c r="BJ397" s="2" t="str">
        <f>HYPERLINK("http://www.ncbi.nlm.nih.gov/protein/XP_004345356.1","XP_004345356.1")</f>
        <v>XP_004345356.1</v>
      </c>
      <c r="BK397" s="2">
        <v>36</v>
      </c>
      <c r="BL397" s="2">
        <v>52</v>
      </c>
      <c r="BM397" s="2">
        <v>102</v>
      </c>
      <c r="BN397" s="2" t="s">
        <v>600</v>
      </c>
      <c r="BO397" s="9" t="str">
        <f>HYPERLINK(".\links\SWISSP\AGAP006042-PB-SWISSP.txt","WD repeat-containing protein 26 homolog")</f>
        <v>WD repeat-containing protein 26 homolog</v>
      </c>
      <c r="BP397" s="2" t="str">
        <f>HYPERLINK("http://www.uniprot.org/uniprot/Q7K0L4","0.0")</f>
        <v>0.0</v>
      </c>
      <c r="BQ397" s="2" t="str">
        <f>HYPERLINK("http://www.uniprot.org/uniprot/Q7K0L4#expression","Q7K0L4")</f>
        <v>Q7K0L4</v>
      </c>
      <c r="BR397" s="2">
        <v>59</v>
      </c>
      <c r="BS397" s="2">
        <v>77</v>
      </c>
      <c r="BT397" s="2">
        <v>95</v>
      </c>
      <c r="BU397" s="2" t="s">
        <v>107</v>
      </c>
      <c r="BV397" s="9" t="str">
        <f>HYPERLINK(".\links\FLYBASE\AGAP006042-PB-FLYBASE.txt","FBpp0290416")</f>
        <v>FBpp0290416</v>
      </c>
      <c r="BW397" s="2" t="str">
        <f>HYPERLINK("http://flybase.org/reports/FBgn0037094#alliance_summary_container","0.0")</f>
        <v>0.0</v>
      </c>
      <c r="BX397" s="2">
        <v>630</v>
      </c>
      <c r="BY397" s="2">
        <v>62</v>
      </c>
      <c r="BZ397" s="2">
        <v>79</v>
      </c>
      <c r="CA397" s="2">
        <v>88</v>
      </c>
      <c r="CB397" s="9" t="str">
        <f>HYPERLINK(".\links\CDD\AGAP006042-PB-CDD.txt","7WD40, WD40 repeats in seven bladed beta propellers")</f>
        <v>7WD40, WD40 repeats in seven bladed beta propellers</v>
      </c>
      <c r="CC397" s="15">
        <v>8.0000000000000004E-32</v>
      </c>
      <c r="CD397" s="2">
        <v>105.1</v>
      </c>
      <c r="CE397" s="2" t="s">
        <v>2248</v>
      </c>
      <c r="CF397" s="2" t="s">
        <v>4247</v>
      </c>
      <c r="CG397" s="9" t="str">
        <f>HYPERLINK(".\links\KOG\AGAP006042-PB-KOG.txt","WD40 repeat-containing protein")</f>
        <v>WD40 repeat-containing protein</v>
      </c>
      <c r="CH397" s="15">
        <v>9.9999999999999995E-145</v>
      </c>
      <c r="CI397" s="2">
        <v>100.8</v>
      </c>
      <c r="CJ397" s="2" t="s">
        <v>4248</v>
      </c>
      <c r="CK397" s="2" t="s">
        <v>284</v>
      </c>
      <c r="CL397" s="9" t="str">
        <f>HYPERLINK(".\links\PFAM\AGAP006042-PB-PFAM.txt","DUF1517, Protein of unknown function (DUF1517)")</f>
        <v>DUF1517, Protein of unknown function (DUF1517)</v>
      </c>
      <c r="CM397" s="15">
        <v>5.0000000000000004E-6</v>
      </c>
      <c r="CN397" s="2">
        <v>18.8</v>
      </c>
      <c r="CO397" s="2" t="s">
        <v>4249</v>
      </c>
      <c r="CP397" s="9" t="str">
        <f>HYPERLINK(".\links\SMART\AGAP006042-PB-SMART.txt","WD40, WD40 repeats")</f>
        <v>WD40, WD40 repeats</v>
      </c>
      <c r="CQ397" s="15">
        <v>4.9999999999999998E-8</v>
      </c>
      <c r="CR397" s="2">
        <v>100</v>
      </c>
      <c r="CS397" s="2" t="s">
        <v>1720</v>
      </c>
      <c r="CT397" s="2" t="s">
        <v>4245</v>
      </c>
      <c r="CU397" s="2" t="s">
        <v>4245</v>
      </c>
      <c r="CV397" s="2" t="s">
        <v>4245</v>
      </c>
      <c r="CW397" s="2" t="str">
        <f>HYPERLINK(".\links\pep\AGAP006042-PB-pep.txt","AGAP006042-PB")</f>
        <v>AGAP006042-PB</v>
      </c>
      <c r="CX397" s="2" t="s">
        <v>95</v>
      </c>
      <c r="CY397" s="2">
        <v>720</v>
      </c>
      <c r="CZ397" s="2" t="s">
        <v>113</v>
      </c>
      <c r="DA397" s="2" t="s">
        <v>4250</v>
      </c>
      <c r="DB397" s="2">
        <v>0</v>
      </c>
      <c r="DC397" s="2">
        <v>1</v>
      </c>
      <c r="DD397" s="2" t="str">
        <f>HYPERLINK("https://www.kegg.jp/kegg-bin/search_pathway_text?map=aga&amp;keyword=AGAP006042&amp;mode=1&amp;viewImage=true","AGAP006042")</f>
        <v>AGAP006042</v>
      </c>
      <c r="DE397" s="2" t="s">
        <v>4243</v>
      </c>
      <c r="DF397" s="2" t="s">
        <v>93</v>
      </c>
      <c r="DG397" s="2" t="s">
        <v>94</v>
      </c>
      <c r="DH397" s="2" t="str">
        <f>HYPERLINK("https://vectorbase.org/vectorbase/app/record/gene/AGAP006042","AGAP006042-RB")</f>
        <v>AGAP006042-RB</v>
      </c>
      <c r="DI397" s="2" t="s">
        <v>90</v>
      </c>
      <c r="DJ397" s="2">
        <v>5645</v>
      </c>
      <c r="DK397" s="2" t="str">
        <f>HYPERLINK(".\links\netoglyc\AGAP006042-PB-netoglyc.txt","17")</f>
        <v>17</v>
      </c>
      <c r="DL397" s="2">
        <v>17.399999999999999</v>
      </c>
      <c r="DM397" s="2">
        <v>11.5</v>
      </c>
      <c r="DN397" s="2">
        <v>4.5999999999999996</v>
      </c>
      <c r="DO397" s="2" t="s">
        <v>104</v>
      </c>
      <c r="DP397" s="2" t="s">
        <v>4251</v>
      </c>
      <c r="DQ397" s="2" t="str">
        <f>HYPERLINK(".\links\Sigp\AGAP006042-PB-SigP.txt","CYT")</f>
        <v>CYT</v>
      </c>
      <c r="DR397" s="2" t="s">
        <v>102</v>
      </c>
      <c r="DS397" s="2">
        <v>77.242999999999995</v>
      </c>
      <c r="DT397" s="2">
        <v>5.77</v>
      </c>
      <c r="DU397" s="2" t="s">
        <v>102</v>
      </c>
      <c r="DV397" s="2" t="s">
        <v>102</v>
      </c>
      <c r="DW397" s="2" t="s">
        <v>211</v>
      </c>
      <c r="DX397" s="2">
        <v>720</v>
      </c>
      <c r="DY397" s="12">
        <v>0</v>
      </c>
      <c r="DZ397" s="2" t="s">
        <v>102</v>
      </c>
      <c r="EA397" s="2" t="s">
        <v>102</v>
      </c>
      <c r="EB397" s="2" t="s">
        <v>102</v>
      </c>
      <c r="EC397" s="2" t="str">
        <f>HYPERLINK(".\links\gpi\AGAP006042-PB-gpi.txt","Y-NoSP")</f>
        <v>Y-NoSP</v>
      </c>
      <c r="ED397" s="2">
        <v>0.27</v>
      </c>
      <c r="EF397" s="2">
        <v>15</v>
      </c>
      <c r="EG397" s="2" t="s">
        <v>102</v>
      </c>
      <c r="EH397" s="2" t="s">
        <v>102</v>
      </c>
      <c r="EI397" s="2">
        <v>17.3611111111111</v>
      </c>
      <c r="EJ397" s="2">
        <v>4.5833333333333304</v>
      </c>
      <c r="EK397" s="2">
        <v>11.5277777777778</v>
      </c>
      <c r="EL397" s="2">
        <v>16.1111111111111</v>
      </c>
      <c r="EM397" s="2">
        <v>2</v>
      </c>
      <c r="EN397" s="2" t="s">
        <v>102</v>
      </c>
      <c r="EO397" s="2">
        <v>1</v>
      </c>
      <c r="EP397" s="2" t="s">
        <v>102</v>
      </c>
      <c r="EQ397" s="2" t="s">
        <v>102</v>
      </c>
      <c r="ER397" s="2" t="s">
        <v>102</v>
      </c>
      <c r="ES397" s="2" t="s">
        <v>102</v>
      </c>
      <c r="ET397" s="2" t="str">
        <f>HYPERLINK(".\links\REFSEQ-INVERTEBRATE\AGAP006042-PB-REFSEQ-INVERTEBRATE.txt","AGAP006042-PA")</f>
        <v>AGAP006042-PA</v>
      </c>
      <c r="EU397" s="2" t="str">
        <f>HYPERLINK("http://www.ncbi.nlm.nih.gov/sutils/blink.cgi?pid=XP_556722.2","0.0")</f>
        <v>0.0</v>
      </c>
      <c r="EV397" s="2" t="str">
        <f>HYPERLINK("http://www.ncbi.nlm.nih.gov/protein/XP_556722.2","XP_556722.2")</f>
        <v>XP_556722.2</v>
      </c>
      <c r="EW397" s="2">
        <v>100</v>
      </c>
      <c r="EX397" s="2">
        <v>100</v>
      </c>
      <c r="EY397" s="2">
        <v>70</v>
      </c>
      <c r="EZ397" s="2" t="s">
        <v>105</v>
      </c>
    </row>
    <row r="398" spans="1:156" x14ac:dyDescent="0.25">
      <c r="A398" s="2" t="s">
        <v>4252</v>
      </c>
      <c r="B398" s="2">
        <v>-0.32541403236865102</v>
      </c>
      <c r="C398" s="2">
        <f t="shared" si="6"/>
        <v>0.79806931927069968</v>
      </c>
      <c r="D398" s="2">
        <v>6.0447646725170197</v>
      </c>
      <c r="E398" s="2">
        <v>9.41277131551605</v>
      </c>
      <c r="F398" s="2">
        <v>2.1547930550817902E-3</v>
      </c>
      <c r="G398" s="2">
        <v>4.4841229173225597E-2</v>
      </c>
      <c r="H398" s="2" t="s">
        <v>93</v>
      </c>
      <c r="I398" s="2" t="s">
        <v>94</v>
      </c>
      <c r="J398" s="2" t="str">
        <f>HYPERLINK("https://vectorbase.org/vectorbase/app/record/gene/AGAP029649","AGAP029649-RA")</f>
        <v>AGAP029649-RA</v>
      </c>
      <c r="K398" s="2" t="str">
        <f>HYPERLINK(".\links\pep\AGAP029649-PA-pep.txt","AGAP029649-PA")</f>
        <v>AGAP029649-PA</v>
      </c>
      <c r="L398" s="12" t="s">
        <v>95</v>
      </c>
      <c r="M398" s="2">
        <v>2568</v>
      </c>
      <c r="N398" s="2">
        <v>0</v>
      </c>
      <c r="O398" s="2">
        <v>14</v>
      </c>
      <c r="P398" s="2" t="s">
        <v>102</v>
      </c>
      <c r="Q398" s="9" t="s">
        <v>4253</v>
      </c>
      <c r="R398" s="2" t="s">
        <v>196</v>
      </c>
      <c r="S398" s="2" t="str">
        <f>HYPERLINK(".\links\REFSEQ-INVERTEBRATE\AGAP029649-PA-REFSEQ-INVERTEBRATE.txt","REFSEQ-INVERTEBRATE")</f>
        <v>REFSEQ-INVERTEBRATE</v>
      </c>
      <c r="T398" s="2">
        <v>0</v>
      </c>
      <c r="U398" s="2">
        <v>99.7</v>
      </c>
      <c r="V398" s="2" t="s">
        <v>4254</v>
      </c>
      <c r="W398" s="10" t="s">
        <v>4255</v>
      </c>
      <c r="X398" s="2" t="s">
        <v>771</v>
      </c>
      <c r="Y398" s="2" t="str">
        <f>HYPERLINK(".\links\UNIPROTKB\AGAP029649-PA-UNIPROTKB.txt","UNIPROTKB")</f>
        <v>UNIPROTKB</v>
      </c>
      <c r="Z398" s="2">
        <v>0</v>
      </c>
      <c r="AA398" s="2">
        <v>104.1</v>
      </c>
      <c r="AB398" s="13" t="str">
        <f>HYPERLINK(".\links\pep\AGAP029649-PA-sulf.txt","6")</f>
        <v>6</v>
      </c>
      <c r="AC398" s="13" t="str">
        <f>HYPERLINK(".\links\Sigp\AGAP029649-PA-SigP.txt","CYT")</f>
        <v>CYT</v>
      </c>
      <c r="AD398" s="2" t="s">
        <v>102</v>
      </c>
      <c r="AE398" s="2">
        <v>288.01100000000002</v>
      </c>
      <c r="AF398" s="2">
        <v>6.12</v>
      </c>
      <c r="AG398" s="2" t="s">
        <v>102</v>
      </c>
      <c r="AH398" s="2" t="s">
        <v>102</v>
      </c>
      <c r="AI398" s="2" t="s">
        <v>4256</v>
      </c>
      <c r="AJ398" s="13">
        <v>0</v>
      </c>
      <c r="AK398" s="2" t="s">
        <v>102</v>
      </c>
      <c r="AL398" s="2" t="s">
        <v>102</v>
      </c>
      <c r="AM398" s="2" t="s">
        <v>102</v>
      </c>
      <c r="AN398" s="9" t="str">
        <f>HYPERLINK(".\links\gpi\AGAP029649-PA-gpi.txt","N")</f>
        <v>N</v>
      </c>
      <c r="AO398" s="14" t="str">
        <f>HYPERLINK(".\links\netoglyc\AGAP029649-PA-netoglyc.txt","4")</f>
        <v>4</v>
      </c>
      <c r="AP398" s="13">
        <v>11.8</v>
      </c>
      <c r="AQ398" s="2">
        <v>4.4000000000000004</v>
      </c>
      <c r="AR398" s="2">
        <v>5.4</v>
      </c>
      <c r="AS398" s="2">
        <v>0.2</v>
      </c>
      <c r="AT398" s="9" t="str">
        <f>HYPERLINK(".\links\NR-LIGHT\AGAP029649-PA-NR-LIGHT.txt","AGAP000020-PA")</f>
        <v>AGAP000020-PA</v>
      </c>
      <c r="AU398" s="2" t="str">
        <f>HYPERLINK("http://www.ncbi.nlm.nih.gov/sutils/blink.cgi?pid=XP_566411.4","0.0")</f>
        <v>0.0</v>
      </c>
      <c r="AV398" s="2" t="str">
        <f>HYPERLINK("http://www.ncbi.nlm.nih.gov/protein/XP_566411.4","XP_566411.4")</f>
        <v>XP_566411.4</v>
      </c>
      <c r="AW398" s="2">
        <v>99</v>
      </c>
      <c r="AX398" s="2">
        <v>99</v>
      </c>
      <c r="AY398" s="2">
        <v>100</v>
      </c>
      <c r="AZ398" s="2" t="s">
        <v>105</v>
      </c>
      <c r="BA398" s="9" t="str">
        <f>HYPERLINK(".\links\REFSEQ-INVERTEBRATE\AGAP029649-PA-REFSEQ-INVERTEBRATE.txt","AGAP000020-PA")</f>
        <v>AGAP000020-PA</v>
      </c>
      <c r="BB398" s="2" t="str">
        <f>HYPERLINK("http://www.ncbi.nlm.nih.gov/sutils/blink.cgi?pid=XP_566411.4","0.0")</f>
        <v>0.0</v>
      </c>
      <c r="BC398" s="2" t="str">
        <f>HYPERLINK("http://www.ncbi.nlm.nih.gov/protein/XP_566411.4","XP_566411.4")</f>
        <v>XP_566411.4</v>
      </c>
      <c r="BD398" s="2">
        <v>99</v>
      </c>
      <c r="BE398" s="2">
        <v>99</v>
      </c>
      <c r="BF398" s="2">
        <v>100</v>
      </c>
      <c r="BG398" s="2" t="s">
        <v>105</v>
      </c>
      <c r="BH398" s="9" t="str">
        <f>HYPERLINK(".\links\REFSEQ-PROTOZOA\AGAP029649-PA-REFSEQ-PROTOZOA.txt","hypothetical protein PTSG_01253")</f>
        <v>hypothetical protein PTSG_01253</v>
      </c>
      <c r="BI398" s="2" t="str">
        <f>HYPERLINK("http://www.ncbi.nlm.nih.gov/sutils/blink.cgi?pid=XP_004997224.1","4E-009")</f>
        <v>4E-009</v>
      </c>
      <c r="BJ398" s="2" t="str">
        <f>HYPERLINK("http://www.ncbi.nlm.nih.gov/protein/XP_004997224.1","XP_004997224.1")</f>
        <v>XP_004997224.1</v>
      </c>
      <c r="BK398" s="2">
        <v>18</v>
      </c>
      <c r="BL398" s="2">
        <v>36</v>
      </c>
      <c r="BM398" s="2">
        <v>39</v>
      </c>
      <c r="BN398" s="2" t="s">
        <v>435</v>
      </c>
      <c r="BO398" s="9" t="str">
        <f>HYPERLINK(".\links\SWISSP\AGAP029649-PA-SWISSP.txt","Ectopic P granules protein 5 homolog")</f>
        <v>Ectopic P granules protein 5 homolog</v>
      </c>
      <c r="BP398" s="2" t="str">
        <f>HYPERLINK("http://www.uniprot.org/uniprot/Q0IEK6","1E-144")</f>
        <v>1E-144</v>
      </c>
      <c r="BQ398" s="2" t="str">
        <f>HYPERLINK("http://www.uniprot.org/uniprot/Q0IEK6#expression","Q0IEK6")</f>
        <v>Q0IEK6</v>
      </c>
      <c r="BR398" s="2">
        <v>24</v>
      </c>
      <c r="BS398" s="2">
        <v>42</v>
      </c>
      <c r="BT398" s="2">
        <v>104</v>
      </c>
      <c r="BU398" s="2" t="s">
        <v>391</v>
      </c>
      <c r="BV398" s="9" t="str">
        <f>HYPERLINK(".\links\FLYBASE\AGAP029649-PA-FLYBASE.txt","FBpp0293588")</f>
        <v>FBpp0293588</v>
      </c>
      <c r="BW398" s="2" t="str">
        <f>HYPERLINK("http://flybase.org/reports/FBgn0038651#alliance_summary_container","6E-76")</f>
        <v>6E-76</v>
      </c>
      <c r="BX398" s="2">
        <v>2454</v>
      </c>
      <c r="BY398" s="2">
        <v>24</v>
      </c>
      <c r="BZ398" s="2">
        <v>42</v>
      </c>
      <c r="CA398" s="2">
        <v>51</v>
      </c>
      <c r="CB398" s="9" t="str">
        <f>HYPERLINK(".\links\CDD\AGAP029649-PA-CDD.txt","rne, ribonuclease E")</f>
        <v>rne, ribonuclease E</v>
      </c>
      <c r="CC398" s="15">
        <v>4.5999999999999999E-2</v>
      </c>
      <c r="CD398" s="2">
        <v>8.6</v>
      </c>
      <c r="CE398" s="2" t="s">
        <v>4257</v>
      </c>
      <c r="CF398" s="2" t="s">
        <v>4258</v>
      </c>
      <c r="CG398" s="9" t="str">
        <f>HYPERLINK(".\links\KOG\AGAP029649-PA-KOG.txt","Uncharacterized conserved protein")</f>
        <v>Uncharacterized conserved protein</v>
      </c>
      <c r="CH398" s="15">
        <v>6.0000000000000003E-70</v>
      </c>
      <c r="CI398" s="2">
        <v>69.5</v>
      </c>
      <c r="CJ398" s="2" t="s">
        <v>4259</v>
      </c>
      <c r="CK398" s="2" t="s">
        <v>284</v>
      </c>
      <c r="CL398" s="9" t="str">
        <f>HYPERLINK(".\links\PFAM\AGAP029649-PA-PFAM.txt","BASP1, Brain acid soluble protein 1 (BASP1 protein)")</f>
        <v>BASP1, Brain acid soluble protein 1 (BASP1 protein)</v>
      </c>
      <c r="CM398" s="15">
        <v>0.06</v>
      </c>
      <c r="CN398" s="2">
        <v>52.9</v>
      </c>
      <c r="CO398" s="2" t="s">
        <v>4260</v>
      </c>
      <c r="CP398" s="9" t="str">
        <f>HYPERLINK(".\links\SMART\AGAP029649-PA-SMART.txt","TarH, Homologues of the ligand binding domain of Tar")</f>
        <v>TarH, Homologues of the ligand binding domain of Tar</v>
      </c>
      <c r="CQ398" s="15">
        <v>0.2</v>
      </c>
      <c r="CR398" s="2">
        <v>80.7</v>
      </c>
      <c r="CS398" s="2" t="s">
        <v>4261</v>
      </c>
      <c r="CT398" s="2" t="s">
        <v>4254</v>
      </c>
      <c r="CU398" s="2" t="s">
        <v>4254</v>
      </c>
      <c r="CV398" s="2" t="s">
        <v>4254</v>
      </c>
      <c r="CW398" s="2" t="str">
        <f>HYPERLINK(".\links\pep\AGAP029649-PA-pep.txt","AGAP029649-PA")</f>
        <v>AGAP029649-PA</v>
      </c>
      <c r="CX398" s="2" t="s">
        <v>95</v>
      </c>
      <c r="CY398" s="2">
        <v>2568</v>
      </c>
      <c r="CZ398" s="2" t="s">
        <v>113</v>
      </c>
      <c r="DA398" s="2" t="s">
        <v>4262</v>
      </c>
      <c r="DB398" s="2">
        <v>0</v>
      </c>
      <c r="DC398" s="2">
        <v>14</v>
      </c>
      <c r="DD398" s="2" t="str">
        <f>HYPERLINK("https://www.kegg.jp/kegg-bin/search_pathway_text?map=aga&amp;keyword=AGAP029649&amp;mode=1&amp;viewImage=true","AGAP029649")</f>
        <v>AGAP029649</v>
      </c>
      <c r="DE398" s="2" t="s">
        <v>4252</v>
      </c>
      <c r="DF398" s="2" t="s">
        <v>93</v>
      </c>
      <c r="DG398" s="2" t="s">
        <v>94</v>
      </c>
      <c r="DH398" s="2" t="str">
        <f>HYPERLINK("https://vectorbase.org/vectorbase/app/record/gene/AGAP029649","AGAP029649-RA")</f>
        <v>AGAP029649-RA</v>
      </c>
      <c r="DI398" s="2" t="s">
        <v>118</v>
      </c>
      <c r="DJ398" s="2">
        <v>8865</v>
      </c>
      <c r="DK398" s="2" t="str">
        <f>HYPERLINK(".\links\netoglyc\AGAP029649-PA-netoglyc.txt","4")</f>
        <v>4</v>
      </c>
      <c r="DL398" s="2">
        <v>11.8</v>
      </c>
      <c r="DM398" s="2">
        <v>4.4000000000000004</v>
      </c>
      <c r="DN398" s="2">
        <v>5.4</v>
      </c>
      <c r="DO398" s="2">
        <v>0.2</v>
      </c>
      <c r="DP398" s="2" t="s">
        <v>102</v>
      </c>
      <c r="DQ398" s="2" t="str">
        <f>HYPERLINK(".\links\Sigp\AGAP029649-PA-SigP.txt","CYT")</f>
        <v>CYT</v>
      </c>
      <c r="DR398" s="2" t="s">
        <v>102</v>
      </c>
      <c r="DS398" s="2">
        <v>288.01100000000002</v>
      </c>
      <c r="DT398" s="2">
        <v>6.12</v>
      </c>
      <c r="DU398" s="2" t="s">
        <v>102</v>
      </c>
      <c r="DV398" s="2" t="s">
        <v>102</v>
      </c>
      <c r="DW398" s="2" t="s">
        <v>4256</v>
      </c>
      <c r="DX398" s="2">
        <v>2568</v>
      </c>
      <c r="DY398" s="12">
        <v>0</v>
      </c>
      <c r="DZ398" s="2" t="s">
        <v>102</v>
      </c>
      <c r="EA398" s="2" t="s">
        <v>102</v>
      </c>
      <c r="EB398" s="2" t="s">
        <v>102</v>
      </c>
      <c r="EC398" s="2" t="str">
        <f>HYPERLINK(".\links\gpi\AGAP029649-PA-gpi.txt","N")</f>
        <v>N</v>
      </c>
      <c r="ED398" s="2">
        <v>0.22</v>
      </c>
      <c r="EF398" s="2">
        <v>53</v>
      </c>
      <c r="EG398" s="2" t="str">
        <f>HYPERLINK(".\links\pep\AGAP029649-PA-sulf.txt","6")</f>
        <v>6</v>
      </c>
      <c r="EH398" s="2" t="s">
        <v>102</v>
      </c>
      <c r="EI398" s="2">
        <v>11.7601246105919</v>
      </c>
      <c r="EJ398" s="2">
        <v>5.4127725856697797</v>
      </c>
      <c r="EK398" s="2">
        <v>4.4003115264797499</v>
      </c>
      <c r="EL398" s="2">
        <v>9.8130841121495305</v>
      </c>
      <c r="EM398" s="2">
        <v>1</v>
      </c>
      <c r="EN398" s="2">
        <v>2</v>
      </c>
      <c r="EO398" s="2">
        <v>6</v>
      </c>
      <c r="EP398" s="2" t="s">
        <v>102</v>
      </c>
      <c r="EQ398" s="2" t="s">
        <v>102</v>
      </c>
      <c r="ER398" s="2" t="s">
        <v>102</v>
      </c>
      <c r="ES398" s="2" t="s">
        <v>102</v>
      </c>
      <c r="ET398" s="2" t="str">
        <f>HYPERLINK(".\links\REFSEQ-INVERTEBRATE\AGAP029649-PA-REFSEQ-INVERTEBRATE.txt","AGAP000020-PA")</f>
        <v>AGAP000020-PA</v>
      </c>
      <c r="EU398" s="2" t="str">
        <f>HYPERLINK("http://www.ncbi.nlm.nih.gov/sutils/blink.cgi?pid=XP_566411.4","0.0")</f>
        <v>0.0</v>
      </c>
      <c r="EV398" s="2" t="str">
        <f>HYPERLINK("http://www.ncbi.nlm.nih.gov/protein/XP_566411.4","XP_566411.4")</f>
        <v>XP_566411.4</v>
      </c>
      <c r="EW398" s="2">
        <v>99</v>
      </c>
      <c r="EX398" s="2">
        <v>99</v>
      </c>
      <c r="EY398" s="2">
        <v>100</v>
      </c>
      <c r="EZ398" s="2" t="s">
        <v>105</v>
      </c>
    </row>
    <row r="399" spans="1:156" x14ac:dyDescent="0.25">
      <c r="A399" s="2" t="s">
        <v>4263</v>
      </c>
      <c r="B399" s="2">
        <v>-0.32547727266429899</v>
      </c>
      <c r="C399" s="2">
        <f t="shared" si="6"/>
        <v>0.79803433680239622</v>
      </c>
      <c r="D399" s="2">
        <v>6.2693053156793397</v>
      </c>
      <c r="E399" s="2">
        <v>9.4498284432384203</v>
      </c>
      <c r="F399" s="2">
        <v>2.1116885130700999E-3</v>
      </c>
      <c r="G399" s="2">
        <v>4.4498173263083501E-2</v>
      </c>
      <c r="H399" s="2" t="s">
        <v>93</v>
      </c>
      <c r="I399" s="2" t="s">
        <v>94</v>
      </c>
      <c r="J399" s="2" t="str">
        <f>HYPERLINK("https://vectorbase.org/vectorbase/app/record/gene/AGAP001916","AGAP001916-RA")</f>
        <v>AGAP001916-RA</v>
      </c>
      <c r="K399" s="2" t="str">
        <f>HYPERLINK(".\links\pep\AGAP001916-PA-pep.txt","AGAP001916-PA")</f>
        <v>AGAP001916-PA</v>
      </c>
      <c r="L399" s="12" t="s">
        <v>95</v>
      </c>
      <c r="M399" s="2">
        <v>1324</v>
      </c>
      <c r="N399" s="2">
        <v>0</v>
      </c>
      <c r="O399" s="2">
        <v>2</v>
      </c>
      <c r="P399" s="2" t="s">
        <v>102</v>
      </c>
      <c r="Q399" s="9" t="s">
        <v>4264</v>
      </c>
      <c r="R399" s="2" t="s">
        <v>355</v>
      </c>
      <c r="S399" s="2" t="str">
        <f>HYPERLINK(".\links\KOG\AGAP001916-PA-KOG.txt","KOG")</f>
        <v>KOG</v>
      </c>
      <c r="T399" s="2">
        <v>2.0000000000000001E-32</v>
      </c>
      <c r="U399" s="2">
        <v>65.599999999999994</v>
      </c>
      <c r="V399" s="2" t="s">
        <v>4265</v>
      </c>
      <c r="W399" s="10" t="s">
        <v>4266</v>
      </c>
      <c r="X399" s="2" t="s">
        <v>358</v>
      </c>
      <c r="Y399" s="2" t="str">
        <f>HYPERLINK(".\links\SMART\AGAP001916-PA-SMART.txt","SMART")</f>
        <v>SMART</v>
      </c>
      <c r="Z399" s="15">
        <v>2.0000000000000001E-32</v>
      </c>
      <c r="AA399" s="2">
        <v>107.9</v>
      </c>
      <c r="AB399" s="13" t="s">
        <v>102</v>
      </c>
      <c r="AC399" s="13" t="str">
        <f>HYPERLINK(".\links\Sigp\AGAP001916-PA-SigP.txt","CYT")</f>
        <v>CYT</v>
      </c>
      <c r="AD399" s="2" t="s">
        <v>102</v>
      </c>
      <c r="AE399" s="2">
        <v>146.43899999999999</v>
      </c>
      <c r="AF399" s="2">
        <v>9.24</v>
      </c>
      <c r="AG399" s="2" t="s">
        <v>102</v>
      </c>
      <c r="AH399" s="2" t="s">
        <v>102</v>
      </c>
      <c r="AI399" s="2" t="s">
        <v>4267</v>
      </c>
      <c r="AJ399" s="13">
        <v>0</v>
      </c>
      <c r="AK399" s="2" t="s">
        <v>102</v>
      </c>
      <c r="AL399" s="2" t="s">
        <v>102</v>
      </c>
      <c r="AM399" s="2" t="s">
        <v>102</v>
      </c>
      <c r="AN399" s="13" t="str">
        <f>HYPERLINK(".\links\gpi\AGAP001916-PA-gpi.txt","N")</f>
        <v>N</v>
      </c>
      <c r="AO399" s="14" t="str">
        <f>HYPERLINK(".\links\netoglyc\AGAP001916-PA-netoglyc.txt","8")</f>
        <v>8</v>
      </c>
      <c r="AP399" s="13">
        <v>12.4</v>
      </c>
      <c r="AQ399" s="2">
        <v>6.3</v>
      </c>
      <c r="AR399" s="2">
        <v>9.1</v>
      </c>
      <c r="AS399" s="2">
        <v>0.2</v>
      </c>
      <c r="AT399" s="9" t="str">
        <f>HYPERLINK(".\links\NR-LIGHT\AGAP001916-PA-NR-LIGHT.txt","AGAP001916-PA")</f>
        <v>AGAP001916-PA</v>
      </c>
      <c r="AU399" s="2" t="str">
        <f>HYPERLINK("http://www.ncbi.nlm.nih.gov/sutils/blink.cgi?pid=XP_321148.5","0.0")</f>
        <v>0.0</v>
      </c>
      <c r="AV399" s="2" t="str">
        <f>HYPERLINK("http://www.ncbi.nlm.nih.gov/protein/XP_321148.5","XP_321148.5")</f>
        <v>XP_321148.5</v>
      </c>
      <c r="AW399" s="2">
        <v>95</v>
      </c>
      <c r="AX399" s="2">
        <v>95</v>
      </c>
      <c r="AY399" s="2">
        <v>69</v>
      </c>
      <c r="AZ399" s="2" t="s">
        <v>105</v>
      </c>
      <c r="BA399" s="9" t="str">
        <f>HYPERLINK(".\links\REFSEQ-INVERTEBRATE\AGAP001916-PA-REFSEQ-INVERTEBRATE.txt","AGAP001916-PA")</f>
        <v>AGAP001916-PA</v>
      </c>
      <c r="BB399" s="2" t="str">
        <f>HYPERLINK("http://www.ncbi.nlm.nih.gov/sutils/blink.cgi?pid=XP_321148.5","0.0")</f>
        <v>0.0</v>
      </c>
      <c r="BC399" s="2" t="str">
        <f>HYPERLINK("http://www.ncbi.nlm.nih.gov/protein/XP_321148.5","XP_321148.5")</f>
        <v>XP_321148.5</v>
      </c>
      <c r="BD399" s="2">
        <v>95</v>
      </c>
      <c r="BE399" s="2">
        <v>95</v>
      </c>
      <c r="BF399" s="2">
        <v>69</v>
      </c>
      <c r="BG399" s="2" t="s">
        <v>105</v>
      </c>
      <c r="BH399" s="9" t="str">
        <f>HYPERLINK(".\links\REFSEQ-PROTOZOA\AGAP001916-PA-REFSEQ-PROTOZOA.txt","hypothetical protein CAOG_07583")</f>
        <v>hypothetical protein CAOG_07583</v>
      </c>
      <c r="BI399" s="2" t="str">
        <f>HYPERLINK("http://www.ncbi.nlm.nih.gov/sutils/blink.cgi?pid=XP_004343457.2","1E-066")</f>
        <v>1E-066</v>
      </c>
      <c r="BJ399" s="2" t="str">
        <f>HYPERLINK("http://www.ncbi.nlm.nih.gov/protein/XP_004343457.2","XP_004343457.2")</f>
        <v>XP_004343457.2</v>
      </c>
      <c r="BK399" s="2">
        <v>26</v>
      </c>
      <c r="BL399" s="2">
        <v>41</v>
      </c>
      <c r="BM399" s="2">
        <v>80</v>
      </c>
      <c r="BN399" s="2" t="s">
        <v>106</v>
      </c>
      <c r="BO399" s="9" t="str">
        <f>HYPERLINK(".\links\SWISSP\AGAP001916-PA-SWISSP.txt","Inverted formin-2")</f>
        <v>Inverted formin-2</v>
      </c>
      <c r="BP399" s="2" t="str">
        <f>HYPERLINK("http://www.uniprot.org/uniprot/Q0IHV1","1E-118")</f>
        <v>1E-118</v>
      </c>
      <c r="BQ399" s="2" t="str">
        <f>HYPERLINK("http://www.uniprot.org/uniprot/Q0IHV1#expression","Q0IHV1")</f>
        <v>Q0IHV1</v>
      </c>
      <c r="BR399" s="2">
        <v>30</v>
      </c>
      <c r="BS399" s="2">
        <v>48</v>
      </c>
      <c r="BT399" s="2">
        <v>68</v>
      </c>
      <c r="BU399" s="2" t="s">
        <v>459</v>
      </c>
      <c r="BV399" s="9" t="str">
        <f>HYPERLINK(".\links\FLYBASE\AGAP001916-PA-FLYBASE.txt","FBpp0099826")</f>
        <v>FBpp0099826</v>
      </c>
      <c r="BW399" s="2" t="str">
        <f>HYPERLINK("http://flybase.org/reports/FBgn0053556#alliance_summary_container","0.0")</f>
        <v>0.0</v>
      </c>
      <c r="BX399" s="2">
        <v>1644</v>
      </c>
      <c r="BY399" s="2">
        <v>58</v>
      </c>
      <c r="BZ399" s="2">
        <v>71</v>
      </c>
      <c r="CA399" s="2">
        <v>53</v>
      </c>
      <c r="CB399" s="9" t="str">
        <f>HYPERLINK(".\links\CDD\AGAP001916-PA-CDD.txt","FH2, Formin Homology 2 Domain")</f>
        <v>FH2, Formin Homology 2 Domain</v>
      </c>
      <c r="CC399" s="15">
        <v>3.9999999999999999E-72</v>
      </c>
      <c r="CD399" s="2">
        <v>107.3</v>
      </c>
      <c r="CE399" s="2" t="s">
        <v>4268</v>
      </c>
      <c r="CF399" s="2" t="s">
        <v>4269</v>
      </c>
      <c r="CG399" s="9" t="str">
        <f>HYPERLINK(".\links\KOG\AGAP001916-PA-KOG.txt","RhoA GTPase effector DIA/Diaphanous")</f>
        <v>RhoA GTPase effector DIA/Diaphanous</v>
      </c>
      <c r="CH399" s="15">
        <v>7.9999999999999997E-81</v>
      </c>
      <c r="CI399" s="2">
        <v>76.900000000000006</v>
      </c>
      <c r="CJ399" s="2" t="s">
        <v>4270</v>
      </c>
      <c r="CK399" s="2" t="s">
        <v>2859</v>
      </c>
      <c r="CL399" s="9" t="str">
        <f>HYPERLINK(".\links\PFAM\AGAP001916-PA-PFAM.txt","FH2, Formin Homology 2 Domain")</f>
        <v>FH2, Formin Homology 2 Domain</v>
      </c>
      <c r="CM399" s="15">
        <v>6.9999999999999995E-73</v>
      </c>
      <c r="CN399" s="2">
        <v>107.3</v>
      </c>
      <c r="CO399" s="2" t="s">
        <v>4268</v>
      </c>
      <c r="CP399" s="9" t="str">
        <f>HYPERLINK(".\links\SMART\AGAP001916-PA-SMART.txt","vertebrate formins have been assigned functions within the nucleus")</f>
        <v>vertebrate formins have been assigned functions within the nucleus</v>
      </c>
      <c r="CQ399" s="15">
        <v>2E-50</v>
      </c>
      <c r="CR399" s="2">
        <v>108.9</v>
      </c>
      <c r="CS399" s="2" t="s">
        <v>465</v>
      </c>
      <c r="CT399" s="2" t="s">
        <v>4265</v>
      </c>
      <c r="CU399" s="2" t="s">
        <v>4265</v>
      </c>
      <c r="CV399" s="2" t="s">
        <v>4265</v>
      </c>
      <c r="CW399" s="2" t="str">
        <f>HYPERLINK(".\links\pep\AGAP001916-PA-pep.txt","AGAP001916-PA")</f>
        <v>AGAP001916-PA</v>
      </c>
      <c r="CX399" s="2" t="s">
        <v>95</v>
      </c>
      <c r="CY399" s="2">
        <v>1324</v>
      </c>
      <c r="CZ399" s="2" t="s">
        <v>113</v>
      </c>
      <c r="DA399" s="2" t="s">
        <v>4271</v>
      </c>
      <c r="DB399" s="2">
        <v>0</v>
      </c>
      <c r="DC399" s="2">
        <v>2</v>
      </c>
      <c r="DD399" s="2" t="str">
        <f>HYPERLINK("https://www.kegg.jp/kegg-bin/search_pathway_text?map=aga&amp;keyword=AGAP001916&amp;mode=1&amp;viewImage=true","AGAP001916")</f>
        <v>AGAP001916</v>
      </c>
      <c r="DE399" s="2" t="s">
        <v>4263</v>
      </c>
      <c r="DF399" s="2" t="s">
        <v>93</v>
      </c>
      <c r="DG399" s="2" t="s">
        <v>94</v>
      </c>
      <c r="DH399" s="2" t="str">
        <f>HYPERLINK("https://vectorbase.org/vectorbase/app/record/gene/AGAP001916","AGAP001916-RA")</f>
        <v>AGAP001916-RA</v>
      </c>
      <c r="DI399" s="2" t="s">
        <v>90</v>
      </c>
      <c r="DJ399" s="2">
        <v>7451</v>
      </c>
      <c r="DK399" s="2" t="str">
        <f>HYPERLINK(".\links\netoglyc\AGAP001916-PA-netoglyc.txt","8")</f>
        <v>8</v>
      </c>
      <c r="DL399" s="2">
        <v>12.4</v>
      </c>
      <c r="DM399" s="2">
        <v>6.3</v>
      </c>
      <c r="DN399" s="2">
        <v>9.1</v>
      </c>
      <c r="DO399" s="2">
        <v>0.2</v>
      </c>
      <c r="DP399" s="2" t="s">
        <v>4272</v>
      </c>
      <c r="DQ399" s="2" t="str">
        <f>HYPERLINK(".\links\Sigp\AGAP001916-PA-SigP.txt","CYT")</f>
        <v>CYT</v>
      </c>
      <c r="DR399" s="2" t="s">
        <v>102</v>
      </c>
      <c r="DS399" s="2">
        <v>146.43899999999999</v>
      </c>
      <c r="DT399" s="2">
        <v>9.24</v>
      </c>
      <c r="DU399" s="2" t="s">
        <v>102</v>
      </c>
      <c r="DV399" s="2" t="s">
        <v>102</v>
      </c>
      <c r="DW399" s="2" t="s">
        <v>4267</v>
      </c>
      <c r="DX399" s="2">
        <v>1324</v>
      </c>
      <c r="DY399" s="12">
        <v>0</v>
      </c>
      <c r="DZ399" s="2" t="s">
        <v>102</v>
      </c>
      <c r="EA399" s="2" t="s">
        <v>102</v>
      </c>
      <c r="EB399" s="2" t="s">
        <v>102</v>
      </c>
      <c r="EC399" s="2" t="str">
        <f>HYPERLINK(".\links\gpi\AGAP001916-PA-gpi.txt","Y-NoSP")</f>
        <v>Y-NoSP</v>
      </c>
      <c r="ED399" s="2">
        <v>0.19</v>
      </c>
      <c r="EF399" s="2">
        <v>12</v>
      </c>
      <c r="EG399" s="2" t="s">
        <v>102</v>
      </c>
      <c r="EH399" s="2" t="s">
        <v>102</v>
      </c>
      <c r="EI399" s="2">
        <v>12.3867069486405</v>
      </c>
      <c r="EJ399" s="2">
        <v>9.1389728096676706</v>
      </c>
      <c r="EK399" s="2">
        <v>6.3444108761329296</v>
      </c>
      <c r="EL399" s="2">
        <v>15.4833836858006</v>
      </c>
      <c r="EM399" s="2">
        <v>1</v>
      </c>
      <c r="EN399" s="2">
        <v>1</v>
      </c>
      <c r="EO399" s="2">
        <v>7</v>
      </c>
      <c r="EP399" s="2" t="s">
        <v>102</v>
      </c>
      <c r="EQ399" s="2" t="s">
        <v>102</v>
      </c>
      <c r="ER399" s="2" t="s">
        <v>102</v>
      </c>
      <c r="ES399" s="2" t="s">
        <v>102</v>
      </c>
      <c r="ET399" s="2" t="str">
        <f>HYPERLINK(".\links\REFSEQ-INVERTEBRATE\AGAP001916-PA-REFSEQ-INVERTEBRATE.txt","FH2 domain-containing protein 1 isoform X1")</f>
        <v>FH2 domain-containing protein 1 isoform X1</v>
      </c>
      <c r="EU399" s="2" t="str">
        <f>HYPERLINK("http://www.ncbi.nlm.nih.gov/sutils/blink.cgi?pid=XP_038122305.1","0.0")</f>
        <v>0.0</v>
      </c>
      <c r="EV399" s="2" t="str">
        <f>HYPERLINK("http://www.ncbi.nlm.nih.gov/protein/XP_038122305.1","XP_038122305.1")</f>
        <v>XP_038122305.1</v>
      </c>
      <c r="EW399" s="2">
        <v>74</v>
      </c>
      <c r="EX399" s="2">
        <v>82</v>
      </c>
      <c r="EY399" s="2">
        <v>69</v>
      </c>
      <c r="EZ399" s="2" t="s">
        <v>3607</v>
      </c>
    </row>
    <row r="400" spans="1:156" x14ac:dyDescent="0.25">
      <c r="A400" s="2" t="s">
        <v>4273</v>
      </c>
      <c r="B400" s="2">
        <v>-0.32869766454010801</v>
      </c>
      <c r="C400" s="2">
        <f t="shared" si="6"/>
        <v>0.79625494684839926</v>
      </c>
      <c r="D400" s="2">
        <v>7.1329330431709801</v>
      </c>
      <c r="E400" s="2">
        <v>11.065887130795</v>
      </c>
      <c r="F400" s="2">
        <v>8.7930508855731701E-4</v>
      </c>
      <c r="G400" s="2">
        <v>3.0356607143661E-2</v>
      </c>
      <c r="H400" s="2" t="s">
        <v>4274</v>
      </c>
      <c r="I400" s="2" t="s">
        <v>94</v>
      </c>
      <c r="J400" s="2" t="str">
        <f>HYPERLINK("https://vectorbase.org/vectorbase/app/record/gene/AGAP009261","AGAP009261-RA")</f>
        <v>AGAP009261-RA</v>
      </c>
      <c r="K400" s="2" t="str">
        <f>HYPERLINK(".\links\pep\AGAP009261-PA-pep.txt","AGAP009261-PA")</f>
        <v>AGAP009261-PA</v>
      </c>
      <c r="L400" s="12" t="s">
        <v>95</v>
      </c>
      <c r="M400" s="2">
        <v>1704</v>
      </c>
      <c r="N400" s="2">
        <v>0</v>
      </c>
      <c r="O400" s="2">
        <v>5</v>
      </c>
      <c r="P400" s="2" t="s">
        <v>4275</v>
      </c>
      <c r="Q400" s="9" t="s">
        <v>4276</v>
      </c>
      <c r="R400" s="2" t="s">
        <v>355</v>
      </c>
      <c r="S400" s="2" t="str">
        <f>HYPERLINK(".\links\CDD\AGAP009261-PA-CDD.txt","CDD")</f>
        <v>CDD</v>
      </c>
      <c r="T400" s="2">
        <v>6.0000000000000001E-64</v>
      </c>
      <c r="U400" s="2">
        <v>88.1</v>
      </c>
      <c r="V400" s="2" t="s">
        <v>4277</v>
      </c>
      <c r="W400" s="10" t="s">
        <v>4278</v>
      </c>
      <c r="X400" s="2" t="s">
        <v>771</v>
      </c>
      <c r="Y400" s="2" t="str">
        <f>HYPERLINK(".\links\CDD\AGAP009261-PA-CDD.txt","CDD")</f>
        <v>CDD</v>
      </c>
      <c r="Z400" s="15">
        <v>9.9999999999999994E-50</v>
      </c>
      <c r="AA400" s="2">
        <v>88.1</v>
      </c>
      <c r="AB400" s="13" t="str">
        <f>HYPERLINK(".\links\pep\AGAP009261-PA-sulf.txt","1")</f>
        <v>1</v>
      </c>
      <c r="AC400" s="13" t="str">
        <f>HYPERLINK(".\links\Sigp\AGAP009261-PA-SigP.txt","CYT")</f>
        <v>CYT</v>
      </c>
      <c r="AD400" s="2" t="s">
        <v>102</v>
      </c>
      <c r="AE400" s="2">
        <v>183.119</v>
      </c>
      <c r="AF400" s="2">
        <v>6.65</v>
      </c>
      <c r="AG400" s="2" t="s">
        <v>102</v>
      </c>
      <c r="AH400" s="2" t="s">
        <v>102</v>
      </c>
      <c r="AI400" s="2" t="s">
        <v>2212</v>
      </c>
      <c r="AJ400" s="13">
        <v>0</v>
      </c>
      <c r="AK400" s="2" t="s">
        <v>102</v>
      </c>
      <c r="AL400" s="2" t="s">
        <v>102</v>
      </c>
      <c r="AM400" s="2" t="s">
        <v>102</v>
      </c>
      <c r="AN400" s="13" t="str">
        <f>HYPERLINK(".\links\gpi\AGAP009261-PA-gpi.txt","N")</f>
        <v>N</v>
      </c>
      <c r="AO400" s="14" t="str">
        <f>HYPERLINK(".\links\netoglyc\AGAP009261-PA-netoglyc.txt","18")</f>
        <v>18</v>
      </c>
      <c r="AP400" s="13">
        <v>18</v>
      </c>
      <c r="AQ400" s="2">
        <v>8.9</v>
      </c>
      <c r="AR400" s="2">
        <v>6.4</v>
      </c>
      <c r="AS400" s="2" t="s">
        <v>104</v>
      </c>
      <c r="AT400" s="9" t="str">
        <f>HYPERLINK(".\links\NR-LIGHT\AGAP009261-PA-NR-LIGHT.txt","AGAP009261-PA, partial")</f>
        <v>AGAP009261-PA, partial</v>
      </c>
      <c r="AU400" s="2" t="str">
        <f>HYPERLINK("http://www.ncbi.nlm.nih.gov/sutils/blink.cgi?pid=XP_553211.3","0.0")</f>
        <v>0.0</v>
      </c>
      <c r="AV400" s="2" t="str">
        <f>HYPERLINK("http://www.ncbi.nlm.nih.gov/protein/XP_553211.3","XP_553211.3")</f>
        <v>XP_553211.3</v>
      </c>
      <c r="AW400" s="2">
        <v>95</v>
      </c>
      <c r="AX400" s="2">
        <v>95</v>
      </c>
      <c r="AY400" s="2">
        <v>104</v>
      </c>
      <c r="AZ400" s="2" t="s">
        <v>105</v>
      </c>
      <c r="BA400" s="9" t="str">
        <f>HYPERLINK(".\links\REFSEQ-INVERTEBRATE\AGAP009261-PA-REFSEQ-INVERTEBRATE.txt","AGAP009261-PA, partial")</f>
        <v>AGAP009261-PA, partial</v>
      </c>
      <c r="BB400" s="2" t="str">
        <f>HYPERLINK("http://www.ncbi.nlm.nih.gov/sutils/blink.cgi?pid=XP_553211.3","0.0")</f>
        <v>0.0</v>
      </c>
      <c r="BC400" s="2" t="str">
        <f>HYPERLINK("http://www.ncbi.nlm.nih.gov/protein/XP_553211.3","XP_553211.3")</f>
        <v>XP_553211.3</v>
      </c>
      <c r="BD400" s="2">
        <v>95</v>
      </c>
      <c r="BE400" s="2">
        <v>95</v>
      </c>
      <c r="BF400" s="2">
        <v>104</v>
      </c>
      <c r="BG400" s="2" t="s">
        <v>105</v>
      </c>
      <c r="BH400" s="9" t="str">
        <f>HYPERLINK(".\links\REFSEQ-PROTOZOA\AGAP009261-PA-REFSEQ-PROTOZOA.txt","rap guanine nucleotide exchange factor 4")</f>
        <v>rap guanine nucleotide exchange factor 4</v>
      </c>
      <c r="BI400" s="2" t="str">
        <f>HYPERLINK("http://www.ncbi.nlm.nih.gov/sutils/blink.cgi?pid=XP_004344331.1","6E-057")</f>
        <v>6E-057</v>
      </c>
      <c r="BJ400" s="2" t="str">
        <f>HYPERLINK("http://www.ncbi.nlm.nih.gov/protein/XP_004344331.1","XP_004344331.1")</f>
        <v>XP_004344331.1</v>
      </c>
      <c r="BK400" s="2">
        <v>40</v>
      </c>
      <c r="BL400" s="2">
        <v>60</v>
      </c>
      <c r="BM400" s="2">
        <v>36</v>
      </c>
      <c r="BN400" s="2" t="s">
        <v>106</v>
      </c>
      <c r="BO400" s="9" t="str">
        <f>HYPERLINK(".\links\SWISSP\AGAP009261-PA-SWISSP.txt","Rap guanine nucleotide exchange factor 2")</f>
        <v>Rap guanine nucleotide exchange factor 2</v>
      </c>
      <c r="BP400" s="2" t="str">
        <f>HYPERLINK("http://www.uniprot.org/uniprot/F1PBJ0","0.0")</f>
        <v>0.0</v>
      </c>
      <c r="BQ400" s="2" t="str">
        <f>HYPERLINK("http://www.uniprot.org/uniprot/F1PBJ0#expression","F1PBJ0")</f>
        <v>F1PBJ0</v>
      </c>
      <c r="BR400" s="2">
        <v>41</v>
      </c>
      <c r="BS400" s="2">
        <v>57</v>
      </c>
      <c r="BT400" s="2">
        <v>82</v>
      </c>
      <c r="BU400" s="2" t="s">
        <v>4279</v>
      </c>
      <c r="BV400" s="9" t="str">
        <f>HYPERLINK(".\links\FLYBASE\AGAP009261-PA-FLYBASE.txt","FBpp0289316")</f>
        <v>FBpp0289316</v>
      </c>
      <c r="BW400" s="2" t="str">
        <f>HYPERLINK("http://flybase.org/reports/FBgn0265778#alliance_summary_container","0.0")</f>
        <v>0.0</v>
      </c>
      <c r="BX400" s="2">
        <v>1422</v>
      </c>
      <c r="BY400" s="2">
        <v>73</v>
      </c>
      <c r="BZ400" s="2">
        <v>85</v>
      </c>
      <c r="CA400" s="2">
        <v>30</v>
      </c>
      <c r="CB400" s="9" t="str">
        <f>HYPERLINK(".\links\CDD\AGAP009261-PA-CDD.txt","RasGEF, Guanine nucleotide exchange factor for Ras-like small GTPases")</f>
        <v>RasGEF, Guanine nucleotide exchange factor for Ras-like small GTPases</v>
      </c>
      <c r="CC400" s="15">
        <v>6.0000000000000001E-64</v>
      </c>
      <c r="CD400" s="2">
        <v>88.2</v>
      </c>
      <c r="CE400" s="2" t="s">
        <v>4280</v>
      </c>
      <c r="CF400" s="2" t="s">
        <v>4281</v>
      </c>
      <c r="CG400" s="9" t="str">
        <f>HYPERLINK(".\links\KOG\AGAP009261-PA-KOG.txt","cAMP-regulated guanine nucleotide exchange factor")</f>
        <v>cAMP-regulated guanine nucleotide exchange factor</v>
      </c>
      <c r="CH400" s="15">
        <v>9.9999999999999997E-155</v>
      </c>
      <c r="CI400" s="2">
        <v>45.6</v>
      </c>
      <c r="CJ400" s="2" t="s">
        <v>4282</v>
      </c>
      <c r="CK400" s="2" t="s">
        <v>173</v>
      </c>
      <c r="CL400" s="9" t="str">
        <f>HYPERLINK(".\links\PFAM\AGAP009261-PA-PFAM.txt","RasGEF, RasGEF domain")</f>
        <v>RasGEF, RasGEF domain</v>
      </c>
      <c r="CM400" s="15">
        <v>5.0000000000000003E-64</v>
      </c>
      <c r="CN400" s="2">
        <v>102.3</v>
      </c>
      <c r="CO400" s="2" t="s">
        <v>1266</v>
      </c>
      <c r="CP400" s="9" t="str">
        <f>HYPERLINK(".\links\SMART\AGAP009261-PA-SMART.txt","RasGEF, Guanine nucleotide exchange factor for Ras-like small GTPases")</f>
        <v>RasGEF, Guanine nucleotide exchange factor for Ras-like small GTPases</v>
      </c>
      <c r="CQ400" s="15">
        <v>7.0000000000000001E-66</v>
      </c>
      <c r="CR400" s="2">
        <v>86.4</v>
      </c>
      <c r="CS400" s="2" t="s">
        <v>1263</v>
      </c>
      <c r="CT400" s="2" t="s">
        <v>4277</v>
      </c>
      <c r="CU400" s="2" t="s">
        <v>4277</v>
      </c>
      <c r="CV400" s="2" t="s">
        <v>4277</v>
      </c>
      <c r="CW400" s="2" t="str">
        <f>HYPERLINK(".\links\pep\AGAP009261-PA-pep.txt","AGAP009261-PA")</f>
        <v>AGAP009261-PA</v>
      </c>
      <c r="CX400" s="2" t="s">
        <v>95</v>
      </c>
      <c r="CY400" s="2">
        <v>1704</v>
      </c>
      <c r="CZ400" s="2" t="s">
        <v>113</v>
      </c>
      <c r="DA400" s="2" t="s">
        <v>4283</v>
      </c>
      <c r="DB400" s="2">
        <v>0</v>
      </c>
      <c r="DC400" s="2">
        <v>5</v>
      </c>
      <c r="DD400" s="2" t="str">
        <f>HYPERLINK("https://www.kegg.jp/kegg-bin/search_pathway_text?map=aga&amp;keyword=AGAP009261&amp;mode=1&amp;viewImage=true","AGAP009261")</f>
        <v>AGAP009261</v>
      </c>
      <c r="DE400" s="2" t="s">
        <v>4273</v>
      </c>
      <c r="DF400" s="2" t="s">
        <v>4274</v>
      </c>
      <c r="DG400" s="2" t="s">
        <v>94</v>
      </c>
      <c r="DH400" s="2" t="str">
        <f>HYPERLINK("https://vectorbase.org/vectorbase/app/record/gene/AGAP009261","AGAP009261-RA")</f>
        <v>AGAP009261-RA</v>
      </c>
      <c r="DI400" s="2" t="s">
        <v>118</v>
      </c>
      <c r="DJ400" s="2">
        <v>7113</v>
      </c>
      <c r="DK400" s="2" t="str">
        <f>HYPERLINK(".\links\netoglyc\AGAP009261-PA-netoglyc.txt","18")</f>
        <v>18</v>
      </c>
      <c r="DL400" s="2">
        <v>18</v>
      </c>
      <c r="DM400" s="2">
        <v>8.9</v>
      </c>
      <c r="DN400" s="2">
        <v>6.4</v>
      </c>
      <c r="DO400" s="2" t="s">
        <v>104</v>
      </c>
      <c r="DP400" s="2" t="s">
        <v>102</v>
      </c>
      <c r="DQ400" s="2" t="str">
        <f>HYPERLINK(".\links\Sigp\AGAP009261-PA-SigP.txt","CYT")</f>
        <v>CYT</v>
      </c>
      <c r="DR400" s="2" t="s">
        <v>102</v>
      </c>
      <c r="DS400" s="2">
        <v>183.119</v>
      </c>
      <c r="DT400" s="2">
        <v>6.65</v>
      </c>
      <c r="DU400" s="2" t="s">
        <v>102</v>
      </c>
      <c r="DV400" s="2" t="s">
        <v>102</v>
      </c>
      <c r="DW400" s="2" t="s">
        <v>2212</v>
      </c>
      <c r="DX400" s="2">
        <v>1704</v>
      </c>
      <c r="DY400" s="12">
        <v>0</v>
      </c>
      <c r="DZ400" s="2" t="s">
        <v>102</v>
      </c>
      <c r="EA400" s="2" t="s">
        <v>102</v>
      </c>
      <c r="EB400" s="2" t="s">
        <v>102</v>
      </c>
      <c r="EC400" s="2" t="str">
        <f>HYPERLINK(".\links\gpi\AGAP009261-PA-gpi.txt","Y-NoSP")</f>
        <v>Y-NoSP</v>
      </c>
      <c r="ED400" s="2">
        <v>0.18</v>
      </c>
      <c r="EF400" s="2">
        <v>20</v>
      </c>
      <c r="EG400" s="2" t="str">
        <f>HYPERLINK(".\links\pep\AGAP009261-PA-sulf.txt","1")</f>
        <v>1</v>
      </c>
      <c r="EH400" s="2" t="s">
        <v>102</v>
      </c>
      <c r="EI400" s="2">
        <v>17.957746478873201</v>
      </c>
      <c r="EJ400" s="2">
        <v>6.3967136150234696</v>
      </c>
      <c r="EK400" s="2">
        <v>8.92018779342723</v>
      </c>
      <c r="EL400" s="2">
        <v>15.3169014084507</v>
      </c>
      <c r="EM400" s="2">
        <v>1</v>
      </c>
      <c r="EN400" s="2">
        <v>6</v>
      </c>
      <c r="EO400" s="2">
        <v>7</v>
      </c>
      <c r="EP400" s="2" t="s">
        <v>102</v>
      </c>
      <c r="EQ400" s="2" t="s">
        <v>102</v>
      </c>
      <c r="ER400" s="2" t="s">
        <v>102</v>
      </c>
      <c r="ES400" s="2" t="s">
        <v>102</v>
      </c>
      <c r="ET400" s="2" t="str">
        <f>HYPERLINK(".\links\REFSEQ-INVERTEBRATE\AGAP009261-PA-REFSEQ-INVERTEBRATE.txt","rap guanine nucleotide exchange factor 6 isoform X2")</f>
        <v>rap guanine nucleotide exchange factor 6 isoform X2</v>
      </c>
      <c r="EU400" s="2" t="str">
        <f>HYPERLINK("http://www.ncbi.nlm.nih.gov/sutils/blink.cgi?pid=XP_035917536.1","0.0")</f>
        <v>0.0</v>
      </c>
      <c r="EV400" s="2" t="str">
        <f>HYPERLINK("http://www.ncbi.nlm.nih.gov/protein/XP_035917536.1","XP_035917536.1")</f>
        <v>XP_035917536.1</v>
      </c>
      <c r="EW400" s="2">
        <v>86</v>
      </c>
      <c r="EX400" s="2">
        <v>89</v>
      </c>
      <c r="EY400" s="2">
        <v>102</v>
      </c>
      <c r="EZ400" s="2" t="s">
        <v>370</v>
      </c>
    </row>
    <row r="401" spans="1:156" x14ac:dyDescent="0.25">
      <c r="A401" s="2" t="s">
        <v>4284</v>
      </c>
      <c r="B401" s="2">
        <v>-0.329095751715407</v>
      </c>
      <c r="C401" s="2">
        <f t="shared" si="6"/>
        <v>0.79603526413987047</v>
      </c>
      <c r="D401" s="2">
        <v>6.5763324037528896</v>
      </c>
      <c r="E401" s="2">
        <v>10.674546089583901</v>
      </c>
      <c r="F401" s="2">
        <v>1.0861983849865E-3</v>
      </c>
      <c r="G401" s="2">
        <v>3.35563795737992E-2</v>
      </c>
      <c r="H401" s="2" t="s">
        <v>93</v>
      </c>
      <c r="I401" s="2" t="s">
        <v>94</v>
      </c>
      <c r="J401" s="2" t="str">
        <f>HYPERLINK("https://vectorbase.org/vectorbase/app/record/gene/AGAP007640","AGAP007640-RA")</f>
        <v>AGAP007640-RA</v>
      </c>
      <c r="K401" s="2" t="str">
        <f>HYPERLINK(".\links\pep\AGAP007640-PA-pep.txt","AGAP007640-PA")</f>
        <v>AGAP007640-PA</v>
      </c>
      <c r="L401" s="12" t="s">
        <v>95</v>
      </c>
      <c r="M401" s="2">
        <v>3069</v>
      </c>
      <c r="N401" s="2">
        <v>0</v>
      </c>
      <c r="O401" s="2">
        <v>7</v>
      </c>
      <c r="P401" s="2" t="s">
        <v>102</v>
      </c>
      <c r="Q401" s="9" t="s">
        <v>4285</v>
      </c>
      <c r="R401" s="2" t="s">
        <v>564</v>
      </c>
      <c r="S401" s="2" t="str">
        <f>HYPERLINK(".\links\SWISSP\AGAP007640-PA-SWISSP.txt","SWISSP")</f>
        <v>SWISSP</v>
      </c>
      <c r="T401" s="2">
        <v>6.0000000000000002E-45</v>
      </c>
      <c r="U401" s="2">
        <v>52.7</v>
      </c>
      <c r="V401" s="2" t="s">
        <v>4286</v>
      </c>
      <c r="W401" s="10" t="s">
        <v>4287</v>
      </c>
      <c r="X401" s="2" t="s">
        <v>444</v>
      </c>
      <c r="Y401" s="2" t="str">
        <f>HYPERLINK(".\links\REFSEQ-INVERTEBRATE\AGAP007640-PA-REFSEQ-INVERTEBRATE.txt","REFSEQ-INVERTEBRATE")</f>
        <v>REFSEQ-INVERTEBRATE</v>
      </c>
      <c r="Z401" s="15">
        <v>0</v>
      </c>
      <c r="AA401" s="2">
        <v>108.7</v>
      </c>
      <c r="AB401" s="13" t="str">
        <f>HYPERLINK(".\links\pep\AGAP007640-PA-sulf.txt","1")</f>
        <v>1</v>
      </c>
      <c r="AC401" s="13" t="str">
        <f>HYPERLINK(".\links\Sigp\AGAP007640-PA-SigP.txt","CYT")</f>
        <v>CYT</v>
      </c>
      <c r="AD401" s="2" t="s">
        <v>102</v>
      </c>
      <c r="AE401" s="2">
        <v>321.62099999999998</v>
      </c>
      <c r="AF401" s="2">
        <v>8.84</v>
      </c>
      <c r="AG401" s="2" t="s">
        <v>102</v>
      </c>
      <c r="AH401" s="2" t="s">
        <v>102</v>
      </c>
      <c r="AI401" s="2" t="s">
        <v>211</v>
      </c>
      <c r="AJ401" s="13">
        <v>0</v>
      </c>
      <c r="AK401" s="2" t="s">
        <v>102</v>
      </c>
      <c r="AL401" s="2" t="s">
        <v>102</v>
      </c>
      <c r="AM401" s="2" t="s">
        <v>102</v>
      </c>
      <c r="AN401" s="13" t="str">
        <f>HYPERLINK(".\links\gpi\AGAP007640-PA-gpi.txt","N")</f>
        <v>N</v>
      </c>
      <c r="AO401" s="14" t="str">
        <f>HYPERLINK(".\links\netoglyc\AGAP007640-PA-netoglyc.txt","55")</f>
        <v>55</v>
      </c>
      <c r="AP401" s="13">
        <v>20.5</v>
      </c>
      <c r="AQ401" s="2">
        <v>8</v>
      </c>
      <c r="AR401" s="2">
        <v>9.6</v>
      </c>
      <c r="AS401" s="2" t="s">
        <v>104</v>
      </c>
      <c r="AT401" s="9" t="str">
        <f>HYPERLINK(".\links\NR-LIGHT\AGAP007640-PA-NR-LIGHT.txt","AGAP007640-PA")</f>
        <v>AGAP007640-PA</v>
      </c>
      <c r="AU401" s="2" t="str">
        <f>HYPERLINK("http://www.ncbi.nlm.nih.gov/sutils/blink.cgi?pid=XP_308229.5","0.0")</f>
        <v>0.0</v>
      </c>
      <c r="AV401" s="2" t="str">
        <f>HYPERLINK("http://www.ncbi.nlm.nih.gov/protein/XP_308229.5","XP_308229.5")</f>
        <v>XP_308229.5</v>
      </c>
      <c r="AW401" s="2">
        <v>91</v>
      </c>
      <c r="AX401" s="2">
        <v>92</v>
      </c>
      <c r="AY401" s="2">
        <v>103</v>
      </c>
      <c r="AZ401" s="2" t="s">
        <v>105</v>
      </c>
      <c r="BA401" s="9" t="str">
        <f>HYPERLINK(".\links\REFSEQ-INVERTEBRATE\AGAP007640-PA-REFSEQ-INVERTEBRATE.txt","AGAP007640-PA")</f>
        <v>AGAP007640-PA</v>
      </c>
      <c r="BB401" s="2" t="str">
        <f>HYPERLINK("http://www.ncbi.nlm.nih.gov/sutils/blink.cgi?pid=XP_308229.5","0.0")</f>
        <v>0.0</v>
      </c>
      <c r="BC401" s="2" t="str">
        <f>HYPERLINK("http://www.ncbi.nlm.nih.gov/protein/XP_308229.5","XP_308229.5")</f>
        <v>XP_308229.5</v>
      </c>
      <c r="BD401" s="2">
        <v>91</v>
      </c>
      <c r="BE401" s="2">
        <v>92</v>
      </c>
      <c r="BF401" s="2">
        <v>103</v>
      </c>
      <c r="BG401" s="2" t="s">
        <v>105</v>
      </c>
      <c r="BH401" s="9" t="str">
        <f>HYPERLINK(".\links\REFSEQ-PROTOZOA\AGAP007640-PA-REFSEQ-PROTOZOA.txt","proteophosphoglycan ppg4")</f>
        <v>proteophosphoglycan ppg4</v>
      </c>
      <c r="BI401" s="2" t="str">
        <f>HYPERLINK("http://www.ncbi.nlm.nih.gov/sutils/blink.cgi?pid=XP_003722448.1","6E-069")</f>
        <v>6E-069</v>
      </c>
      <c r="BJ401" s="2" t="str">
        <f>HYPERLINK("http://www.ncbi.nlm.nih.gov/protein/XP_003722448.1","XP_003722448.1")</f>
        <v>XP_003722448.1</v>
      </c>
      <c r="BK401" s="2">
        <v>18</v>
      </c>
      <c r="BL401" s="2">
        <v>33</v>
      </c>
      <c r="BM401" s="2">
        <v>44</v>
      </c>
      <c r="BN401" s="2" t="s">
        <v>3969</v>
      </c>
      <c r="BO401" s="9" t="str">
        <f>HYPERLINK(".\links\SWISSP\AGAP007640-PA-SWISSP.txt","Transcription factor HIVEP3")</f>
        <v>Transcription factor HIVEP3</v>
      </c>
      <c r="BP401" s="2" t="str">
        <f>HYPERLINK("http://www.uniprot.org/uniprot/Q5T1R4","6E-045")</f>
        <v>6E-045</v>
      </c>
      <c r="BQ401" s="2" t="str">
        <f>HYPERLINK("http://www.uniprot.org/uniprot/Q5T1R4#expression","Q5T1R4")</f>
        <v>Q5T1R4</v>
      </c>
      <c r="BR401" s="2">
        <v>24</v>
      </c>
      <c r="BS401" s="2">
        <v>36</v>
      </c>
      <c r="BT401" s="2">
        <v>53</v>
      </c>
      <c r="BU401" s="2" t="s">
        <v>127</v>
      </c>
      <c r="BV401" s="9" t="str">
        <f>HYPERLINK(".\links\FLYBASE\AGAP007640-PA-FLYBASE.txt","FBpp0089118")</f>
        <v>FBpp0089118</v>
      </c>
      <c r="BW401" s="2" t="str">
        <f>HYPERLINK("http://flybase.org/reports/FBgn0003396#alliance_summary_container","1E-69")</f>
        <v>1E-69</v>
      </c>
      <c r="BX401" s="2">
        <v>2577</v>
      </c>
      <c r="BY401" s="2">
        <v>59</v>
      </c>
      <c r="BZ401" s="2">
        <v>71</v>
      </c>
      <c r="CA401" s="2">
        <v>8</v>
      </c>
      <c r="CB401" s="9" t="str">
        <f>HYPERLINK(".\links\CDD\AGAP007640-PA-CDD.txt","ZF_C2H2, Zinc finger, C2H2 type")</f>
        <v>ZF_C2H2, Zinc finger, C2H2 type</v>
      </c>
      <c r="CC401" s="15">
        <v>2E-12</v>
      </c>
      <c r="CD401" s="2">
        <v>119.2</v>
      </c>
      <c r="CE401" s="2" t="s">
        <v>569</v>
      </c>
      <c r="CF401" s="2" t="s">
        <v>4288</v>
      </c>
      <c r="CG401" s="9" t="str">
        <f>HYPERLINK(".\links\KOG\AGAP007640-PA-KOG.txt","Zn finger proteins")</f>
        <v>Zn finger proteins</v>
      </c>
      <c r="CH401" s="15">
        <v>1.0000000000000001E-9</v>
      </c>
      <c r="CI401" s="2">
        <v>10.3</v>
      </c>
      <c r="CJ401" s="2" t="s">
        <v>686</v>
      </c>
      <c r="CK401" s="2" t="s">
        <v>191</v>
      </c>
      <c r="CL401" s="9" t="str">
        <f>HYPERLINK(".\links\PFAM\AGAP007640-PA-PFAM.txt","PAT1, Topoisomerase II-associated protein PAT1")</f>
        <v>PAT1, Topoisomerase II-associated protein PAT1</v>
      </c>
      <c r="CM401" s="15">
        <v>1.9999999999999999E-7</v>
      </c>
      <c r="CN401" s="2">
        <v>27.1</v>
      </c>
      <c r="CO401" s="2" t="s">
        <v>3695</v>
      </c>
      <c r="CP401" s="9" t="str">
        <f>HYPERLINK(".\links\SMART\AGAP007640-PA-SMART.txt","ZnF_C2H2, zinc finger")</f>
        <v>ZnF_C2H2, zinc finger</v>
      </c>
      <c r="CQ401" s="15">
        <v>5.0000000000000001E-4</v>
      </c>
      <c r="CR401" s="2">
        <v>100</v>
      </c>
      <c r="CS401" s="2" t="s">
        <v>573</v>
      </c>
      <c r="CT401" s="2" t="s">
        <v>4286</v>
      </c>
      <c r="CU401" s="2" t="s">
        <v>4286</v>
      </c>
      <c r="CV401" s="2" t="s">
        <v>4286</v>
      </c>
      <c r="CW401" s="2" t="str">
        <f>HYPERLINK(".\links\pep\AGAP007640-PA-pep.txt","AGAP007640-PA")</f>
        <v>AGAP007640-PA</v>
      </c>
      <c r="CX401" s="2" t="s">
        <v>95</v>
      </c>
      <c r="CY401" s="2">
        <v>3069</v>
      </c>
      <c r="CZ401" s="2" t="s">
        <v>113</v>
      </c>
      <c r="DA401" s="2" t="s">
        <v>4289</v>
      </c>
      <c r="DB401" s="2">
        <v>0</v>
      </c>
      <c r="DC401" s="2">
        <v>7</v>
      </c>
      <c r="DD401" s="2" t="str">
        <f>HYPERLINK("https://www.kegg.jp/kegg-bin/search_pathway_text?map=aga&amp;keyword=AGAP007640&amp;mode=1&amp;viewImage=true","AGAP007640")</f>
        <v>AGAP007640</v>
      </c>
      <c r="DE401" s="2" t="s">
        <v>4284</v>
      </c>
      <c r="DF401" s="2" t="s">
        <v>93</v>
      </c>
      <c r="DG401" s="2" t="s">
        <v>94</v>
      </c>
      <c r="DH401" s="2" t="str">
        <f>HYPERLINK("https://vectorbase.org/vectorbase/app/record/gene/AGAP007640","AGAP007640-RA")</f>
        <v>AGAP007640-RA</v>
      </c>
      <c r="DI401" s="2" t="s">
        <v>115</v>
      </c>
      <c r="DJ401" s="2">
        <v>12437</v>
      </c>
      <c r="DK401" s="2" t="str">
        <f>HYPERLINK(".\links\netoglyc\AGAP007640-PA-netoglyc.txt","55")</f>
        <v>55</v>
      </c>
      <c r="DL401" s="2">
        <v>20.5</v>
      </c>
      <c r="DM401" s="2">
        <v>8</v>
      </c>
      <c r="DN401" s="2">
        <v>9.6</v>
      </c>
      <c r="DO401" s="2" t="s">
        <v>104</v>
      </c>
      <c r="DP401" s="2" t="s">
        <v>4290</v>
      </c>
      <c r="DQ401" s="2" t="str">
        <f>HYPERLINK(".\links\Sigp\AGAP007640-PA-SigP.txt","CYT")</f>
        <v>CYT</v>
      </c>
      <c r="DR401" s="2" t="s">
        <v>102</v>
      </c>
      <c r="DS401" s="2">
        <v>321.62099999999998</v>
      </c>
      <c r="DT401" s="2">
        <v>8.84</v>
      </c>
      <c r="DU401" s="2" t="s">
        <v>102</v>
      </c>
      <c r="DV401" s="2" t="s">
        <v>102</v>
      </c>
      <c r="DW401" s="2" t="s">
        <v>211</v>
      </c>
      <c r="DX401" s="2">
        <v>3069</v>
      </c>
      <c r="DY401" s="12">
        <v>0</v>
      </c>
      <c r="DZ401" s="2" t="s">
        <v>102</v>
      </c>
      <c r="EA401" s="2" t="s">
        <v>102</v>
      </c>
      <c r="EB401" s="2" t="s">
        <v>102</v>
      </c>
      <c r="EC401" s="2" t="str">
        <f>HYPERLINK(".\links\gpi\AGAP007640-PA-gpi.txt","Y-NoSP")</f>
        <v>Y-NoSP</v>
      </c>
      <c r="ED401" s="2">
        <v>0.32</v>
      </c>
      <c r="EF401" s="2">
        <v>37</v>
      </c>
      <c r="EG401" s="2" t="str">
        <f>HYPERLINK(".\links\pep\AGAP007640-PA-sulf.txt","1")</f>
        <v>1</v>
      </c>
      <c r="EH401" s="2" t="s">
        <v>102</v>
      </c>
      <c r="EI401" s="2">
        <v>20.462691430433399</v>
      </c>
      <c r="EJ401" s="2">
        <v>9.57966764418377</v>
      </c>
      <c r="EK401" s="2">
        <v>8.0156402737047898</v>
      </c>
      <c r="EL401" s="2">
        <v>17.595307917888601</v>
      </c>
      <c r="EM401" s="2">
        <v>5</v>
      </c>
      <c r="EN401" s="2">
        <v>3</v>
      </c>
      <c r="EO401" s="2">
        <v>9</v>
      </c>
      <c r="EP401" s="2" t="s">
        <v>102</v>
      </c>
      <c r="EQ401" s="2" t="s">
        <v>102</v>
      </c>
      <c r="ER401" s="2" t="s">
        <v>102</v>
      </c>
      <c r="ES401" s="2" t="s">
        <v>102</v>
      </c>
      <c r="ET401" s="2" t="str">
        <f>HYPERLINK(".\links\REFSEQ-INVERTEBRATE\AGAP007640-PA-REFSEQ-INVERTEBRATE.txt","AGAP007640-PA")</f>
        <v>AGAP007640-PA</v>
      </c>
      <c r="EU401" s="2" t="str">
        <f>HYPERLINK("http://www.ncbi.nlm.nih.gov/sutils/blink.cgi?pid=XP_308229.5","0.0")</f>
        <v>0.0</v>
      </c>
      <c r="EV401" s="2" t="str">
        <f>HYPERLINK("http://www.ncbi.nlm.nih.gov/protein/XP_308229.5","XP_308229.5")</f>
        <v>XP_308229.5</v>
      </c>
      <c r="EW401" s="2">
        <v>99</v>
      </c>
      <c r="EX401" s="2">
        <v>99</v>
      </c>
      <c r="EY401" s="2">
        <v>92</v>
      </c>
      <c r="EZ401" s="2" t="s">
        <v>105</v>
      </c>
    </row>
    <row r="402" spans="1:156" x14ac:dyDescent="0.25">
      <c r="A402" s="2" t="s">
        <v>4291</v>
      </c>
      <c r="B402" s="2">
        <v>-0.32968113974312802</v>
      </c>
      <c r="C402" s="2">
        <f t="shared" si="6"/>
        <v>0.79571233034382516</v>
      </c>
      <c r="D402" s="2">
        <v>7.5690608488061901</v>
      </c>
      <c r="E402" s="2">
        <v>12.9175780197824</v>
      </c>
      <c r="F402" s="2">
        <v>3.25510771187566E-4</v>
      </c>
      <c r="G402" s="2">
        <v>2.0489487201023299E-2</v>
      </c>
      <c r="H402" s="2" t="s">
        <v>4292</v>
      </c>
      <c r="I402" s="2" t="s">
        <v>94</v>
      </c>
      <c r="J402" s="2" t="str">
        <f>HYPERLINK("https://vectorbase.org/vectorbase/app/record/gene/AGAP003366","AGAP003366-RA")</f>
        <v>AGAP003366-RA</v>
      </c>
      <c r="K402" s="2" t="str">
        <f>HYPERLINK(".\links\pep\AGAP003366-PA-pep.txt","AGAP003366-PA")</f>
        <v>AGAP003366-PA</v>
      </c>
      <c r="L402" s="12" t="s">
        <v>95</v>
      </c>
      <c r="M402" s="2">
        <v>2214</v>
      </c>
      <c r="N402" s="2">
        <v>0</v>
      </c>
      <c r="O402" s="2">
        <v>5</v>
      </c>
      <c r="P402" s="2" t="s">
        <v>4293</v>
      </c>
      <c r="Q402" s="9" t="s">
        <v>4294</v>
      </c>
      <c r="R402" s="2" t="s">
        <v>196</v>
      </c>
      <c r="S402" s="2" t="str">
        <f>HYPERLINK(".\links\KOG\AGAP003366-PA-KOG.txt","KOG")</f>
        <v>KOG</v>
      </c>
      <c r="T402" s="2">
        <v>0</v>
      </c>
      <c r="U402" s="2">
        <v>81.7</v>
      </c>
      <c r="V402" s="2" t="s">
        <v>4295</v>
      </c>
      <c r="W402" s="10" t="s">
        <v>4296</v>
      </c>
      <c r="X402" s="2" t="s">
        <v>771</v>
      </c>
      <c r="Y402" s="2" t="str">
        <f>HYPERLINK(".\links\PFAM\AGAP003366-PA-PFAM.txt","PFAM")</f>
        <v>PFAM</v>
      </c>
      <c r="Z402" s="15">
        <v>1.0000000000000001E-86</v>
      </c>
      <c r="AA402" s="2">
        <v>103.5</v>
      </c>
      <c r="AB402" s="13" t="str">
        <f>HYPERLINK(".\links\pep\AGAP003366-PA-sulf.txt","6")</f>
        <v>6</v>
      </c>
      <c r="AC402" s="13" t="str">
        <f>HYPERLINK(".\links\Sigp\AGAP003366-PA-SigP.txt","CYT")</f>
        <v>CYT</v>
      </c>
      <c r="AD402" s="2" t="s">
        <v>102</v>
      </c>
      <c r="AE402" s="2">
        <v>244.78700000000001</v>
      </c>
      <c r="AF402" s="2">
        <v>6.61</v>
      </c>
      <c r="AG402" s="2" t="s">
        <v>102</v>
      </c>
      <c r="AH402" s="2" t="s">
        <v>102</v>
      </c>
      <c r="AI402" s="2" t="s">
        <v>4297</v>
      </c>
      <c r="AJ402" s="13">
        <v>0</v>
      </c>
      <c r="AK402" s="2" t="s">
        <v>102</v>
      </c>
      <c r="AL402" s="2" t="s">
        <v>102</v>
      </c>
      <c r="AM402" s="2" t="s">
        <v>102</v>
      </c>
      <c r="AN402" s="13" t="str">
        <f>HYPERLINK(".\links\gpi\AGAP003366-PA-gpi.txt","N")</f>
        <v>N</v>
      </c>
      <c r="AO402" s="14" t="str">
        <f>HYPERLINK(".\links\netoglyc\AGAP003366-PA-netoglyc.txt","1")</f>
        <v>1</v>
      </c>
      <c r="AP402" s="13">
        <v>12.9</v>
      </c>
      <c r="AQ402" s="2">
        <v>8.9</v>
      </c>
      <c r="AR402" s="2">
        <v>5.6</v>
      </c>
      <c r="AS402" s="2" t="s">
        <v>104</v>
      </c>
      <c r="AT402" s="9" t="str">
        <f>HYPERLINK(".\links\NR-LIGHT\AGAP003366-PA-NR-LIGHT.txt","AGAP003366-PA")</f>
        <v>AGAP003366-PA</v>
      </c>
      <c r="AU402" s="2" t="str">
        <f>HYPERLINK("http://www.ncbi.nlm.nih.gov/sutils/blink.cgi?pid=XP_314268.5","0.0")</f>
        <v>0.0</v>
      </c>
      <c r="AV402" s="2" t="str">
        <f>HYPERLINK("http://www.ncbi.nlm.nih.gov/protein/XP_314268.5","XP_314268.5")</f>
        <v>XP_314268.5</v>
      </c>
      <c r="AW402" s="2">
        <v>100</v>
      </c>
      <c r="AX402" s="2">
        <v>100</v>
      </c>
      <c r="AY402" s="2">
        <v>100</v>
      </c>
      <c r="AZ402" s="2" t="s">
        <v>105</v>
      </c>
      <c r="BA402" s="9" t="str">
        <f>HYPERLINK(".\links\REFSEQ-INVERTEBRATE\AGAP003366-PA-REFSEQ-INVERTEBRATE.txt","AGAP003366-PA")</f>
        <v>AGAP003366-PA</v>
      </c>
      <c r="BB402" s="2" t="str">
        <f>HYPERLINK("http://www.ncbi.nlm.nih.gov/sutils/blink.cgi?pid=XP_314268.5","0.0")</f>
        <v>0.0</v>
      </c>
      <c r="BC402" s="2" t="str">
        <f>HYPERLINK("http://www.ncbi.nlm.nih.gov/protein/XP_314268.5","XP_314268.5")</f>
        <v>XP_314268.5</v>
      </c>
      <c r="BD402" s="2">
        <v>100</v>
      </c>
      <c r="BE402" s="2">
        <v>100</v>
      </c>
      <c r="BF402" s="2">
        <v>100</v>
      </c>
      <c r="BG402" s="2" t="s">
        <v>105</v>
      </c>
      <c r="BH402" s="9" t="str">
        <f>HYPERLINK(".\links\REFSEQ-PROTOZOA\AGAP003366-PA-REFSEQ-PROTOZOA.txt","hypothetical protein SAMD00019534_018070")</f>
        <v>hypothetical protein SAMD00019534_018070</v>
      </c>
      <c r="BI402" s="2" t="str">
        <f>HYPERLINK("http://www.ncbi.nlm.nih.gov/sutils/blink.cgi?pid=XP_012757852.1","2E-043")</f>
        <v>2E-043</v>
      </c>
      <c r="BJ402" s="2" t="str">
        <f>HYPERLINK("http://www.ncbi.nlm.nih.gov/protein/XP_012757852.1","XP_012757852.1")</f>
        <v>XP_012757852.1</v>
      </c>
      <c r="BK402" s="2">
        <v>23</v>
      </c>
      <c r="BL402" s="2">
        <v>39</v>
      </c>
      <c r="BM402" s="2">
        <v>49</v>
      </c>
      <c r="BN402" s="2" t="s">
        <v>186</v>
      </c>
      <c r="BO402" s="9" t="str">
        <f>HYPERLINK(".\links\SWISSP\AGAP003366-PA-SWISSP.txt","Myotubularin-related protein 13")</f>
        <v>Myotubularin-related protein 13</v>
      </c>
      <c r="BP402" s="2" t="str">
        <f>HYPERLINK("http://www.uniprot.org/uniprot/Q6NTN5","0.0")</f>
        <v>0.0</v>
      </c>
      <c r="BQ402" s="2" t="str">
        <f>HYPERLINK("http://www.uniprot.org/uniprot/Q6NTN5#expression","Q6NTN5")</f>
        <v>Q6NTN5</v>
      </c>
      <c r="BR402" s="2">
        <v>42</v>
      </c>
      <c r="BS402" s="2">
        <v>58</v>
      </c>
      <c r="BT402" s="2">
        <v>94</v>
      </c>
      <c r="BU402" s="2" t="s">
        <v>625</v>
      </c>
      <c r="BV402" s="9" t="str">
        <f>HYPERLINK(".\links\FLYBASE\AGAP003366-PA-FLYBASE.txt","FBpp0082004")</f>
        <v>FBpp0082004</v>
      </c>
      <c r="BW402" s="2" t="str">
        <f>HYPERLINK("http://flybase.org/reports/FBgn0025802#alliance_summary_container","0.0")</f>
        <v>0.0</v>
      </c>
      <c r="BX402" s="2">
        <v>1973</v>
      </c>
      <c r="BY402" s="2">
        <v>52</v>
      </c>
      <c r="BZ402" s="2">
        <v>67</v>
      </c>
      <c r="CA402" s="2">
        <v>73</v>
      </c>
      <c r="CB402" s="9" t="str">
        <f>HYPERLINK(".\links\CDD\AGAP003366-PA-CDD.txt","SBF2, Myotubularin protein")</f>
        <v>SBF2, Myotubularin protein</v>
      </c>
      <c r="CC402" s="15">
        <v>1.0000000000000001E-114</v>
      </c>
      <c r="CD402" s="2">
        <v>109.7</v>
      </c>
      <c r="CE402" s="2" t="s">
        <v>4298</v>
      </c>
      <c r="CF402" s="2" t="s">
        <v>4299</v>
      </c>
      <c r="CG402" s="9" t="str">
        <f>HYPERLINK(".\links\KOG\AGAP003366-PA-KOG.txt","Predicted dual-specificity phosphatase")</f>
        <v>Predicted dual-specificity phosphatase</v>
      </c>
      <c r="CH402" s="15">
        <v>0</v>
      </c>
      <c r="CI402" s="2">
        <v>81.8</v>
      </c>
      <c r="CJ402" s="2" t="s">
        <v>3972</v>
      </c>
      <c r="CK402" s="2" t="s">
        <v>191</v>
      </c>
      <c r="CL402" s="9" t="str">
        <f>HYPERLINK(".\links\PFAM\AGAP003366-PA-PFAM.txt","SBF2, Myotubularin protein")</f>
        <v>SBF2, Myotubularin protein</v>
      </c>
      <c r="CM402" s="15">
        <v>1.0000000000000001E-114</v>
      </c>
      <c r="CN402" s="2">
        <v>109.7</v>
      </c>
      <c r="CO402" s="2" t="s">
        <v>4298</v>
      </c>
      <c r="CP402" s="9" t="str">
        <f>HYPERLINK(".\links\SMART\AGAP003366-PA-SMART.txt","DENN, Domain found in a variety of signalling proteins, always encircled by uDENN and dDENN")</f>
        <v>DENN, Domain found in a variety of signalling proteins, always encircled by uDENN and dDENN</v>
      </c>
      <c r="CQ402" s="15">
        <v>3.0000000000000001E-61</v>
      </c>
      <c r="CR402" s="2">
        <v>101.1</v>
      </c>
      <c r="CS402" s="2" t="s">
        <v>3309</v>
      </c>
      <c r="CT402" s="2" t="s">
        <v>4295</v>
      </c>
      <c r="CU402" s="2" t="s">
        <v>4295</v>
      </c>
      <c r="CV402" s="2" t="s">
        <v>4295</v>
      </c>
      <c r="CW402" s="2" t="str">
        <f>HYPERLINK(".\links\pep\AGAP003366-PA-pep.txt","AGAP003366-PA")</f>
        <v>AGAP003366-PA</v>
      </c>
      <c r="CX402" s="2" t="s">
        <v>95</v>
      </c>
      <c r="CY402" s="2">
        <v>2214</v>
      </c>
      <c r="CZ402" s="2" t="s">
        <v>113</v>
      </c>
      <c r="DA402" s="2" t="s">
        <v>4300</v>
      </c>
      <c r="DB402" s="2">
        <v>0</v>
      </c>
      <c r="DC402" s="2">
        <v>5</v>
      </c>
      <c r="DD402" s="2" t="str">
        <f>HYPERLINK("https://www.kegg.jp/kegg-bin/search_pathway_text?map=aga&amp;keyword=AGAP003366&amp;mode=1&amp;viewImage=true","AGAP003366")</f>
        <v>AGAP003366</v>
      </c>
      <c r="DE402" s="2" t="s">
        <v>4291</v>
      </c>
      <c r="DF402" s="2" t="s">
        <v>4292</v>
      </c>
      <c r="DG402" s="2" t="s">
        <v>94</v>
      </c>
      <c r="DH402" s="2" t="str">
        <f>HYPERLINK("https://vectorbase.org/vectorbase/app/record/gene/AGAP003366","AGAP003366-RA")</f>
        <v>AGAP003366-RA</v>
      </c>
      <c r="DI402" s="2" t="s">
        <v>90</v>
      </c>
      <c r="DJ402" s="2">
        <v>9771</v>
      </c>
      <c r="DK402" s="2" t="str">
        <f>HYPERLINK(".\links\netoglyc\AGAP003366-PA-netoglyc.txt","1")</f>
        <v>1</v>
      </c>
      <c r="DL402" s="2">
        <v>12.9</v>
      </c>
      <c r="DM402" s="2">
        <v>8.9</v>
      </c>
      <c r="DN402" s="2">
        <v>5.6</v>
      </c>
      <c r="DO402" s="2" t="s">
        <v>104</v>
      </c>
      <c r="DP402" s="2" t="s">
        <v>102</v>
      </c>
      <c r="DQ402" s="2" t="str">
        <f>HYPERLINK(".\links\Sigp\AGAP003366-PA-SigP.txt","CYT")</f>
        <v>CYT</v>
      </c>
      <c r="DR402" s="2" t="s">
        <v>102</v>
      </c>
      <c r="DS402" s="2">
        <v>244.78700000000001</v>
      </c>
      <c r="DT402" s="2">
        <v>6.61</v>
      </c>
      <c r="DU402" s="2" t="s">
        <v>102</v>
      </c>
      <c r="DV402" s="2" t="s">
        <v>102</v>
      </c>
      <c r="DW402" s="2" t="s">
        <v>4297</v>
      </c>
      <c r="DX402" s="2">
        <v>2214</v>
      </c>
      <c r="DY402" s="12">
        <v>0</v>
      </c>
      <c r="DZ402" s="2" t="s">
        <v>102</v>
      </c>
      <c r="EA402" s="2" t="s">
        <v>102</v>
      </c>
      <c r="EB402" s="2" t="s">
        <v>102</v>
      </c>
      <c r="EC402" s="2" t="str">
        <f>HYPERLINK(".\links\gpi\AGAP003366-PA-gpi.txt","N")</f>
        <v>N</v>
      </c>
      <c r="ED402" s="2">
        <v>0.11</v>
      </c>
      <c r="EF402" s="2">
        <v>42</v>
      </c>
      <c r="EG402" s="2" t="str">
        <f>HYPERLINK(".\links\pep\AGAP003366-PA-sulf.txt","6")</f>
        <v>6</v>
      </c>
      <c r="EH402" s="2" t="s">
        <v>102</v>
      </c>
      <c r="EI402" s="2">
        <v>12.872628726287299</v>
      </c>
      <c r="EJ402" s="2">
        <v>5.6007226738934097</v>
      </c>
      <c r="EK402" s="2">
        <v>8.9430894308943092</v>
      </c>
      <c r="EL402" s="2">
        <v>14.543812104787699</v>
      </c>
      <c r="EM402" s="2">
        <v>7</v>
      </c>
      <c r="EN402" s="2">
        <v>3</v>
      </c>
      <c r="EO402" s="2">
        <v>3</v>
      </c>
      <c r="EP402" s="2" t="s">
        <v>102</v>
      </c>
      <c r="EQ402" s="2" t="s">
        <v>102</v>
      </c>
      <c r="ER402" s="2" t="s">
        <v>102</v>
      </c>
      <c r="ES402" s="2" t="s">
        <v>576</v>
      </c>
      <c r="ET402" s="2" t="str">
        <f>HYPERLINK(".\links\REFSEQ-INVERTEBRATE\AGAP003366-PA-REFSEQ-INVERTEBRATE.txt","AGAP003366-PA")</f>
        <v>AGAP003366-PA</v>
      </c>
      <c r="EU402" s="2" t="str">
        <f>HYPERLINK("http://www.ncbi.nlm.nih.gov/sutils/blink.cgi?pid=XP_314268.5","0.0")</f>
        <v>0.0</v>
      </c>
      <c r="EV402" s="2" t="str">
        <f>HYPERLINK("http://www.ncbi.nlm.nih.gov/protein/XP_314268.5","XP_314268.5")</f>
        <v>XP_314268.5</v>
      </c>
      <c r="EW402" s="2">
        <v>100</v>
      </c>
      <c r="EX402" s="2">
        <v>100</v>
      </c>
      <c r="EY402" s="2">
        <v>100</v>
      </c>
      <c r="EZ402" s="2" t="s">
        <v>105</v>
      </c>
    </row>
    <row r="403" spans="1:156" x14ac:dyDescent="0.25">
      <c r="A403" s="2" t="s">
        <v>4301</v>
      </c>
      <c r="B403" s="2">
        <v>-0.330866378819688</v>
      </c>
      <c r="C403" s="2">
        <f t="shared" si="6"/>
        <v>0.79505888521264334</v>
      </c>
      <c r="D403" s="2">
        <v>7.0774032837302698</v>
      </c>
      <c r="E403" s="2">
        <v>9.5710197504789498</v>
      </c>
      <c r="F403" s="2">
        <v>1.9767295107303998E-3</v>
      </c>
      <c r="G403" s="2">
        <v>4.3386791376944497E-2</v>
      </c>
      <c r="H403" s="2" t="s">
        <v>93</v>
      </c>
      <c r="I403" s="2" t="s">
        <v>94</v>
      </c>
      <c r="J403" s="2" t="str">
        <f>HYPERLINK("https://vectorbase.org/vectorbase/app/record/gene/AGAP002215","AGAP002215-RA")</f>
        <v>AGAP002215-RA</v>
      </c>
      <c r="K403" s="2" t="str">
        <f>HYPERLINK(".\links\pep\AGAP002215-PA-pep.txt","AGAP002215-PA")</f>
        <v>AGAP002215-PA</v>
      </c>
      <c r="L403" s="12" t="s">
        <v>95</v>
      </c>
      <c r="M403" s="2">
        <v>2176</v>
      </c>
      <c r="N403" s="2">
        <v>0</v>
      </c>
      <c r="O403" s="2">
        <v>2</v>
      </c>
      <c r="P403" s="2" t="s">
        <v>102</v>
      </c>
      <c r="Q403" s="9" t="s">
        <v>1984</v>
      </c>
      <c r="R403" s="2" t="s">
        <v>196</v>
      </c>
      <c r="S403" s="2" t="str">
        <f>HYPERLINK(".\links\KOG\AGAP002215-PA-KOG.txt","KOG")</f>
        <v>KOG</v>
      </c>
      <c r="T403" s="2">
        <v>0</v>
      </c>
      <c r="U403" s="2">
        <v>107.3</v>
      </c>
      <c r="V403" s="2" t="s">
        <v>4302</v>
      </c>
      <c r="W403" s="10" t="s">
        <v>4303</v>
      </c>
      <c r="X403" s="2" t="s">
        <v>771</v>
      </c>
      <c r="Y403" s="2" t="str">
        <f>HYPERLINK(".\links\ELEGANS\AGAP002215-PA-ELEGANS.txt","ELEGANS")</f>
        <v>ELEGANS</v>
      </c>
      <c r="Z403" s="2">
        <v>0</v>
      </c>
      <c r="AA403" s="2">
        <v>58.2</v>
      </c>
      <c r="AB403" s="13" t="str">
        <f>HYPERLINK(".\links\pep\AGAP002215-PA-sulf.txt","1")</f>
        <v>1</v>
      </c>
      <c r="AC403" s="13" t="str">
        <f>HYPERLINK(".\links\Sigp\AGAP002215-PA-SigP.txt","CYT")</f>
        <v>CYT</v>
      </c>
      <c r="AD403" s="2" t="s">
        <v>102</v>
      </c>
      <c r="AE403" s="2">
        <v>236.15799999999999</v>
      </c>
      <c r="AF403" s="2">
        <v>6.09</v>
      </c>
      <c r="AG403" s="2" t="s">
        <v>102</v>
      </c>
      <c r="AH403" s="2" t="s">
        <v>102</v>
      </c>
      <c r="AI403" s="2" t="s">
        <v>4304</v>
      </c>
      <c r="AJ403" s="13">
        <v>0</v>
      </c>
      <c r="AK403" s="2" t="s">
        <v>102</v>
      </c>
      <c r="AL403" s="2" t="s">
        <v>102</v>
      </c>
      <c r="AM403" s="2" t="s">
        <v>102</v>
      </c>
      <c r="AN403" s="13" t="str">
        <f>HYPERLINK(".\links\gpi\AGAP002215-PA-gpi.txt","N")</f>
        <v>N</v>
      </c>
      <c r="AO403" s="14" t="str">
        <f>HYPERLINK(".\links\netoglyc\AGAP002215-PA-netoglyc.txt","0")</f>
        <v>0</v>
      </c>
      <c r="AP403" s="13">
        <v>13.5</v>
      </c>
      <c r="AQ403" s="2">
        <v>6.8</v>
      </c>
      <c r="AR403" s="2">
        <v>4</v>
      </c>
      <c r="AS403" s="2" t="s">
        <v>104</v>
      </c>
      <c r="AT403" s="9" t="str">
        <f>HYPERLINK(".\links\NR-LIGHT\AGAP002215-PA-NR-LIGHT.txt","AGAP002215-PA")</f>
        <v>AGAP002215-PA</v>
      </c>
      <c r="AU403" s="2" t="str">
        <f>HYPERLINK("http://www.ncbi.nlm.nih.gov/sutils/blink.cgi?pid=XP_307970.5","0.0")</f>
        <v>0.0</v>
      </c>
      <c r="AV403" s="2" t="str">
        <f>HYPERLINK("http://www.ncbi.nlm.nih.gov/protein/XP_307970.5","XP_307970.5")</f>
        <v>XP_307970.5</v>
      </c>
      <c r="AW403" s="2">
        <v>100</v>
      </c>
      <c r="AX403" s="2">
        <v>100</v>
      </c>
      <c r="AY403" s="2">
        <v>100</v>
      </c>
      <c r="AZ403" s="2" t="s">
        <v>105</v>
      </c>
      <c r="BA403" s="9" t="str">
        <f>HYPERLINK(".\links\REFSEQ-INVERTEBRATE\AGAP002215-PA-REFSEQ-INVERTEBRATE.txt","AGAP002215-PA")</f>
        <v>AGAP002215-PA</v>
      </c>
      <c r="BB403" s="2" t="str">
        <f>HYPERLINK("http://www.ncbi.nlm.nih.gov/sutils/blink.cgi?pid=XP_307970.5","0.0")</f>
        <v>0.0</v>
      </c>
      <c r="BC403" s="2" t="str">
        <f>HYPERLINK("http://www.ncbi.nlm.nih.gov/protein/XP_307970.5","XP_307970.5")</f>
        <v>XP_307970.5</v>
      </c>
      <c r="BD403" s="2">
        <v>100</v>
      </c>
      <c r="BE403" s="2">
        <v>100</v>
      </c>
      <c r="BF403" s="2">
        <v>100</v>
      </c>
      <c r="BG403" s="2" t="s">
        <v>105</v>
      </c>
      <c r="BH403" s="9" t="str">
        <f>HYPERLINK(".\links\REFSEQ-PROTOZOA\AGAP002215-PA-REFSEQ-PROTOZOA.txt","hypothetical protein PTSG_01820")</f>
        <v>hypothetical protein PTSG_01820</v>
      </c>
      <c r="BI403" s="2" t="str">
        <f>HYPERLINK("http://www.ncbi.nlm.nih.gov/sutils/blink.cgi?pid=XP_004997800.1","0.0")</f>
        <v>0.0</v>
      </c>
      <c r="BJ403" s="2" t="str">
        <f>HYPERLINK("http://www.ncbi.nlm.nih.gov/protein/XP_004997800.1","XP_004997800.1")</f>
        <v>XP_004997800.1</v>
      </c>
      <c r="BK403" s="2">
        <v>32</v>
      </c>
      <c r="BL403" s="2">
        <v>51</v>
      </c>
      <c r="BM403" s="2">
        <v>81</v>
      </c>
      <c r="BN403" s="2" t="s">
        <v>435</v>
      </c>
      <c r="BO403" s="9" t="str">
        <f>HYPERLINK(".\links\SWISSP\AGAP002215-PA-SWISSP.txt","HEAT repeat-containing protein 5B")</f>
        <v>HEAT repeat-containing protein 5B</v>
      </c>
      <c r="BP403" s="2" t="str">
        <f>HYPERLINK("http://www.uniprot.org/uniprot/A1A5F2","0.0")</f>
        <v>0.0</v>
      </c>
      <c r="BQ403" s="2" t="str">
        <f>HYPERLINK("http://www.uniprot.org/uniprot/A1A5F2#expression","A1A5F2")</f>
        <v>A1A5F2</v>
      </c>
      <c r="BR403" s="2">
        <v>51</v>
      </c>
      <c r="BS403" s="2">
        <v>68</v>
      </c>
      <c r="BT403" s="2">
        <v>107</v>
      </c>
      <c r="BU403" s="2" t="s">
        <v>459</v>
      </c>
      <c r="BV403" s="9" t="str">
        <f>HYPERLINK(".\links\FLYBASE\AGAP002215-PA-FLYBASE.txt","FBpp0290138")</f>
        <v>FBpp0290138</v>
      </c>
      <c r="BW403" s="2" t="str">
        <f>HYPERLINK("http://flybase.org/reports/FBgn0037541#alliance_summary_container","0.0")</f>
        <v>0.0</v>
      </c>
      <c r="BX403" s="2">
        <v>2154</v>
      </c>
      <c r="BY403" s="2">
        <v>65</v>
      </c>
      <c r="BZ403" s="2">
        <v>78</v>
      </c>
      <c r="CA403" s="2">
        <v>103</v>
      </c>
      <c r="CB403" s="9" t="str">
        <f>HYPERLINK(".\links\CDD\AGAP002215-PA-CDD.txt","HEAT, HEAT repeats")</f>
        <v>HEAT, HEAT repeats</v>
      </c>
      <c r="CC403" s="15">
        <v>1.0000000000000001E-5</v>
      </c>
      <c r="CD403" s="2">
        <v>82.9</v>
      </c>
      <c r="CE403" s="2" t="s">
        <v>984</v>
      </c>
      <c r="CF403" s="2" t="s">
        <v>4305</v>
      </c>
      <c r="CG403" s="9" t="str">
        <f>HYPERLINK(".\links\KOG\AGAP002215-PA-KOG.txt","Uncharacterized conserved protein")</f>
        <v>Uncharacterized conserved protein</v>
      </c>
      <c r="CH403" s="15">
        <v>0</v>
      </c>
      <c r="CI403" s="2">
        <v>107.4</v>
      </c>
      <c r="CJ403" s="2" t="s">
        <v>4306</v>
      </c>
      <c r="CK403" s="2" t="s">
        <v>284</v>
      </c>
      <c r="CL403" s="9" t="str">
        <f>HYPERLINK(".\links\PFAM\AGAP002215-PA-PFAM.txt","Loricrin, Major keratinocyte cell envelope protein")</f>
        <v>Loricrin, Major keratinocyte cell envelope protein</v>
      </c>
      <c r="CM403" s="15">
        <v>9.0000000000000002E-6</v>
      </c>
      <c r="CN403" s="2">
        <v>11</v>
      </c>
      <c r="CO403" s="2" t="s">
        <v>3891</v>
      </c>
      <c r="CP403" s="9" t="str">
        <f>HYPERLINK(".\links\SMART\AGAP002215-PA-SMART.txt","PRP, Major prion protein")</f>
        <v>PRP, Major prion protein</v>
      </c>
      <c r="CQ403" s="15">
        <v>3.0000000000000001E-3</v>
      </c>
      <c r="CR403" s="2">
        <v>18.3</v>
      </c>
      <c r="CS403" s="2" t="s">
        <v>1331</v>
      </c>
      <c r="CT403" s="2" t="s">
        <v>4302</v>
      </c>
      <c r="CU403" s="2" t="s">
        <v>4302</v>
      </c>
      <c r="CV403" s="2" t="s">
        <v>4302</v>
      </c>
      <c r="CW403" s="2" t="str">
        <f>HYPERLINK(".\links\pep\AGAP002215-PA-pep.txt","AGAP002215-PA")</f>
        <v>AGAP002215-PA</v>
      </c>
      <c r="CX403" s="2" t="s">
        <v>95</v>
      </c>
      <c r="CY403" s="2">
        <v>2176</v>
      </c>
      <c r="CZ403" s="2" t="s">
        <v>113</v>
      </c>
      <c r="DA403" s="2" t="s">
        <v>4307</v>
      </c>
      <c r="DB403" s="2">
        <v>0</v>
      </c>
      <c r="DC403" s="2">
        <v>2</v>
      </c>
      <c r="DD403" s="2" t="str">
        <f>HYPERLINK("https://www.kegg.jp/kegg-bin/search_pathway_text?map=aga&amp;keyword=AGAP002215&amp;mode=1&amp;viewImage=true","AGAP002215")</f>
        <v>AGAP002215</v>
      </c>
      <c r="DE403" s="2" t="s">
        <v>4301</v>
      </c>
      <c r="DF403" s="2" t="s">
        <v>93</v>
      </c>
      <c r="DG403" s="2" t="s">
        <v>94</v>
      </c>
      <c r="DH403" s="2" t="str">
        <f>HYPERLINK("https://vectorbase.org/vectorbase/app/record/gene/AGAP002215","AGAP002215-RA")</f>
        <v>AGAP002215-RA</v>
      </c>
      <c r="DI403" s="2" t="s">
        <v>115</v>
      </c>
      <c r="DJ403" s="2">
        <v>7419</v>
      </c>
      <c r="DK403" s="2" t="str">
        <f>HYPERLINK(".\links\netoglyc\AGAP002215-PA-netoglyc.txt","0")</f>
        <v>0</v>
      </c>
      <c r="DL403" s="2">
        <v>13.5</v>
      </c>
      <c r="DM403" s="2">
        <v>6.8</v>
      </c>
      <c r="DN403" s="2">
        <v>4</v>
      </c>
      <c r="DO403" s="2" t="s">
        <v>104</v>
      </c>
      <c r="DP403" s="2" t="s">
        <v>102</v>
      </c>
      <c r="DQ403" s="2" t="str">
        <f>HYPERLINK(".\links\Sigp\AGAP002215-PA-SigP.txt","CYT")</f>
        <v>CYT</v>
      </c>
      <c r="DR403" s="2" t="s">
        <v>102</v>
      </c>
      <c r="DS403" s="2">
        <v>236.15799999999999</v>
      </c>
      <c r="DT403" s="2">
        <v>6.09</v>
      </c>
      <c r="DU403" s="2" t="s">
        <v>102</v>
      </c>
      <c r="DV403" s="2" t="s">
        <v>102</v>
      </c>
      <c r="DW403" s="2" t="s">
        <v>4304</v>
      </c>
      <c r="DX403" s="2">
        <v>2176</v>
      </c>
      <c r="DY403" s="12">
        <v>0</v>
      </c>
      <c r="DZ403" s="2" t="s">
        <v>102</v>
      </c>
      <c r="EA403" s="2" t="s">
        <v>102</v>
      </c>
      <c r="EB403" s="2" t="s">
        <v>102</v>
      </c>
      <c r="EC403" s="2" t="str">
        <f>HYPERLINK(".\links\gpi\AGAP002215-PA-gpi.txt","Y-NoSP")</f>
        <v>Y-NoSP</v>
      </c>
      <c r="ED403" s="2">
        <v>0.17</v>
      </c>
      <c r="EF403" s="2">
        <v>53</v>
      </c>
      <c r="EG403" s="2" t="str">
        <f>HYPERLINK(".\links\pep\AGAP002215-PA-sulf.txt","1")</f>
        <v>1</v>
      </c>
      <c r="EH403" s="2" t="s">
        <v>102</v>
      </c>
      <c r="EI403" s="2">
        <v>13.511029411764699</v>
      </c>
      <c r="EJ403" s="2">
        <v>3.99816176470588</v>
      </c>
      <c r="EK403" s="2">
        <v>6.8474264705882399</v>
      </c>
      <c r="EL403" s="2">
        <v>10.8455882352941</v>
      </c>
      <c r="EM403" s="2">
        <v>5</v>
      </c>
      <c r="EN403" s="2">
        <v>6</v>
      </c>
      <c r="EO403" s="2">
        <v>10</v>
      </c>
      <c r="EP403" s="2" t="s">
        <v>102</v>
      </c>
      <c r="EQ403" s="2" t="s">
        <v>102</v>
      </c>
      <c r="ER403" s="2" t="s">
        <v>102</v>
      </c>
      <c r="ES403" s="2" t="s">
        <v>102</v>
      </c>
      <c r="ET403" s="2" t="str">
        <f>HYPERLINK(".\links\REFSEQ-INVERTEBRATE\AGAP002215-PA-REFSEQ-INVERTEBRATE.txt","AGAP002215-PA")</f>
        <v>AGAP002215-PA</v>
      </c>
      <c r="EU403" s="2" t="str">
        <f>HYPERLINK("http://www.ncbi.nlm.nih.gov/sutils/blink.cgi?pid=XP_307970.5","0.0")</f>
        <v>0.0</v>
      </c>
      <c r="EV403" s="2" t="str">
        <f>HYPERLINK("http://www.ncbi.nlm.nih.gov/protein/XP_307970.5","XP_307970.5")</f>
        <v>XP_307970.5</v>
      </c>
      <c r="EW403" s="2">
        <v>100</v>
      </c>
      <c r="EX403" s="2">
        <v>100</v>
      </c>
      <c r="EY403" s="2">
        <v>100</v>
      </c>
      <c r="EZ403" s="2" t="s">
        <v>105</v>
      </c>
    </row>
    <row r="404" spans="1:156" x14ac:dyDescent="0.25">
      <c r="A404" s="2" t="s">
        <v>4308</v>
      </c>
      <c r="B404" s="2">
        <v>-0.33143099308093399</v>
      </c>
      <c r="C404" s="2">
        <f t="shared" si="6"/>
        <v>0.7947477912235319</v>
      </c>
      <c r="D404" s="2">
        <v>8.3371270258148904</v>
      </c>
      <c r="E404" s="2">
        <v>14.4617804492028</v>
      </c>
      <c r="F404" s="2">
        <v>1.43032441047659E-4</v>
      </c>
      <c r="G404" s="2">
        <v>1.3051710245598799E-2</v>
      </c>
      <c r="H404" s="2" t="s">
        <v>4309</v>
      </c>
      <c r="I404" s="2" t="s">
        <v>94</v>
      </c>
      <c r="J404" s="2" t="str">
        <f>HYPERLINK("https://vectorbase.org/vectorbase/app/record/gene/AGAP011203","AGAP011203-RA")</f>
        <v>AGAP011203-RA</v>
      </c>
      <c r="K404" s="2" t="str">
        <f>HYPERLINK(".\links\pep\AGAP011203-PA-pep.txt","AGAP011203-PA")</f>
        <v>AGAP011203-PA</v>
      </c>
      <c r="L404" s="12" t="s">
        <v>95</v>
      </c>
      <c r="M404" s="2">
        <v>460</v>
      </c>
      <c r="N404" s="2">
        <v>0</v>
      </c>
      <c r="O404" s="2">
        <v>1</v>
      </c>
      <c r="P404" s="2" t="s">
        <v>4310</v>
      </c>
      <c r="Q404" s="9" t="s">
        <v>4311</v>
      </c>
      <c r="R404" s="2" t="s">
        <v>672</v>
      </c>
      <c r="S404" s="2" t="str">
        <f>HYPERLINK(".\links\REFSEQ-INVERTEBRATE\AGAP011203-PA-REFSEQ-INVERTEBRATE.txt","REFSEQ-INVERTEBRATE")</f>
        <v>REFSEQ-INVERTEBRATE</v>
      </c>
      <c r="T404" s="2">
        <v>0</v>
      </c>
      <c r="U404" s="2">
        <v>102.2</v>
      </c>
      <c r="V404" s="2" t="s">
        <v>4312</v>
      </c>
      <c r="W404" s="10" t="s">
        <v>4313</v>
      </c>
      <c r="X404" s="2" t="s">
        <v>672</v>
      </c>
      <c r="Y404" s="2" t="str">
        <f>HYPERLINK(".\links\REFSEQ-VIRUS\AGAP011203-PA-REFSEQ-VIRUS.txt","REFSEQ-VIRUS")</f>
        <v>REFSEQ-VIRUS</v>
      </c>
      <c r="Z404" s="2">
        <v>0</v>
      </c>
      <c r="AA404" s="2">
        <v>103.9</v>
      </c>
      <c r="AB404" s="13" t="s">
        <v>102</v>
      </c>
      <c r="AC404" s="13" t="str">
        <f>HYPERLINK(".\links\Sigp\AGAP011203-PA-SigP.txt","CYT")</f>
        <v>CYT</v>
      </c>
      <c r="AD404" s="2" t="s">
        <v>102</v>
      </c>
      <c r="AE404" s="2">
        <v>51.347000000000001</v>
      </c>
      <c r="AF404" s="2">
        <v>4.9800000000000004</v>
      </c>
      <c r="AG404" s="2" t="s">
        <v>102</v>
      </c>
      <c r="AH404" s="2" t="s">
        <v>102</v>
      </c>
      <c r="AI404" s="2" t="s">
        <v>198</v>
      </c>
      <c r="AJ404" s="13">
        <v>0</v>
      </c>
      <c r="AK404" s="2" t="s">
        <v>102</v>
      </c>
      <c r="AL404" s="2" t="s">
        <v>102</v>
      </c>
      <c r="AM404" s="2" t="s">
        <v>102</v>
      </c>
      <c r="AN404" s="13" t="str">
        <f>HYPERLINK(".\links\gpi\AGAP011203-PA-gpi.txt","N")</f>
        <v>N</v>
      </c>
      <c r="AO404" s="14" t="str">
        <f>HYPERLINK(".\links\netoglyc\AGAP011203-PA-netoglyc.txt","0")</f>
        <v>0</v>
      </c>
      <c r="AP404" s="13">
        <v>11.1</v>
      </c>
      <c r="AQ404" s="2">
        <v>6.7</v>
      </c>
      <c r="AR404" s="2">
        <v>3.3</v>
      </c>
      <c r="AS404" s="2" t="s">
        <v>104</v>
      </c>
      <c r="AT404" s="9" t="str">
        <f>HYPERLINK(".\links\NR-LIGHT\AGAP011203-PA-NR-LIGHT.txt","AGAP011203-PA")</f>
        <v>AGAP011203-PA</v>
      </c>
      <c r="AU404" s="2" t="str">
        <f>HYPERLINK("http://www.ncbi.nlm.nih.gov/sutils/blink.cgi?pid=XP_309438.2","0.0")</f>
        <v>0.0</v>
      </c>
      <c r="AV404" s="2" t="str">
        <f>HYPERLINK("http://www.ncbi.nlm.nih.gov/protein/XP_309438.2","XP_309438.2")</f>
        <v>XP_309438.2</v>
      </c>
      <c r="AW404" s="2">
        <v>100</v>
      </c>
      <c r="AX404" s="2">
        <v>100</v>
      </c>
      <c r="AY404" s="2">
        <v>100</v>
      </c>
      <c r="AZ404" s="2" t="s">
        <v>105</v>
      </c>
      <c r="BA404" s="9" t="str">
        <f>HYPERLINK(".\links\REFSEQ-INVERTEBRATE\AGAP011203-PA-REFSEQ-INVERTEBRATE.txt","AGAP011203-PA")</f>
        <v>AGAP011203-PA</v>
      </c>
      <c r="BB404" s="2" t="str">
        <f>HYPERLINK("http://www.ncbi.nlm.nih.gov/sutils/blink.cgi?pid=XP_309438.2","0.0")</f>
        <v>0.0</v>
      </c>
      <c r="BC404" s="2" t="str">
        <f>HYPERLINK("http://www.ncbi.nlm.nih.gov/protein/XP_309438.2","XP_309438.2")</f>
        <v>XP_309438.2</v>
      </c>
      <c r="BD404" s="2">
        <v>100</v>
      </c>
      <c r="BE404" s="2">
        <v>100</v>
      </c>
      <c r="BF404" s="2">
        <v>100</v>
      </c>
      <c r="BG404" s="2" t="s">
        <v>105</v>
      </c>
      <c r="BH404" s="9" t="str">
        <f>HYPERLINK(".\links\REFSEQ-PROTOZOA\AGAP011203-PA-REFSEQ-PROTOZOA.txt","hypothetical protein SARC_05427")</f>
        <v>hypothetical protein SARC_05427</v>
      </c>
      <c r="BI404" s="2" t="str">
        <f>HYPERLINK("http://www.ncbi.nlm.nih.gov/sutils/blink.cgi?pid=XP_014156184.1","3E-096")</f>
        <v>3E-096</v>
      </c>
      <c r="BJ404" s="2" t="str">
        <f>HYPERLINK("http://www.ncbi.nlm.nih.gov/protein/XP_014156184.1","XP_014156184.1")</f>
        <v>XP_014156184.1</v>
      </c>
      <c r="BK404" s="2">
        <v>41</v>
      </c>
      <c r="BL404" s="2">
        <v>57</v>
      </c>
      <c r="BM404" s="2">
        <v>102</v>
      </c>
      <c r="BN404" s="2" t="s">
        <v>393</v>
      </c>
      <c r="BO404" s="9" t="str">
        <f>HYPERLINK(".\links\SWISSP\AGAP011203-PA-SWISSP.txt","Eukaryotic translation initiation factor 5")</f>
        <v>Eukaryotic translation initiation factor 5</v>
      </c>
      <c r="BP404" s="2" t="str">
        <f>HYPERLINK("http://www.uniprot.org/uniprot/Q9VXK6","1E-170")</f>
        <v>1E-170</v>
      </c>
      <c r="BQ404" s="2" t="str">
        <f>HYPERLINK("http://www.uniprot.org/uniprot/Q9VXK6#expression","Q9VXK6")</f>
        <v>Q9VXK6</v>
      </c>
      <c r="BR404" s="2">
        <v>65</v>
      </c>
      <c r="BS404" s="2">
        <v>77</v>
      </c>
      <c r="BT404" s="2">
        <v>101</v>
      </c>
      <c r="BU404" s="2" t="s">
        <v>107</v>
      </c>
      <c r="BV404" s="9" t="str">
        <f>HYPERLINK(".\links\FLYBASE\AGAP011203-PA-FLYBASE.txt","FBpp0089139")</f>
        <v>FBpp0089139</v>
      </c>
      <c r="BW404" s="2" t="str">
        <f>HYPERLINK("http://flybase.org/reports/FBgn0030719#alliance_summary_container","0.0")</f>
        <v>0.0</v>
      </c>
      <c r="BX404" s="2">
        <v>464</v>
      </c>
      <c r="BY404" s="2">
        <v>69</v>
      </c>
      <c r="BZ404" s="2">
        <v>81</v>
      </c>
      <c r="CA404" s="2">
        <v>88</v>
      </c>
      <c r="CB404" s="9" t="str">
        <f>HYPERLINK(".\links\CDD\AGAP011203-PA-CDD.txt","W2_eIF5, C-terminal W2 domain of eukaryotic translation initiation factor 5")</f>
        <v>W2_eIF5, C-terminal W2 domain of eukaryotic translation initiation factor 5</v>
      </c>
      <c r="CC404" s="15">
        <v>3.9999999999999999E-47</v>
      </c>
      <c r="CD404" s="2">
        <v>102.5</v>
      </c>
      <c r="CE404" s="2" t="s">
        <v>4314</v>
      </c>
      <c r="CF404" s="2" t="s">
        <v>4315</v>
      </c>
      <c r="CG404" s="9" t="str">
        <f>HYPERLINK(".\links\KOG\AGAP011203-PA-KOG.txt","Translation initiation factor 5 (eIF-5)")</f>
        <v>Translation initiation factor 5 (eIF-5)</v>
      </c>
      <c r="CH404" s="15">
        <v>1E-139</v>
      </c>
      <c r="CI404" s="2">
        <v>102.8</v>
      </c>
      <c r="CJ404" s="2" t="s">
        <v>4316</v>
      </c>
      <c r="CK404" s="2" t="s">
        <v>678</v>
      </c>
      <c r="CL404" s="9" t="str">
        <f>HYPERLINK(".\links\PFAM\AGAP011203-PA-PFAM.txt","eIF-5_eIF-2B, Domain found in IF2B/IF5")</f>
        <v>eIF-5_eIF-2B, Domain found in IF2B/IF5</v>
      </c>
      <c r="CM404" s="15">
        <v>9.9999999999999995E-45</v>
      </c>
      <c r="CN404" s="2">
        <v>105.2</v>
      </c>
      <c r="CO404" s="2" t="s">
        <v>4317</v>
      </c>
      <c r="CP404" s="9" t="str">
        <f>HYPERLINK(".\links\SMART\AGAP011203-PA-SMART.txt","eIF2B_5, domain present in translation initiation factor eIF2B and eIF5")</f>
        <v>eIF2B_5, domain present in translation initiation factor eIF2B and eIF5</v>
      </c>
      <c r="CQ404" s="15">
        <v>3.0000000000000003E-42</v>
      </c>
      <c r="CR404" s="2">
        <v>105.5</v>
      </c>
      <c r="CS404" s="2" t="s">
        <v>4318</v>
      </c>
      <c r="CT404" s="2" t="s">
        <v>4312</v>
      </c>
      <c r="CU404" s="2" t="s">
        <v>4312</v>
      </c>
      <c r="CV404" s="2" t="s">
        <v>4312</v>
      </c>
      <c r="CW404" s="2" t="str">
        <f>HYPERLINK(".\links\pep\AGAP011203-PA-pep.txt","AGAP011203-PA")</f>
        <v>AGAP011203-PA</v>
      </c>
      <c r="CX404" s="2" t="s">
        <v>95</v>
      </c>
      <c r="CY404" s="2">
        <v>460</v>
      </c>
      <c r="CZ404" s="2" t="s">
        <v>113</v>
      </c>
      <c r="DA404" s="2" t="s">
        <v>4319</v>
      </c>
      <c r="DB404" s="2">
        <v>0</v>
      </c>
      <c r="DC404" s="2">
        <v>1</v>
      </c>
      <c r="DD404" s="2" t="str">
        <f>HYPERLINK("https://www.kegg.jp/kegg-bin/search_pathway_text?map=aga&amp;keyword=AGAP011203&amp;mode=1&amp;viewImage=true","AGAP011203")</f>
        <v>AGAP011203</v>
      </c>
      <c r="DE404" s="2" t="s">
        <v>4308</v>
      </c>
      <c r="DF404" s="2" t="s">
        <v>4309</v>
      </c>
      <c r="DG404" s="2" t="s">
        <v>94</v>
      </c>
      <c r="DH404" s="2" t="str">
        <f>HYPERLINK("https://vectorbase.org/vectorbase/app/record/gene/AGAP011203","AGAP011203-RA")</f>
        <v>AGAP011203-RA</v>
      </c>
      <c r="DI404" s="2" t="s">
        <v>135</v>
      </c>
      <c r="DJ404" s="2">
        <v>3853</v>
      </c>
      <c r="DK404" s="2" t="str">
        <f>HYPERLINK(".\links\netoglyc\AGAP011203-PA-netoglyc.txt","0")</f>
        <v>0</v>
      </c>
      <c r="DL404" s="2">
        <v>11.1</v>
      </c>
      <c r="DM404" s="2">
        <v>6.7</v>
      </c>
      <c r="DN404" s="2">
        <v>3.3</v>
      </c>
      <c r="DO404" s="2" t="s">
        <v>104</v>
      </c>
      <c r="DP404" s="2" t="s">
        <v>102</v>
      </c>
      <c r="DQ404" s="2" t="str">
        <f>HYPERLINK(".\links\Sigp\AGAP011203-PA-SigP.txt","CYT")</f>
        <v>CYT</v>
      </c>
      <c r="DR404" s="2" t="s">
        <v>102</v>
      </c>
      <c r="DS404" s="2">
        <v>51.347000000000001</v>
      </c>
      <c r="DT404" s="2">
        <v>4.9800000000000004</v>
      </c>
      <c r="DU404" s="2" t="s">
        <v>102</v>
      </c>
      <c r="DV404" s="2" t="s">
        <v>102</v>
      </c>
      <c r="DW404" s="2" t="s">
        <v>198</v>
      </c>
      <c r="DX404" s="2">
        <v>460</v>
      </c>
      <c r="DY404" s="12">
        <v>0</v>
      </c>
      <c r="DZ404" s="2" t="s">
        <v>102</v>
      </c>
      <c r="EA404" s="2" t="s">
        <v>102</v>
      </c>
      <c r="EB404" s="2" t="s">
        <v>102</v>
      </c>
      <c r="EC404" s="2" t="str">
        <f>HYPERLINK(".\links\gpi\AGAP011203-PA-gpi.txt","Y-NoSP")</f>
        <v>Y-NoSP</v>
      </c>
      <c r="ED404" s="2">
        <v>0.26</v>
      </c>
      <c r="EF404" s="2">
        <v>5</v>
      </c>
      <c r="EG404" s="2" t="s">
        <v>102</v>
      </c>
      <c r="EH404" s="2" t="s">
        <v>102</v>
      </c>
      <c r="EI404" s="2">
        <v>11.086956521739101</v>
      </c>
      <c r="EJ404" s="2">
        <v>3.2608695652173898</v>
      </c>
      <c r="EK404" s="2">
        <v>6.7391304347826102</v>
      </c>
      <c r="EL404" s="2">
        <v>10</v>
      </c>
      <c r="EM404" s="2" t="s">
        <v>102</v>
      </c>
      <c r="EN404" s="2">
        <v>3</v>
      </c>
      <c r="EO404" s="2">
        <v>4</v>
      </c>
      <c r="EP404" s="2" t="s">
        <v>102</v>
      </c>
      <c r="EQ404" s="2" t="s">
        <v>102</v>
      </c>
      <c r="ER404" s="2" t="s">
        <v>102</v>
      </c>
      <c r="ES404" s="2" t="s">
        <v>102</v>
      </c>
      <c r="ET404" s="2" t="str">
        <f>HYPERLINK(".\links\REFSEQ-INVERTEBRATE\AGAP011203-PA-REFSEQ-INVERTEBRATE.txt","AGAP011203-PA")</f>
        <v>AGAP011203-PA</v>
      </c>
      <c r="EU404" s="2" t="str">
        <f>HYPERLINK("http://www.ncbi.nlm.nih.gov/sutils/blink.cgi?pid=XP_309438.2","0.0")</f>
        <v>0.0</v>
      </c>
      <c r="EV404" s="2" t="str">
        <f>HYPERLINK("http://www.ncbi.nlm.nih.gov/protein/XP_309438.2","XP_309438.2")</f>
        <v>XP_309438.2</v>
      </c>
      <c r="EW404" s="2">
        <v>100</v>
      </c>
      <c r="EX404" s="2">
        <v>100</v>
      </c>
      <c r="EY404" s="2">
        <v>100</v>
      </c>
      <c r="EZ404" s="2" t="s">
        <v>105</v>
      </c>
    </row>
    <row r="405" spans="1:156" x14ac:dyDescent="0.25">
      <c r="A405" s="2" t="s">
        <v>4320</v>
      </c>
      <c r="B405" s="2">
        <v>-0.33149540079010797</v>
      </c>
      <c r="C405" s="2">
        <f t="shared" si="6"/>
        <v>0.79471231127762965</v>
      </c>
      <c r="D405" s="2">
        <v>7.5374813885074001</v>
      </c>
      <c r="E405" s="2">
        <v>11.123960428976201</v>
      </c>
      <c r="F405" s="2">
        <v>8.52196263960285E-4</v>
      </c>
      <c r="G405" s="2">
        <v>3.0356607143661E-2</v>
      </c>
      <c r="H405" s="2" t="s">
        <v>4321</v>
      </c>
      <c r="I405" s="2" t="s">
        <v>102</v>
      </c>
      <c r="J405" s="2" t="str">
        <f>HYPERLINK("https://vectorbase.org/vectorbase/app/record/gene/AGAP009276","AGAP009276-RB")</f>
        <v>AGAP009276-RB</v>
      </c>
      <c r="K405" s="2" t="str">
        <f>HYPERLINK(".\links\pep\AGAP009276-PB-pep.txt","AGAP009276-PB")</f>
        <v>AGAP009276-PB</v>
      </c>
      <c r="L405" s="12" t="s">
        <v>95</v>
      </c>
      <c r="M405" s="2">
        <v>2673</v>
      </c>
      <c r="N405" s="2">
        <v>0</v>
      </c>
      <c r="O405" s="2">
        <v>5</v>
      </c>
      <c r="P405" s="2" t="s">
        <v>4322</v>
      </c>
      <c r="Q405" s="9" t="s">
        <v>4323</v>
      </c>
      <c r="R405" s="2" t="s">
        <v>167</v>
      </c>
      <c r="S405" s="2" t="str">
        <f>HYPERLINK(".\links\REFSEQ-INVERTEBRATE\AGAP009276-PB-REFSEQ-INVERTEBRATE.txt","REFSEQ-INVERTEBRATE")</f>
        <v>REFSEQ-INVERTEBRATE</v>
      </c>
      <c r="T405" s="2">
        <v>0</v>
      </c>
      <c r="U405" s="2">
        <v>105</v>
      </c>
      <c r="V405" s="2" t="s">
        <v>4324</v>
      </c>
      <c r="W405" s="10" t="s">
        <v>4325</v>
      </c>
      <c r="X405" s="2" t="s">
        <v>167</v>
      </c>
      <c r="Y405" s="2" t="str">
        <f>HYPERLINK(".\links\REFSEQVERTEBRATE95\AGAP009276-PB-REFSEQVERTEBRATE95.txt","REFSEQVERTEBRATE95")</f>
        <v>REFSEQVERTEBRATE95</v>
      </c>
      <c r="Z405" s="2">
        <v>0</v>
      </c>
      <c r="AA405" s="2">
        <v>36.299999999999997</v>
      </c>
      <c r="AB405" s="13" t="str">
        <f>HYPERLINK(".\links\pep\AGAP009276-PB-sulf.txt","2")</f>
        <v>2</v>
      </c>
      <c r="AC405" s="13" t="str">
        <f>HYPERLINK(".\links\Sigp\AGAP009276-PB-SigP.txt","SIG")</f>
        <v>SIG</v>
      </c>
      <c r="AD405" s="2" t="s">
        <v>2268</v>
      </c>
      <c r="AE405" s="2">
        <v>305.74400000000003</v>
      </c>
      <c r="AF405" s="2">
        <v>5.98</v>
      </c>
      <c r="AG405" s="2">
        <v>302.303</v>
      </c>
      <c r="AH405" s="2">
        <v>5.93</v>
      </c>
      <c r="AI405" s="2" t="s">
        <v>4326</v>
      </c>
      <c r="AJ405" s="13" t="str">
        <f>HYPERLINK(".\links\tmhmm\AGAP009276-PB-tmhmm.txt","30")</f>
        <v>30</v>
      </c>
      <c r="AK405" s="2">
        <v>24.2</v>
      </c>
      <c r="AL405" s="2">
        <v>38.200000000000003</v>
      </c>
      <c r="AM405" s="2">
        <v>37.6</v>
      </c>
      <c r="AN405" s="13" t="str">
        <f>HYPERLINK(".\links\gpi\AGAP009276-PB-gpi.txt","N")</f>
        <v>N</v>
      </c>
      <c r="AO405" s="14" t="str">
        <f>HYPERLINK(".\links\netoglyc\AGAP009276-PB-netoglyc.txt","3")</f>
        <v>3</v>
      </c>
      <c r="AP405" s="13">
        <v>12.2</v>
      </c>
      <c r="AQ405" s="2">
        <v>5</v>
      </c>
      <c r="AR405" s="2">
        <v>5.0999999999999996</v>
      </c>
      <c r="AS405" s="2" t="s">
        <v>104</v>
      </c>
      <c r="AT405" s="9" t="str">
        <f>HYPERLINK(".\links\NR-LIGHT\AGAP009276-PB-NR-LIGHT.txt","AGAP009276-PA-like protein")</f>
        <v>AGAP009276-PA-like protein</v>
      </c>
      <c r="AU405" s="2" t="str">
        <f>HYPERLINK("http://www.ncbi.nlm.nih.gov/sutils/blink.cgi?pid=KFB42311.1","0.0")</f>
        <v>0.0</v>
      </c>
      <c r="AV405" s="2" t="str">
        <f>HYPERLINK("http://www.ncbi.nlm.nih.gov/protein/KFB42311.1","KFB42311.1")</f>
        <v>KFB42311.1</v>
      </c>
      <c r="AW405" s="2">
        <v>72</v>
      </c>
      <c r="AX405" s="2">
        <v>79</v>
      </c>
      <c r="AY405" s="2">
        <v>67</v>
      </c>
      <c r="AZ405" s="2" t="s">
        <v>1522</v>
      </c>
      <c r="BA405" s="9" t="str">
        <f>HYPERLINK(".\links\REFSEQ-INVERTEBRATE\AGAP009276-PB-REFSEQ-INVERTEBRATE.txt","piezo-type mechanosensitive ion channel component isoform X13")</f>
        <v>piezo-type mechanosensitive ion channel component isoform X13</v>
      </c>
      <c r="BB405" s="2" t="str">
        <f>HYPERLINK("http://www.ncbi.nlm.nih.gov/sutils/blink.cgi?pid=XP_017132307.1","0.0")</f>
        <v>0.0</v>
      </c>
      <c r="BC405" s="2" t="str">
        <f>HYPERLINK("http://www.ncbi.nlm.nih.gov/protein/XP_017132307.1","XP_017132307.1")</f>
        <v>XP_017132307.1</v>
      </c>
      <c r="BD405" s="2">
        <v>38</v>
      </c>
      <c r="BE405" s="2">
        <v>56</v>
      </c>
      <c r="BF405" s="2">
        <v>105</v>
      </c>
      <c r="BG405" s="2" t="s">
        <v>4327</v>
      </c>
      <c r="BH405" s="9" t="str">
        <f>HYPERLINK(".\links\REFSEQ-PROTOZOA\AGAP009276-PB-REFSEQ-PROTOZOA.txt","hypothetical protein CAOG_04166")</f>
        <v>hypothetical protein CAOG_04166</v>
      </c>
      <c r="BI405" s="2" t="str">
        <f>HYPERLINK("http://www.ncbi.nlm.nih.gov/sutils/blink.cgi?pid=XP_004347991.1","9E-090")</f>
        <v>9E-090</v>
      </c>
      <c r="BJ405" s="2" t="str">
        <f>HYPERLINK("http://www.ncbi.nlm.nih.gov/protein/XP_004347991.1","XP_004347991.1")</f>
        <v>XP_004347991.1</v>
      </c>
      <c r="BK405" s="2">
        <v>27</v>
      </c>
      <c r="BL405" s="2">
        <v>47</v>
      </c>
      <c r="BM405" s="2">
        <v>31</v>
      </c>
      <c r="BN405" s="2" t="s">
        <v>106</v>
      </c>
      <c r="BO405" s="9" t="str">
        <f>HYPERLINK(".\links\SWISSP\AGAP009276-PB-SWISSP.txt","Piezo-type mechanosensitive ion channel component")</f>
        <v>Piezo-type mechanosensitive ion channel component</v>
      </c>
      <c r="BP405" s="2" t="str">
        <f>HYPERLINK("http://www.uniprot.org/uniprot/M9MSG8","0.0")</f>
        <v>0.0</v>
      </c>
      <c r="BQ405" s="2" t="str">
        <f>HYPERLINK("http://www.uniprot.org/uniprot/M9MSG8#expression","M9MSG8")</f>
        <v>M9MSG8</v>
      </c>
      <c r="BR405" s="2">
        <v>47</v>
      </c>
      <c r="BS405" s="2">
        <v>66</v>
      </c>
      <c r="BT405" s="2">
        <v>34</v>
      </c>
      <c r="BU405" s="2" t="s">
        <v>107</v>
      </c>
      <c r="BV405" s="9" t="str">
        <f>HYPERLINK(".\links\FLYBASE\AGAP009276-PB-FLYBASE.txt","FBpp0307169")</f>
        <v>FBpp0307169</v>
      </c>
      <c r="BW405" s="2" t="str">
        <f>HYPERLINK("http://flybase.org/reports/FBgn0264953#alliance_summary_container","0.0")</f>
        <v>0.0</v>
      </c>
      <c r="BX405" s="2">
        <v>2671</v>
      </c>
      <c r="BY405" s="2">
        <v>37</v>
      </c>
      <c r="BZ405" s="2">
        <v>56</v>
      </c>
      <c r="CA405" s="2">
        <v>105</v>
      </c>
      <c r="CB405" s="9" t="str">
        <f>HYPERLINK(".\links\CDD\AGAP009276-PB-CDD.txt","Piezo_RRas_bdg, Piezo non-specific cation channel, R-Ras-binding domain")</f>
        <v>Piezo_RRas_bdg, Piezo non-specific cation channel, R-Ras-binding domain</v>
      </c>
      <c r="CC405" s="15">
        <v>1E-134</v>
      </c>
      <c r="CD405" s="2">
        <v>103.9</v>
      </c>
      <c r="CE405" s="2" t="s">
        <v>4328</v>
      </c>
      <c r="CF405" s="2" t="s">
        <v>4329</v>
      </c>
      <c r="CG405" s="9" t="str">
        <f>HYPERLINK(".\links\KOG\AGAP009276-PB-KOG.txt","Uncharacterized conserved protein")</f>
        <v>Uncharacterized conserved protein</v>
      </c>
      <c r="CH405" s="15">
        <v>9.9999999999999994E-152</v>
      </c>
      <c r="CI405" s="2">
        <v>96.4</v>
      </c>
      <c r="CJ405" s="2" t="s">
        <v>4330</v>
      </c>
      <c r="CK405" s="2" t="s">
        <v>284</v>
      </c>
      <c r="CL405" s="9" t="str">
        <f>HYPERLINK(".\links\PFAM\AGAP009276-PB-PFAM.txt","Piezo_RRas_bdg, Piezo non-specific cation channel, R-Ras-binding domain")</f>
        <v>Piezo_RRas_bdg, Piezo non-specific cation channel, R-Ras-binding domain</v>
      </c>
      <c r="CM405" s="15">
        <v>1E-134</v>
      </c>
      <c r="CN405" s="2">
        <v>103.9</v>
      </c>
      <c r="CO405" s="2" t="s">
        <v>4328</v>
      </c>
      <c r="CP405" s="9" t="str">
        <f>HYPERLINK(".\links\SMART\AGAP009276-PB-SMART.txt","OSTEO, Osteopontin")</f>
        <v>OSTEO, Osteopontin</v>
      </c>
      <c r="CQ405" s="15">
        <v>2.5000000000000001E-2</v>
      </c>
      <c r="CR405" s="2">
        <v>61.3</v>
      </c>
      <c r="CS405" s="2" t="s">
        <v>3123</v>
      </c>
      <c r="CT405" s="2" t="s">
        <v>4324</v>
      </c>
      <c r="CU405" s="2" t="s">
        <v>4324</v>
      </c>
      <c r="CV405" s="2" t="s">
        <v>4324</v>
      </c>
      <c r="CW405" s="2" t="str">
        <f>HYPERLINK(".\links\pep\AGAP009276-PB-pep.txt","AGAP009276-PB")</f>
        <v>AGAP009276-PB</v>
      </c>
      <c r="CX405" s="2" t="s">
        <v>95</v>
      </c>
      <c r="CY405" s="2">
        <v>2673</v>
      </c>
      <c r="CZ405" s="2" t="s">
        <v>113</v>
      </c>
      <c r="DA405" s="2">
        <v>0</v>
      </c>
      <c r="DB405" s="2">
        <v>5</v>
      </c>
      <c r="DD405" s="2" t="str">
        <f>HYPERLINK("https://www.kegg.jp/kegg-bin/search_pathway_text?map=aga&amp;keyword=AGAP009276&amp;mode=1&amp;viewImage=true","AGAP009276")</f>
        <v>AGAP009276</v>
      </c>
      <c r="DE405" s="2" t="s">
        <v>4320</v>
      </c>
      <c r="DF405" s="2" t="s">
        <v>4321</v>
      </c>
      <c r="DG405" s="2" t="s">
        <v>102</v>
      </c>
      <c r="DH405" s="2" t="str">
        <f>HYPERLINK("https://vectorbase.org/vectorbase/app/record/gene/AGAP009276","AGAP009276-RB")</f>
        <v>AGAP009276-RB</v>
      </c>
      <c r="DI405" s="2" t="s">
        <v>90</v>
      </c>
      <c r="DJ405" s="2">
        <v>10890</v>
      </c>
      <c r="DK405" s="2" t="str">
        <f>HYPERLINK(".\links\netoglyc\AGAP009276-PB-netoglyc.txt","3")</f>
        <v>3</v>
      </c>
      <c r="DL405" s="2">
        <v>12.2</v>
      </c>
      <c r="DM405" s="2">
        <v>5</v>
      </c>
      <c r="DN405" s="2">
        <v>5.0999999999999996</v>
      </c>
      <c r="DO405" s="2" t="s">
        <v>104</v>
      </c>
      <c r="DP405" s="2" t="s">
        <v>4331</v>
      </c>
      <c r="DQ405" s="2" t="str">
        <f>HYPERLINK(".\links\Sigp\AGAP009276-PB-SigP.txt","SIG")</f>
        <v>SIG</v>
      </c>
      <c r="DR405" s="2" t="s">
        <v>2268</v>
      </c>
      <c r="DS405" s="2">
        <v>305.74400000000003</v>
      </c>
      <c r="DT405" s="2">
        <v>5.98</v>
      </c>
      <c r="DU405" s="2">
        <v>302.303</v>
      </c>
      <c r="DV405" s="2">
        <v>5.93</v>
      </c>
      <c r="DW405" s="2" t="s">
        <v>4326</v>
      </c>
      <c r="DX405" s="2">
        <v>2673</v>
      </c>
      <c r="DY405" s="12" t="str">
        <f>HYPERLINK(".\links\tmhmm\AGAP009276-PB-tmhmm.txt","30")</f>
        <v>30</v>
      </c>
      <c r="DZ405" s="2">
        <v>24.2</v>
      </c>
      <c r="EA405" s="2">
        <v>38.200000000000003</v>
      </c>
      <c r="EB405" s="2">
        <v>37.6</v>
      </c>
      <c r="EC405" s="2" t="str">
        <f>HYPERLINK(".\links\gpi\AGAP009276-PB-gpi.txt","Y-NoSP")</f>
        <v>Y-NoSP</v>
      </c>
      <c r="ED405" s="2">
        <v>0.21</v>
      </c>
      <c r="EF405" s="2">
        <v>35</v>
      </c>
      <c r="EG405" s="2" t="str">
        <f>HYPERLINK(".\links\pep\AGAP009276-PB-sulf.txt","2")</f>
        <v>2</v>
      </c>
      <c r="EH405" s="2" t="s">
        <v>102</v>
      </c>
      <c r="EI405" s="2">
        <v>12.158623269734401</v>
      </c>
      <c r="EJ405" s="2">
        <v>5.0879161990273101</v>
      </c>
      <c r="EK405" s="2">
        <v>4.9756827534605303</v>
      </c>
      <c r="EL405" s="2">
        <v>10.0635989524878</v>
      </c>
      <c r="EM405" s="2">
        <v>1</v>
      </c>
      <c r="EN405" s="2">
        <v>2</v>
      </c>
      <c r="EO405" s="2">
        <v>3</v>
      </c>
      <c r="EP405" s="2" t="s">
        <v>102</v>
      </c>
      <c r="EQ405" s="2" t="s">
        <v>102</v>
      </c>
      <c r="ER405" s="2" t="s">
        <v>102</v>
      </c>
      <c r="ES405" s="2" t="s">
        <v>102</v>
      </c>
      <c r="ET405" s="2" t="str">
        <f>HYPERLINK(".\links\REFSEQ-INVERTEBRATE\AGAP009276-PB-REFSEQ-INVERTEBRATE.txt","piezo-type mechanosensitive ion channel component isoform X16")</f>
        <v>piezo-type mechanosensitive ion channel component isoform X16</v>
      </c>
      <c r="EU405" s="2" t="str">
        <f>HYPERLINK("http://www.ncbi.nlm.nih.gov/sutils/blink.cgi?pid=XP_035907443.1","0.0")</f>
        <v>0.0</v>
      </c>
      <c r="EV405" s="2" t="str">
        <f>HYPERLINK("http://www.ncbi.nlm.nih.gov/protein/XP_035907443.1","XP_035907443.1")</f>
        <v>XP_035907443.1</v>
      </c>
      <c r="EW405" s="2">
        <v>80</v>
      </c>
      <c r="EX405" s="2">
        <v>85</v>
      </c>
      <c r="EY405" s="2">
        <v>65</v>
      </c>
      <c r="EZ405" s="2" t="s">
        <v>370</v>
      </c>
    </row>
    <row r="406" spans="1:156" x14ac:dyDescent="0.25">
      <c r="A406" s="2" t="s">
        <v>4332</v>
      </c>
      <c r="B406" s="2">
        <v>-0.332635163075993</v>
      </c>
      <c r="C406" s="2">
        <f t="shared" si="6"/>
        <v>0.79408471820056992</v>
      </c>
      <c r="D406" s="2">
        <v>5.6424285977898698</v>
      </c>
      <c r="E406" s="2">
        <v>11.166919305548699</v>
      </c>
      <c r="F406" s="2">
        <v>8.3268780758302696E-4</v>
      </c>
      <c r="G406" s="2">
        <v>3.0183174475144601E-2</v>
      </c>
      <c r="H406" s="2" t="s">
        <v>93</v>
      </c>
      <c r="I406" s="2" t="s">
        <v>94</v>
      </c>
      <c r="J406" s="2" t="str">
        <f>HYPERLINK("https://vectorbase.org/vectorbase/app/record/gene/AGAP003635","AGAP003635-RA")</f>
        <v>AGAP003635-RA</v>
      </c>
      <c r="K406" s="2" t="str">
        <f>HYPERLINK(".\links\pep\AGAP003635-PA-pep.txt","AGAP003635-PA")</f>
        <v>AGAP003635-PA</v>
      </c>
      <c r="L406" s="12" t="s">
        <v>95</v>
      </c>
      <c r="M406" s="2">
        <v>1054</v>
      </c>
      <c r="N406" s="2">
        <v>0</v>
      </c>
      <c r="O406" s="2">
        <v>2</v>
      </c>
      <c r="P406" s="2" t="s">
        <v>102</v>
      </c>
      <c r="Q406" s="9" t="s">
        <v>4333</v>
      </c>
      <c r="R406" s="2" t="s">
        <v>420</v>
      </c>
      <c r="S406" s="2" t="str">
        <f>HYPERLINK(".\links\KOG\AGAP003635-PA-KOG.txt","KOG")</f>
        <v>KOG</v>
      </c>
      <c r="T406" s="2">
        <v>4.0000000000000001E-53</v>
      </c>
      <c r="U406" s="2">
        <v>104.5</v>
      </c>
      <c r="V406" s="2" t="s">
        <v>4334</v>
      </c>
      <c r="W406" s="10" t="s">
        <v>4335</v>
      </c>
      <c r="X406" s="2" t="s">
        <v>420</v>
      </c>
      <c r="Y406" s="2" t="str">
        <f>HYPERLINK(".\links\UNIPROTKB\AGAP003635-PA-UNIPROTKB.txt","UNIPROTKB")</f>
        <v>UNIPROTKB</v>
      </c>
      <c r="Z406" s="15">
        <v>0</v>
      </c>
      <c r="AA406" s="2">
        <v>88.1</v>
      </c>
      <c r="AB406" s="13" t="str">
        <f>HYPERLINK(".\links\pep\AGAP003635-PA-sulf.txt","3")</f>
        <v>3</v>
      </c>
      <c r="AC406" s="13" t="str">
        <f>HYPERLINK(".\links\Sigp\AGAP003635-PA-SigP.txt","CYT")</f>
        <v>CYT</v>
      </c>
      <c r="AD406" s="2" t="s">
        <v>102</v>
      </c>
      <c r="AE406" s="2">
        <v>116.095</v>
      </c>
      <c r="AF406" s="2">
        <v>9.36</v>
      </c>
      <c r="AG406" s="2" t="s">
        <v>102</v>
      </c>
      <c r="AH406" s="2" t="s">
        <v>102</v>
      </c>
      <c r="AI406" s="2" t="s">
        <v>1582</v>
      </c>
      <c r="AJ406" s="13">
        <v>0</v>
      </c>
      <c r="AK406" s="2" t="s">
        <v>102</v>
      </c>
      <c r="AL406" s="2" t="s">
        <v>102</v>
      </c>
      <c r="AM406" s="2" t="s">
        <v>102</v>
      </c>
      <c r="AN406" s="13" t="str">
        <f>HYPERLINK(".\links\gpi\AGAP003635-PA-gpi.txt","N")</f>
        <v>N</v>
      </c>
      <c r="AO406" s="14" t="str">
        <f>HYPERLINK(".\links\netoglyc\AGAP003635-PA-netoglyc.txt","7")</f>
        <v>7</v>
      </c>
      <c r="AP406" s="13">
        <v>16.600000000000001</v>
      </c>
      <c r="AQ406" s="2">
        <v>8.3000000000000007</v>
      </c>
      <c r="AR406" s="2">
        <v>5.5</v>
      </c>
      <c r="AS406" s="2">
        <v>0.3</v>
      </c>
      <c r="AT406" s="9" t="str">
        <f>HYPERLINK(".\links\NR-LIGHT\AGAP003635-PA-NR-LIGHT.txt","AGAP003635-PA")</f>
        <v>AGAP003635-PA</v>
      </c>
      <c r="AU406" s="2" t="str">
        <f>HYPERLINK("http://www.ncbi.nlm.nih.gov/sutils/blink.cgi?pid=XP_313399.5","0.0")</f>
        <v>0.0</v>
      </c>
      <c r="AV406" s="2" t="str">
        <f>HYPERLINK("http://www.ncbi.nlm.nih.gov/protein/XP_313399.5","XP_313399.5")</f>
        <v>XP_313399.5</v>
      </c>
      <c r="AW406" s="2">
        <v>100</v>
      </c>
      <c r="AX406" s="2">
        <v>100</v>
      </c>
      <c r="AY406" s="2">
        <v>100</v>
      </c>
      <c r="AZ406" s="2" t="s">
        <v>105</v>
      </c>
      <c r="BA406" s="9" t="str">
        <f>HYPERLINK(".\links\REFSEQ-INVERTEBRATE\AGAP003635-PA-REFSEQ-INVERTEBRATE.txt","AGAP003635-PA")</f>
        <v>AGAP003635-PA</v>
      </c>
      <c r="BB406" s="2" t="str">
        <f>HYPERLINK("http://www.ncbi.nlm.nih.gov/sutils/blink.cgi?pid=XP_313399.5","0.0")</f>
        <v>0.0</v>
      </c>
      <c r="BC406" s="2" t="str">
        <f>HYPERLINK("http://www.ncbi.nlm.nih.gov/protein/XP_313399.5","XP_313399.5")</f>
        <v>XP_313399.5</v>
      </c>
      <c r="BD406" s="2">
        <v>100</v>
      </c>
      <c r="BE406" s="2">
        <v>100</v>
      </c>
      <c r="BF406" s="2">
        <v>100</v>
      </c>
      <c r="BG406" s="2" t="s">
        <v>105</v>
      </c>
      <c r="BH406" s="9" t="str">
        <f>HYPERLINK(".\links\REFSEQ-PROTOZOA\AGAP003635-PA-REFSEQ-PROTOZOA.txt","putative protein serine/threonine kinase")</f>
        <v>putative protein serine/threonine kinase</v>
      </c>
      <c r="BI406" s="2" t="str">
        <f>HYPERLINK("http://www.ncbi.nlm.nih.gov/sutils/blink.cgi?pid=XP_020432898.1","7E-023")</f>
        <v>7E-023</v>
      </c>
      <c r="BJ406" s="2" t="str">
        <f>HYPERLINK("http://www.ncbi.nlm.nih.gov/protein/XP_020432898.1","XP_020432898.1")</f>
        <v>XP_020432898.1</v>
      </c>
      <c r="BK406" s="2">
        <v>31</v>
      </c>
      <c r="BL406" s="2">
        <v>43</v>
      </c>
      <c r="BM406" s="2">
        <v>35</v>
      </c>
      <c r="BN406" s="2" t="s">
        <v>762</v>
      </c>
      <c r="BO406" s="9" t="str">
        <f>HYPERLINK(".\links\SWISSP\AGAP003635-PA-SWISSP.txt","Protein suppressor of white apricot")</f>
        <v>Protein suppressor of white apricot</v>
      </c>
      <c r="BP406" s="2" t="str">
        <f>HYPERLINK("http://www.uniprot.org/uniprot/P12297","1E-118")</f>
        <v>1E-118</v>
      </c>
      <c r="BQ406" s="2" t="str">
        <f>HYPERLINK("http://www.uniprot.org/uniprot/P12297#expression","P12297")</f>
        <v>P12297</v>
      </c>
      <c r="BR406" s="2">
        <v>33</v>
      </c>
      <c r="BS406" s="2">
        <v>46</v>
      </c>
      <c r="BT406" s="2">
        <v>110</v>
      </c>
      <c r="BU406" s="2" t="s">
        <v>107</v>
      </c>
      <c r="BV406" s="9" t="str">
        <f>HYPERLINK(".\links\FLYBASE\AGAP003635-PA-FLYBASE.txt","FBpp0070171")</f>
        <v>FBpp0070171</v>
      </c>
      <c r="BW406" s="2" t="str">
        <f>HYPERLINK("http://flybase.org/reports/FBgn0003638#alliance_summary_container","1E-109")</f>
        <v>1E-109</v>
      </c>
      <c r="BX406" s="2">
        <v>963</v>
      </c>
      <c r="BY406" s="2">
        <v>35</v>
      </c>
      <c r="BZ406" s="2">
        <v>47</v>
      </c>
      <c r="CA406" s="2">
        <v>88</v>
      </c>
      <c r="CB406" s="9" t="str">
        <f>HYPERLINK(".\links\CDD\AGAP003635-PA-CDD.txt","DRY_EERY, Alternative splicing regulator")</f>
        <v>DRY_EERY, Alternative splicing regulator</v>
      </c>
      <c r="CC406" s="15">
        <v>7.9999999999999994E-34</v>
      </c>
      <c r="CD406" s="2">
        <v>102.4</v>
      </c>
      <c r="CE406" s="2" t="s">
        <v>4336</v>
      </c>
      <c r="CF406" s="2" t="s">
        <v>4337</v>
      </c>
      <c r="CG406" s="9" t="str">
        <f>HYPERLINK(".\links\KOG\AGAP003635-PA-KOG.txt","mRNA splicing factor")</f>
        <v>mRNA splicing factor</v>
      </c>
      <c r="CH406" s="15">
        <v>4.0000000000000001E-53</v>
      </c>
      <c r="CI406" s="2">
        <v>104.6</v>
      </c>
      <c r="CJ406" s="2" t="s">
        <v>2359</v>
      </c>
      <c r="CK406" s="2" t="s">
        <v>722</v>
      </c>
      <c r="CL406" s="9" t="str">
        <f>HYPERLINK(".\links\PFAM\AGAP003635-PA-PFAM.txt","DRY_EERY, Alternative splicing regulator")</f>
        <v>DRY_EERY, Alternative splicing regulator</v>
      </c>
      <c r="CM406" s="15">
        <v>1.9999999999999999E-34</v>
      </c>
      <c r="CN406" s="2">
        <v>102.4</v>
      </c>
      <c r="CO406" s="2" t="s">
        <v>4336</v>
      </c>
      <c r="CP406" s="9" t="str">
        <f>HYPERLINK(".\links\SMART\AGAP003635-PA-SMART.txt","SWAP, Suppressor-of-White-APricot splicing regulator")</f>
        <v>SWAP, Suppressor-of-White-APricot splicing regulator</v>
      </c>
      <c r="CQ406" s="15">
        <v>4.9999999999999999E-13</v>
      </c>
      <c r="CR406" s="2">
        <v>94.4</v>
      </c>
      <c r="CS406" s="2" t="s">
        <v>4338</v>
      </c>
      <c r="CT406" s="2" t="s">
        <v>4334</v>
      </c>
      <c r="CU406" s="2" t="s">
        <v>4334</v>
      </c>
      <c r="CV406" s="2" t="s">
        <v>4334</v>
      </c>
      <c r="CW406" s="2" t="str">
        <f>HYPERLINK(".\links\pep\AGAP003635-PA-pep.txt","AGAP003635-PA")</f>
        <v>AGAP003635-PA</v>
      </c>
      <c r="CX406" s="2" t="s">
        <v>95</v>
      </c>
      <c r="CY406" s="2">
        <v>1054</v>
      </c>
      <c r="CZ406" s="2" t="s">
        <v>113</v>
      </c>
      <c r="DA406" s="2" t="s">
        <v>4339</v>
      </c>
      <c r="DB406" s="2">
        <v>0</v>
      </c>
      <c r="DC406" s="2">
        <v>2</v>
      </c>
      <c r="DD406" s="2" t="str">
        <f>HYPERLINK("https://www.kegg.jp/kegg-bin/search_pathway_text?map=aga&amp;keyword=AGAP003635&amp;mode=1&amp;viewImage=true","AGAP003635")</f>
        <v>AGAP003635</v>
      </c>
      <c r="DE406" s="2" t="s">
        <v>4332</v>
      </c>
      <c r="DF406" s="2" t="s">
        <v>93</v>
      </c>
      <c r="DG406" s="2" t="s">
        <v>94</v>
      </c>
      <c r="DH406" s="2" t="str">
        <f>HYPERLINK("https://vectorbase.org/vectorbase/app/record/gene/AGAP003635","AGAP003635-RA")</f>
        <v>AGAP003635-RA</v>
      </c>
      <c r="DI406" s="2" t="s">
        <v>90</v>
      </c>
      <c r="DJ406" s="2">
        <v>3557</v>
      </c>
      <c r="DK406" s="2" t="str">
        <f>HYPERLINK(".\links\netoglyc\AGAP003635-PA-netoglyc.txt","7")</f>
        <v>7</v>
      </c>
      <c r="DL406" s="2">
        <v>16.600000000000001</v>
      </c>
      <c r="DM406" s="2">
        <v>8.3000000000000007</v>
      </c>
      <c r="DN406" s="2">
        <v>5.5</v>
      </c>
      <c r="DO406" s="2">
        <v>0.3</v>
      </c>
      <c r="DP406" s="2" t="s">
        <v>4340</v>
      </c>
      <c r="DQ406" s="2" t="str">
        <f>HYPERLINK(".\links\Sigp\AGAP003635-PA-SigP.txt","CYT")</f>
        <v>CYT</v>
      </c>
      <c r="DR406" s="2" t="s">
        <v>102</v>
      </c>
      <c r="DS406" s="2">
        <v>116.095</v>
      </c>
      <c r="DT406" s="2">
        <v>9.36</v>
      </c>
      <c r="DU406" s="2" t="s">
        <v>102</v>
      </c>
      <c r="DV406" s="2" t="s">
        <v>102</v>
      </c>
      <c r="DW406" s="2" t="s">
        <v>1582</v>
      </c>
      <c r="DX406" s="2">
        <v>1054</v>
      </c>
      <c r="DY406" s="12">
        <v>0</v>
      </c>
      <c r="DZ406" s="2" t="s">
        <v>102</v>
      </c>
      <c r="EA406" s="2" t="s">
        <v>102</v>
      </c>
      <c r="EB406" s="2" t="s">
        <v>102</v>
      </c>
      <c r="EC406" s="2" t="str">
        <f>HYPERLINK(".\links\gpi\AGAP003635-PA-gpi.txt","Y-NoSP")</f>
        <v>Y-NoSP</v>
      </c>
      <c r="ED406" s="2">
        <v>0.23</v>
      </c>
      <c r="EF406" s="2">
        <v>5</v>
      </c>
      <c r="EG406" s="2" t="str">
        <f>HYPERLINK(".\links\pep\AGAP003635-PA-sulf.txt","3")</f>
        <v>3</v>
      </c>
      <c r="EH406" s="2" t="s">
        <v>102</v>
      </c>
      <c r="EI406" s="2">
        <v>16.603415559772301</v>
      </c>
      <c r="EJ406" s="2">
        <v>5.5028462998102503</v>
      </c>
      <c r="EK406" s="2">
        <v>8.2542694497153697</v>
      </c>
      <c r="EL406" s="2">
        <v>13.7571157495256</v>
      </c>
      <c r="EM406" s="2">
        <v>1</v>
      </c>
      <c r="EN406" s="2">
        <v>2</v>
      </c>
      <c r="EO406" s="2">
        <v>3</v>
      </c>
      <c r="EP406" s="2" t="s">
        <v>102</v>
      </c>
      <c r="EQ406" s="2" t="s">
        <v>102</v>
      </c>
      <c r="ER406" s="2" t="s">
        <v>102</v>
      </c>
      <c r="ES406" s="2" t="s">
        <v>102</v>
      </c>
      <c r="ET406" s="2" t="str">
        <f>HYPERLINK(".\links\REFSEQ-INVERTEBRATE\AGAP003635-PA-REFSEQ-INVERTEBRATE.txt","AGAP003635-PA")</f>
        <v>AGAP003635-PA</v>
      </c>
      <c r="EU406" s="2" t="str">
        <f>HYPERLINK("http://www.ncbi.nlm.nih.gov/sutils/blink.cgi?pid=XP_313399.5","0.0")</f>
        <v>0.0</v>
      </c>
      <c r="EV406" s="2" t="str">
        <f>HYPERLINK("http://www.ncbi.nlm.nih.gov/protein/XP_313399.5","XP_313399.5")</f>
        <v>XP_313399.5</v>
      </c>
      <c r="EW406" s="2">
        <v>100</v>
      </c>
      <c r="EX406" s="2">
        <v>100</v>
      </c>
      <c r="EY406" s="2">
        <v>100</v>
      </c>
      <c r="EZ406" s="2" t="s">
        <v>105</v>
      </c>
    </row>
    <row r="407" spans="1:156" x14ac:dyDescent="0.25">
      <c r="A407" s="2" t="s">
        <v>4341</v>
      </c>
      <c r="B407" s="2">
        <v>-0.332706584912563</v>
      </c>
      <c r="C407" s="2">
        <f t="shared" si="6"/>
        <v>0.79404540733893925</v>
      </c>
      <c r="D407" s="2">
        <v>5.6844704821744996</v>
      </c>
      <c r="E407" s="2">
        <v>11.423000237716501</v>
      </c>
      <c r="F407" s="2">
        <v>7.2540460410902704E-4</v>
      </c>
      <c r="G407" s="2">
        <v>2.9060416152416502E-2</v>
      </c>
      <c r="H407" s="2" t="s">
        <v>4342</v>
      </c>
      <c r="I407" s="2" t="s">
        <v>94</v>
      </c>
      <c r="J407" s="2" t="str">
        <f>HYPERLINK("https://vectorbase.org/vectorbase/app/record/gene/AGAP008185","AGAP008185-RA")</f>
        <v>AGAP008185-RA</v>
      </c>
      <c r="K407" s="2" t="str">
        <f>HYPERLINK(".\links\pep\AGAP008185-PA-pep.txt","AGAP008185-PA")</f>
        <v>AGAP008185-PA</v>
      </c>
      <c r="L407" s="12" t="s">
        <v>95</v>
      </c>
      <c r="M407" s="2">
        <v>3102</v>
      </c>
      <c r="N407" s="2">
        <v>0</v>
      </c>
      <c r="O407" s="2">
        <v>5</v>
      </c>
      <c r="P407" s="2" t="s">
        <v>4343</v>
      </c>
      <c r="Q407" s="9" t="s">
        <v>4344</v>
      </c>
      <c r="R407" s="2" t="s">
        <v>355</v>
      </c>
      <c r="S407" s="2" t="str">
        <f>HYPERLINK(".\links\REFSEQ-INVERTEBRATE\AGAP008185-PA-REFSEQ-INVERTEBRATE.txt","REFSEQ-INVERTEBRATE")</f>
        <v>REFSEQ-INVERTEBRATE</v>
      </c>
      <c r="T407" s="2">
        <v>0</v>
      </c>
      <c r="U407" s="2">
        <v>105.3</v>
      </c>
      <c r="V407" s="2" t="s">
        <v>4345</v>
      </c>
      <c r="W407" s="10" t="s">
        <v>4346</v>
      </c>
      <c r="X407" s="2" t="s">
        <v>355</v>
      </c>
      <c r="Y407" s="2" t="str">
        <f>HYPERLINK(".\links\REFSEQVERTEBRATE95\AGAP008185-PA-REFSEQVERTEBRATE95.txt","REFSEQVERTEBRATE95")</f>
        <v>REFSEQVERTEBRATE95</v>
      </c>
      <c r="Z407" s="2">
        <v>0</v>
      </c>
      <c r="AA407" s="2">
        <v>105.9</v>
      </c>
      <c r="AB407" s="13" t="str">
        <f>HYPERLINK(".\links\pep\AGAP008185-PA-sulf.txt","2")</f>
        <v>2</v>
      </c>
      <c r="AC407" s="13" t="str">
        <f>HYPERLINK(".\links\Sigp\AGAP008185-PA-SigP.txt","CYT")</f>
        <v>CYT</v>
      </c>
      <c r="AD407" s="2" t="s">
        <v>102</v>
      </c>
      <c r="AE407" s="2">
        <v>341.58199999999999</v>
      </c>
      <c r="AF407" s="2">
        <v>6.66</v>
      </c>
      <c r="AG407" s="2" t="s">
        <v>102</v>
      </c>
      <c r="AH407" s="2" t="s">
        <v>102</v>
      </c>
      <c r="AI407" s="2" t="s">
        <v>4347</v>
      </c>
      <c r="AJ407" s="13" t="str">
        <f>HYPERLINK(".\links\tmhmm\AGAP008185-PA-tmhmm.txt","1")</f>
        <v>1</v>
      </c>
      <c r="AK407" s="2">
        <v>0.7</v>
      </c>
      <c r="AL407" s="2">
        <v>91.6</v>
      </c>
      <c r="AM407" s="2">
        <v>7.7</v>
      </c>
      <c r="AN407" s="13" t="str">
        <f>HYPERLINK(".\links\gpi\AGAP008185-PA-gpi.txt","N")</f>
        <v>N</v>
      </c>
      <c r="AO407" s="14" t="str">
        <f>HYPERLINK(".\links\netoglyc\AGAP008185-PA-netoglyc.txt","0")</f>
        <v>0</v>
      </c>
      <c r="AP407" s="13">
        <v>14.2</v>
      </c>
      <c r="AQ407" s="2">
        <v>9.6999999999999993</v>
      </c>
      <c r="AR407" s="2">
        <v>4.9000000000000004</v>
      </c>
      <c r="AS407" s="2">
        <v>0.6</v>
      </c>
      <c r="AT407" s="9" t="str">
        <f>HYPERLINK(".\links\NR-LIGHT\AGAP008185-PA-NR-LIGHT.txt","AGAP008185-PA, partial")</f>
        <v>AGAP008185-PA, partial</v>
      </c>
      <c r="AU407" s="2" t="str">
        <f>HYPERLINK("http://www.ncbi.nlm.nih.gov/sutils/blink.cgi?pid=XP_317282.4","0.0")</f>
        <v>0.0</v>
      </c>
      <c r="AV407" s="2" t="str">
        <f>HYPERLINK("http://www.ncbi.nlm.nih.gov/protein/XP_317282.4","XP_317282.4")</f>
        <v>XP_317282.4</v>
      </c>
      <c r="AW407" s="2">
        <v>98</v>
      </c>
      <c r="AX407" s="2">
        <v>98</v>
      </c>
      <c r="AY407" s="2">
        <v>101</v>
      </c>
      <c r="AZ407" s="2" t="s">
        <v>105</v>
      </c>
      <c r="BA407" s="9" t="str">
        <f>HYPERLINK(".\links\REFSEQ-INVERTEBRATE\AGAP008185-PA-REFSEQ-INVERTEBRATE.txt","AGAP008185-PA, partial")</f>
        <v>AGAP008185-PA, partial</v>
      </c>
      <c r="BB407" s="2" t="str">
        <f>HYPERLINK("http://www.ncbi.nlm.nih.gov/sutils/blink.cgi?pid=XP_317282.4","0.0")</f>
        <v>0.0</v>
      </c>
      <c r="BC407" s="2" t="str">
        <f>HYPERLINK("http://www.ncbi.nlm.nih.gov/protein/XP_317282.4","XP_317282.4")</f>
        <v>XP_317282.4</v>
      </c>
      <c r="BD407" s="2">
        <v>98</v>
      </c>
      <c r="BE407" s="2">
        <v>98</v>
      </c>
      <c r="BF407" s="2">
        <v>101</v>
      </c>
      <c r="BG407" s="2" t="s">
        <v>105</v>
      </c>
      <c r="BH407" s="9" t="str">
        <f>HYPERLINK(".\links\REFSEQ-PROTOZOA\AGAP008185-PA-REFSEQ-PROTOZOA.txt","laminin B1")</f>
        <v>laminin B1</v>
      </c>
      <c r="BI407" s="2" t="str">
        <f>HYPERLINK("http://www.ncbi.nlm.nih.gov/sutils/blink.cgi?pid=XP_004999045.1","1E-180")</f>
        <v>1E-180</v>
      </c>
      <c r="BJ407" s="2" t="str">
        <f>HYPERLINK("http://www.ncbi.nlm.nih.gov/protein/XP_004999045.1","XP_004999045.1")</f>
        <v>XP_004999045.1</v>
      </c>
      <c r="BK407" s="2">
        <v>27</v>
      </c>
      <c r="BL407" s="2">
        <v>39</v>
      </c>
      <c r="BM407" s="2">
        <v>74</v>
      </c>
      <c r="BN407" s="2" t="s">
        <v>435</v>
      </c>
      <c r="BO407" s="9" t="str">
        <f>HYPERLINK(".\links\SWISSP\AGAP008185-PA-SWISSP.txt","Multiple epidermal growth factor-like domains protein 8")</f>
        <v>Multiple epidermal growth factor-like domains protein 8</v>
      </c>
      <c r="BP407" s="2" t="str">
        <f>HYPERLINK("http://www.uniprot.org/uniprot/P60882","0.0")</f>
        <v>0.0</v>
      </c>
      <c r="BQ407" s="2" t="str">
        <f>HYPERLINK("http://www.uniprot.org/uniprot/P60882#expression","P60882")</f>
        <v>P60882</v>
      </c>
      <c r="BR407" s="2">
        <v>34</v>
      </c>
      <c r="BS407" s="2">
        <v>46</v>
      </c>
      <c r="BT407" s="2">
        <v>98</v>
      </c>
      <c r="BU407" s="2" t="s">
        <v>662</v>
      </c>
      <c r="BV407" s="9" t="str">
        <f>HYPERLINK(".\links\FLYBASE\AGAP008185-PA-FLYBASE.txt","FBpp0311116")</f>
        <v>FBpp0311116</v>
      </c>
      <c r="BW407" s="2" t="str">
        <f>HYPERLINK("http://flybase.org/reports/FBgn0031981#alliance_summary_container","0.0")</f>
        <v>0.0</v>
      </c>
      <c r="BX407" s="2">
        <v>2892</v>
      </c>
      <c r="BY407" s="2">
        <v>50</v>
      </c>
      <c r="BZ407" s="2">
        <v>65</v>
      </c>
      <c r="CA407" s="2">
        <v>103</v>
      </c>
      <c r="CB407" s="9" t="str">
        <f>HYPERLINK(".\links\CDD\AGAP008185-PA-CDD.txt","CUB, CUB domain")</f>
        <v>CUB, CUB domain</v>
      </c>
      <c r="CC407" s="15">
        <v>3.0000000000000001E-17</v>
      </c>
      <c r="CD407" s="2">
        <v>98.2</v>
      </c>
      <c r="CE407" s="2" t="s">
        <v>4348</v>
      </c>
      <c r="CF407" s="2" t="s">
        <v>4349</v>
      </c>
      <c r="CG407" s="9" t="str">
        <f>HYPERLINK(".\links\KOG\AGAP008185-PA-KOG.txt","Kelch repeat-containing proteins")</f>
        <v>Kelch repeat-containing proteins</v>
      </c>
      <c r="CH407" s="15">
        <v>5.0000000000000002E-27</v>
      </c>
      <c r="CI407" s="2">
        <v>61.8</v>
      </c>
      <c r="CJ407" s="2" t="s">
        <v>4350</v>
      </c>
      <c r="CK407" s="2" t="s">
        <v>191</v>
      </c>
      <c r="CL407" s="9" t="str">
        <f>HYPERLINK(".\links\PFAM\AGAP008185-PA-PFAM.txt","CUB, CUB domain")</f>
        <v>CUB, CUB domain</v>
      </c>
      <c r="CM407" s="15">
        <v>2.9999999999999998E-15</v>
      </c>
      <c r="CN407" s="2">
        <v>99.1</v>
      </c>
      <c r="CO407" s="2" t="s">
        <v>4351</v>
      </c>
      <c r="CP407" s="9" t="str">
        <f>HYPERLINK(".\links\SMART\AGAP008185-PA-SMART.txt","CUB, Domain first found in C1r, C1s, uEGF, and bone morphogenetic protein")</f>
        <v>CUB, Domain first found in C1r, C1s, uEGF, and bone morphogenetic protein</v>
      </c>
      <c r="CQ407" s="15">
        <v>1.0000000000000001E-17</v>
      </c>
      <c r="CR407" s="2">
        <v>101</v>
      </c>
      <c r="CS407" s="2" t="s">
        <v>3745</v>
      </c>
      <c r="CT407" s="2" t="s">
        <v>4345</v>
      </c>
      <c r="CU407" s="2" t="s">
        <v>4345</v>
      </c>
      <c r="CV407" s="2" t="s">
        <v>4345</v>
      </c>
      <c r="CW407" s="2" t="str">
        <f>HYPERLINK(".\links\pep\AGAP008185-PA-pep.txt","AGAP008185-PA")</f>
        <v>AGAP008185-PA</v>
      </c>
      <c r="CX407" s="2" t="s">
        <v>95</v>
      </c>
      <c r="CY407" s="2">
        <v>3102</v>
      </c>
      <c r="CZ407" s="2" t="s">
        <v>113</v>
      </c>
      <c r="DA407" s="2" t="s">
        <v>4352</v>
      </c>
      <c r="DB407" s="2">
        <v>0</v>
      </c>
      <c r="DC407" s="2">
        <v>5</v>
      </c>
      <c r="DD407" s="2" t="str">
        <f>HYPERLINK("https://www.kegg.jp/kegg-bin/search_pathway_text?map=aga&amp;keyword=AGAP008185&amp;mode=1&amp;viewImage=true","AGAP008185")</f>
        <v>AGAP008185</v>
      </c>
      <c r="DE407" s="2" t="s">
        <v>4341</v>
      </c>
      <c r="DF407" s="2" t="s">
        <v>4342</v>
      </c>
      <c r="DG407" s="2" t="s">
        <v>94</v>
      </c>
      <c r="DH407" s="2" t="str">
        <f>HYPERLINK("https://vectorbase.org/vectorbase/app/record/gene/AGAP008185","AGAP008185-RA")</f>
        <v>AGAP008185-RA</v>
      </c>
      <c r="DI407" s="2" t="s">
        <v>135</v>
      </c>
      <c r="DJ407" s="2">
        <v>12205</v>
      </c>
      <c r="DK407" s="2" t="str">
        <f>HYPERLINK(".\links\netoglyc\AGAP008185-PA-netoglyc.txt","0")</f>
        <v>0</v>
      </c>
      <c r="DL407" s="2">
        <v>14.2</v>
      </c>
      <c r="DM407" s="2">
        <v>9.6999999999999993</v>
      </c>
      <c r="DN407" s="2">
        <v>4.9000000000000004</v>
      </c>
      <c r="DO407" s="2">
        <v>0.6</v>
      </c>
      <c r="DP407" s="2" t="s">
        <v>4353</v>
      </c>
      <c r="DQ407" s="2" t="str">
        <f>HYPERLINK(".\links\Sigp\AGAP008185-PA-SigP.txt","CYT")</f>
        <v>CYT</v>
      </c>
      <c r="DR407" s="2" t="s">
        <v>102</v>
      </c>
      <c r="DS407" s="2">
        <v>341.58199999999999</v>
      </c>
      <c r="DT407" s="2">
        <v>6.66</v>
      </c>
      <c r="DU407" s="2" t="s">
        <v>102</v>
      </c>
      <c r="DV407" s="2" t="s">
        <v>102</v>
      </c>
      <c r="DW407" s="2" t="s">
        <v>4347</v>
      </c>
      <c r="DX407" s="2">
        <v>3102</v>
      </c>
      <c r="DY407" s="12" t="str">
        <f>HYPERLINK(".\links\tmhmm\AGAP008185-PA-tmhmm.txt","1")</f>
        <v>1</v>
      </c>
      <c r="DZ407" s="2">
        <v>0.7</v>
      </c>
      <c r="EA407" s="2">
        <v>91.6</v>
      </c>
      <c r="EB407" s="2">
        <v>7.7</v>
      </c>
      <c r="EC407" s="2" t="str">
        <f>HYPERLINK(".\links\gpi\AGAP008185-PA-gpi.txt","N")</f>
        <v>N</v>
      </c>
      <c r="ED407" s="2">
        <v>0.22</v>
      </c>
      <c r="EE407" s="2" t="s">
        <v>4354</v>
      </c>
      <c r="EF407" s="2">
        <v>196</v>
      </c>
      <c r="EG407" s="2" t="str">
        <f>HYPERLINK(".\links\pep\AGAP008185-PA-sulf.txt","2")</f>
        <v>2</v>
      </c>
      <c r="EH407" s="2" t="s">
        <v>102</v>
      </c>
      <c r="EI407" s="2">
        <v>14.1843971631206</v>
      </c>
      <c r="EJ407" s="2">
        <v>4.8678272082527396</v>
      </c>
      <c r="EK407" s="2">
        <v>9.6711798839458396</v>
      </c>
      <c r="EL407" s="2">
        <v>14.539007092198601</v>
      </c>
      <c r="EM407" s="2">
        <v>6</v>
      </c>
      <c r="EN407" s="2">
        <v>8</v>
      </c>
      <c r="EO407" s="2">
        <v>12</v>
      </c>
      <c r="EP407" s="2" t="s">
        <v>102</v>
      </c>
      <c r="EQ407" s="2" t="s">
        <v>102</v>
      </c>
      <c r="ER407" s="2" t="s">
        <v>102</v>
      </c>
      <c r="ES407" s="2" t="s">
        <v>102</v>
      </c>
      <c r="ET407" s="2" t="str">
        <f>HYPERLINK(".\links\REFSEQ-INVERTEBRATE\AGAP008185-PA-REFSEQ-INVERTEBRATE.txt","AGAP008185-PA, partial")</f>
        <v>AGAP008185-PA, partial</v>
      </c>
      <c r="EU407" s="2" t="str">
        <f>HYPERLINK("http://www.ncbi.nlm.nih.gov/sutils/blink.cgi?pid=XP_317282.4","0.0")</f>
        <v>0.0</v>
      </c>
      <c r="EV407" s="2" t="str">
        <f>HYPERLINK("http://www.ncbi.nlm.nih.gov/protein/XP_317282.4","XP_317282.4")</f>
        <v>XP_317282.4</v>
      </c>
      <c r="EW407" s="2">
        <v>98</v>
      </c>
      <c r="EX407" s="2">
        <v>98</v>
      </c>
      <c r="EY407" s="2">
        <v>101</v>
      </c>
      <c r="EZ407" s="2" t="s">
        <v>105</v>
      </c>
    </row>
    <row r="408" spans="1:156" x14ac:dyDescent="0.25">
      <c r="A408" s="2" t="s">
        <v>4355</v>
      </c>
      <c r="B408" s="2">
        <v>-0.33361944230018298</v>
      </c>
      <c r="C408" s="2">
        <f t="shared" si="6"/>
        <v>0.79354313837598101</v>
      </c>
      <c r="D408" s="2">
        <v>7.3422540453621696</v>
      </c>
      <c r="E408" s="2">
        <v>9.2774378859586406</v>
      </c>
      <c r="F408" s="2">
        <v>2.31993706286889E-3</v>
      </c>
      <c r="G408" s="2">
        <v>4.58876742400747E-2</v>
      </c>
      <c r="H408" s="2" t="s">
        <v>549</v>
      </c>
      <c r="I408" s="2" t="s">
        <v>88</v>
      </c>
      <c r="J408" s="8" t="s">
        <v>4356</v>
      </c>
      <c r="Q408" s="9"/>
      <c r="W408" s="10"/>
      <c r="AB408" s="9"/>
      <c r="AC408" s="9"/>
      <c r="AJ408" s="9"/>
      <c r="AN408" s="9"/>
      <c r="AO408" s="11"/>
      <c r="AP408" s="9"/>
      <c r="AT408" s="9"/>
      <c r="BA408" s="9"/>
      <c r="BH408" s="9"/>
      <c r="BO408" s="9"/>
      <c r="BV408" s="9"/>
      <c r="CB408" s="9"/>
      <c r="CG408" s="9"/>
      <c r="CL408" s="9"/>
      <c r="CP408" s="9"/>
      <c r="DE408" s="2" t="s">
        <v>4355</v>
      </c>
      <c r="DF408" s="2" t="s">
        <v>549</v>
      </c>
      <c r="DG408" s="2" t="s">
        <v>88</v>
      </c>
      <c r="DH408" s="8" t="s">
        <v>4356</v>
      </c>
      <c r="DI408" s="2" t="s">
        <v>118</v>
      </c>
      <c r="DJ408" s="2">
        <v>8927</v>
      </c>
      <c r="DQ408" s="2" t="s">
        <v>141</v>
      </c>
      <c r="DS408" s="2">
        <v>82713</v>
      </c>
      <c r="DT408" s="2">
        <v>6.78</v>
      </c>
      <c r="DX408" s="2">
        <v>756</v>
      </c>
      <c r="DY408" s="12"/>
    </row>
    <row r="409" spans="1:156" x14ac:dyDescent="0.25">
      <c r="A409" s="2" t="s">
        <v>4357</v>
      </c>
      <c r="B409" s="2">
        <v>-0.33371543021869099</v>
      </c>
      <c r="C409" s="2">
        <f t="shared" si="6"/>
        <v>0.79349034272753138</v>
      </c>
      <c r="D409" s="2">
        <v>7.15340206768255</v>
      </c>
      <c r="E409" s="2">
        <v>11.0559017104024</v>
      </c>
      <c r="F409" s="2">
        <v>8.8405339931311002E-4</v>
      </c>
      <c r="G409" s="2">
        <v>3.0356607143661E-2</v>
      </c>
      <c r="H409" s="2" t="s">
        <v>4358</v>
      </c>
      <c r="I409" s="2" t="s">
        <v>102</v>
      </c>
      <c r="J409" s="2" t="str">
        <f>HYPERLINK("https://vectorbase.org/vectorbase/app/record/gene/AGAP001497","AGAP001497-RC")</f>
        <v>AGAP001497-RC</v>
      </c>
      <c r="K409" s="2" t="str">
        <f>HYPERLINK(".\links\pep\AGAP001497-PC-pep.txt","AGAP001497-PC")</f>
        <v>AGAP001497-PC</v>
      </c>
      <c r="L409" s="12" t="s">
        <v>95</v>
      </c>
      <c r="M409" s="2">
        <v>897</v>
      </c>
      <c r="N409" s="2">
        <v>0</v>
      </c>
      <c r="O409" s="2">
        <v>3</v>
      </c>
      <c r="P409" s="2" t="s">
        <v>4359</v>
      </c>
      <c r="Q409" s="9" t="s">
        <v>4360</v>
      </c>
      <c r="R409" s="2" t="s">
        <v>358</v>
      </c>
      <c r="S409" s="2" t="str">
        <f>HYPERLINK(".\links\KOG\AGAP001497-PC-KOG.txt","KOG")</f>
        <v>KOG</v>
      </c>
      <c r="T409" s="2">
        <v>0</v>
      </c>
      <c r="U409" s="2">
        <v>100.2</v>
      </c>
      <c r="V409" s="2" t="s">
        <v>4361</v>
      </c>
      <c r="W409" s="10" t="s">
        <v>4362</v>
      </c>
      <c r="X409" s="2" t="s">
        <v>358</v>
      </c>
      <c r="Y409" s="2" t="str">
        <f>HYPERLINK(".\links\COG\AGAP001497-PC-COG.txt","COG")</f>
        <v>COG</v>
      </c>
      <c r="Z409" s="15">
        <v>1.9999999999999999E-48</v>
      </c>
      <c r="AA409" s="2">
        <v>42.6</v>
      </c>
      <c r="AB409" s="13" t="str">
        <f>HYPERLINK(".\links\pep\AGAP001497-PC-sulf.txt","1")</f>
        <v>1</v>
      </c>
      <c r="AC409" s="13" t="str">
        <f>HYPERLINK(".\links\Sigp\AGAP001497-PC-SigP.txt","CYT")</f>
        <v>CYT</v>
      </c>
      <c r="AD409" s="2" t="s">
        <v>102</v>
      </c>
      <c r="AE409" s="2">
        <v>103.746</v>
      </c>
      <c r="AF409" s="2">
        <v>5.46</v>
      </c>
      <c r="AG409" s="2" t="s">
        <v>102</v>
      </c>
      <c r="AH409" s="2" t="s">
        <v>102</v>
      </c>
      <c r="AI409" s="2" t="s">
        <v>611</v>
      </c>
      <c r="AJ409" s="13">
        <v>0</v>
      </c>
      <c r="AK409" s="2" t="s">
        <v>102</v>
      </c>
      <c r="AL409" s="2" t="s">
        <v>102</v>
      </c>
      <c r="AM409" s="2" t="s">
        <v>102</v>
      </c>
      <c r="AN409" s="13" t="str">
        <f>HYPERLINK(".\links\gpi\AGAP001497-PC-gpi.txt","N")</f>
        <v>N</v>
      </c>
      <c r="AO409" s="14" t="str">
        <f>HYPERLINK(".\links\netoglyc\AGAP001497-PC-netoglyc.txt","0")</f>
        <v>0</v>
      </c>
      <c r="AP409" s="13">
        <v>9.6999999999999993</v>
      </c>
      <c r="AQ409" s="2">
        <v>4.8</v>
      </c>
      <c r="AR409" s="2">
        <v>3.3</v>
      </c>
      <c r="AS409" s="2">
        <v>0.3</v>
      </c>
      <c r="AT409" s="9" t="str">
        <f>HYPERLINK(".\links\NR-LIGHT\AGAP001497-PC-NR-LIGHT.txt","AGAP001497-PC")</f>
        <v>AGAP001497-PC</v>
      </c>
      <c r="AU409" s="2" t="str">
        <f>HYPERLINK("http://www.ncbi.nlm.nih.gov/sutils/blink.cgi?pid=XP_003435852.1","0.0")</f>
        <v>0.0</v>
      </c>
      <c r="AV409" s="2" t="str">
        <f>HYPERLINK("http://www.ncbi.nlm.nih.gov/protein/XP_003435852.1","XP_003435852.1")</f>
        <v>XP_003435852.1</v>
      </c>
      <c r="AW409" s="2">
        <v>100</v>
      </c>
      <c r="AX409" s="2">
        <v>100</v>
      </c>
      <c r="AY409" s="2">
        <v>100</v>
      </c>
      <c r="AZ409" s="2" t="s">
        <v>105</v>
      </c>
      <c r="BA409" s="9" t="str">
        <f>HYPERLINK(".\links\REFSEQ-INVERTEBRATE\AGAP001497-PC-REFSEQ-INVERTEBRATE.txt","AGAP001497-PC")</f>
        <v>AGAP001497-PC</v>
      </c>
      <c r="BB409" s="2" t="str">
        <f>HYPERLINK("http://www.ncbi.nlm.nih.gov/sutils/blink.cgi?pid=XP_003435852.1","0.0")</f>
        <v>0.0</v>
      </c>
      <c r="BC409" s="2" t="str">
        <f>HYPERLINK("http://www.ncbi.nlm.nih.gov/protein/XP_003435852.1","XP_003435852.1")</f>
        <v>XP_003435852.1</v>
      </c>
      <c r="BD409" s="2">
        <v>100</v>
      </c>
      <c r="BE409" s="2">
        <v>100</v>
      </c>
      <c r="BF409" s="2">
        <v>100</v>
      </c>
      <c r="BG409" s="2" t="s">
        <v>105</v>
      </c>
      <c r="BH409" s="9" t="str">
        <f>HYPERLINK(".\links\REFSEQ-PROTOZOA\AGAP001497-PC-REFSEQ-PROTOZOA.txt","pectoralis alpha actinin")</f>
        <v>pectoralis alpha actinin</v>
      </c>
      <c r="BI409" s="2" t="str">
        <f>HYPERLINK("http://www.ncbi.nlm.nih.gov/sutils/blink.cgi?pid=XP_004349304.2","0.0")</f>
        <v>0.0</v>
      </c>
      <c r="BJ409" s="2" t="str">
        <f>HYPERLINK("http://www.ncbi.nlm.nih.gov/protein/XP_004349304.2","XP_004349304.2")</f>
        <v>XP_004349304.2</v>
      </c>
      <c r="BK409" s="2">
        <v>48</v>
      </c>
      <c r="BL409" s="2">
        <v>67</v>
      </c>
      <c r="BM409" s="2">
        <v>101</v>
      </c>
      <c r="BN409" s="2" t="s">
        <v>106</v>
      </c>
      <c r="BO409" s="9" t="str">
        <f>HYPERLINK(".\links\SWISSP\AGAP001497-PC-SWISSP.txt","Alpha-actinin, sarcomeric")</f>
        <v>Alpha-actinin, sarcomeric</v>
      </c>
      <c r="BP409" s="2" t="str">
        <f>HYPERLINK("http://www.uniprot.org/uniprot/Q7PKQ5","0.0")</f>
        <v>0.0</v>
      </c>
      <c r="BQ409" s="2" t="str">
        <f>HYPERLINK("http://www.uniprot.org/uniprot/Q7PKQ5#expression","Q7PKQ5")</f>
        <v>Q7PKQ5</v>
      </c>
      <c r="BR409" s="2">
        <v>96</v>
      </c>
      <c r="BS409" s="2">
        <v>96</v>
      </c>
      <c r="BT409" s="2">
        <v>100</v>
      </c>
      <c r="BU409" s="2" t="s">
        <v>249</v>
      </c>
      <c r="BV409" s="9" t="str">
        <f>HYPERLINK(".\links\FLYBASE\AGAP001497-PC-FLYBASE.txt","FBpp0070330")</f>
        <v>FBpp0070330</v>
      </c>
      <c r="BW409" s="2" t="str">
        <f>HYPERLINK("http://flybase.org/reports/FBgn0000667#alliance_summary_container","0.0")</f>
        <v>0.0</v>
      </c>
      <c r="BX409" s="2">
        <v>895</v>
      </c>
      <c r="BY409" s="2">
        <v>92</v>
      </c>
      <c r="BZ409" s="2">
        <v>96</v>
      </c>
      <c r="CA409" s="2">
        <v>100</v>
      </c>
      <c r="CB409" s="9" t="str">
        <f>HYPERLINK(".\links\CDD\AGAP001497-PC-CDD.txt","SAC6, Ca2+-binding actin-bundling protein fimbrin/plastin (EF-Hand superfamily)")</f>
        <v>SAC6, Ca2+-binding actin-bundling protein fimbrin/plastin (EF-Hand superfamily)</v>
      </c>
      <c r="CC409" s="15">
        <v>3.0000000000000001E-59</v>
      </c>
      <c r="CD409" s="2">
        <v>57.2</v>
      </c>
      <c r="CE409" s="2" t="s">
        <v>4363</v>
      </c>
      <c r="CF409" s="2" t="s">
        <v>4364</v>
      </c>
      <c r="CG409" s="9" t="str">
        <f>HYPERLINK(".\links\KOG\AGAP001497-PC-KOG.txt","alpha chain (EF-Hand protein superfamily)")</f>
        <v>alpha chain (EF-Hand protein superfamily)</v>
      </c>
      <c r="CH409" s="15">
        <v>0</v>
      </c>
      <c r="CI409" s="2">
        <v>100.2</v>
      </c>
      <c r="CJ409" s="2" t="s">
        <v>4365</v>
      </c>
      <c r="CK409" s="2" t="s">
        <v>131</v>
      </c>
      <c r="CL409" s="9" t="str">
        <f>HYPERLINK(".\links\PFAM\AGAP001497-PC-PFAM.txt","EFhand_Ca_insen, Ca2+ insensitive EF hand")</f>
        <v>EFhand_Ca_insen, Ca2+ insensitive EF hand</v>
      </c>
      <c r="CM409" s="15">
        <v>4.0000000000000002E-27</v>
      </c>
      <c r="CN409" s="2">
        <v>100</v>
      </c>
      <c r="CO409" s="2" t="s">
        <v>4366</v>
      </c>
      <c r="CP409" s="9" t="str">
        <f>HYPERLINK(".\links\SMART\AGAP001497-PC-SMART.txt","CH, Calponin homology domain")</f>
        <v>CH, Calponin homology domain</v>
      </c>
      <c r="CQ409" s="15">
        <v>1.9999999999999998E-21</v>
      </c>
      <c r="CR409" s="2">
        <v>101</v>
      </c>
      <c r="CS409" s="2" t="s">
        <v>2152</v>
      </c>
      <c r="CT409" s="2" t="s">
        <v>4361</v>
      </c>
      <c r="CU409" s="2" t="s">
        <v>4361</v>
      </c>
      <c r="CV409" s="2" t="s">
        <v>4361</v>
      </c>
      <c r="CW409" s="2" t="str">
        <f>HYPERLINK(".\links\pep\AGAP001497-PC-pep.txt","AGAP001497-PC")</f>
        <v>AGAP001497-PC</v>
      </c>
      <c r="CX409" s="2" t="s">
        <v>95</v>
      </c>
      <c r="CY409" s="2">
        <v>897</v>
      </c>
      <c r="CZ409" s="2" t="s">
        <v>113</v>
      </c>
      <c r="DA409" s="2">
        <v>0</v>
      </c>
      <c r="DB409" s="2">
        <v>3</v>
      </c>
      <c r="DD409" s="2" t="str">
        <f>HYPERLINK("https://www.kegg.jp/kegg-bin/search_pathway_text?map=aga&amp;keyword=AGAP001497&amp;mode=1&amp;viewImage=true","AGAP001497")</f>
        <v>AGAP001497</v>
      </c>
      <c r="DE409" s="2" t="s">
        <v>4357</v>
      </c>
      <c r="DF409" s="2" t="s">
        <v>4358</v>
      </c>
      <c r="DG409" s="2" t="s">
        <v>102</v>
      </c>
      <c r="DH409" s="2" t="str">
        <f>HYPERLINK("https://vectorbase.org/vectorbase/app/record/gene/AGAP001497","AGAP001497-RC")</f>
        <v>AGAP001497-RC</v>
      </c>
      <c r="DI409" s="2" t="s">
        <v>115</v>
      </c>
      <c r="DJ409" s="2">
        <v>4133</v>
      </c>
      <c r="DK409" s="2" t="str">
        <f>HYPERLINK(".\links\netoglyc\AGAP001497-PC-netoglyc.txt","0")</f>
        <v>0</v>
      </c>
      <c r="DL409" s="2">
        <v>9.6999999999999993</v>
      </c>
      <c r="DM409" s="2">
        <v>4.8</v>
      </c>
      <c r="DN409" s="2">
        <v>3.3</v>
      </c>
      <c r="DO409" s="2">
        <v>0.3</v>
      </c>
      <c r="DP409" s="2" t="s">
        <v>102</v>
      </c>
      <c r="DQ409" s="2" t="str">
        <f>HYPERLINK(".\links\Sigp\AGAP001497-PC-SigP.txt","CYT")</f>
        <v>CYT</v>
      </c>
      <c r="DR409" s="2" t="s">
        <v>102</v>
      </c>
      <c r="DS409" s="2">
        <v>103.746</v>
      </c>
      <c r="DT409" s="2">
        <v>5.46</v>
      </c>
      <c r="DU409" s="2" t="s">
        <v>102</v>
      </c>
      <c r="DV409" s="2" t="s">
        <v>102</v>
      </c>
      <c r="DW409" s="2" t="s">
        <v>611</v>
      </c>
      <c r="DX409" s="2">
        <v>897</v>
      </c>
      <c r="DY409" s="12">
        <v>0</v>
      </c>
      <c r="DZ409" s="2" t="s">
        <v>102</v>
      </c>
      <c r="EA409" s="2" t="s">
        <v>102</v>
      </c>
      <c r="EB409" s="2" t="s">
        <v>102</v>
      </c>
      <c r="EC409" s="2" t="str">
        <f>HYPERLINK(".\links\gpi\AGAP001497-PC-gpi.txt","Y-NoSP")</f>
        <v>Y-NoSP</v>
      </c>
      <c r="ED409" s="2">
        <v>0.23</v>
      </c>
      <c r="EF409" s="2">
        <v>11</v>
      </c>
      <c r="EG409" s="2" t="str">
        <f>HYPERLINK(".\links\pep\AGAP001497-PC-sulf.txt","1")</f>
        <v>1</v>
      </c>
      <c r="EH409" s="2" t="s">
        <v>102</v>
      </c>
      <c r="EI409" s="2">
        <v>9.6989966555183909</v>
      </c>
      <c r="EJ409" s="2">
        <v>3.3444816053511701</v>
      </c>
      <c r="EK409" s="2">
        <v>4.79375696767001</v>
      </c>
      <c r="EL409" s="2">
        <v>8.1382385730211801</v>
      </c>
      <c r="EM409" s="2" t="s">
        <v>102</v>
      </c>
      <c r="EN409" s="2">
        <v>4</v>
      </c>
      <c r="EO409" s="2">
        <v>5</v>
      </c>
      <c r="EP409" s="2" t="s">
        <v>102</v>
      </c>
      <c r="EQ409" s="2" t="s">
        <v>102</v>
      </c>
      <c r="ER409" s="2" t="s">
        <v>102</v>
      </c>
      <c r="ES409" s="2" t="s">
        <v>102</v>
      </c>
      <c r="ET409" s="2" t="str">
        <f>HYPERLINK(".\links\REFSEQ-INVERTEBRATE\AGAP001497-PC-REFSEQ-INVERTEBRATE.txt","AGAP001497-PC")</f>
        <v>AGAP001497-PC</v>
      </c>
      <c r="EU409" s="2" t="str">
        <f>HYPERLINK("http://www.ncbi.nlm.nih.gov/sutils/blink.cgi?pid=XP_003435852.1","0.0")</f>
        <v>0.0</v>
      </c>
      <c r="EV409" s="2" t="str">
        <f>HYPERLINK("http://www.ncbi.nlm.nih.gov/protein/XP_003435852.1","XP_003435852.1")</f>
        <v>XP_003435852.1</v>
      </c>
      <c r="EW409" s="2">
        <v>100</v>
      </c>
      <c r="EX409" s="2">
        <v>100</v>
      </c>
      <c r="EY409" s="2">
        <v>100</v>
      </c>
      <c r="EZ409" s="2" t="s">
        <v>105</v>
      </c>
    </row>
    <row r="410" spans="1:156" x14ac:dyDescent="0.25">
      <c r="A410" s="2" t="s">
        <v>4367</v>
      </c>
      <c r="B410" s="2">
        <v>-0.33691728991713099</v>
      </c>
      <c r="C410" s="2">
        <f t="shared" si="6"/>
        <v>0.79173125472945494</v>
      </c>
      <c r="D410" s="2">
        <v>6.5342476242793799</v>
      </c>
      <c r="E410" s="2">
        <v>14.8680391274338</v>
      </c>
      <c r="F410" s="2">
        <v>1.15300076689195E-4</v>
      </c>
      <c r="G410" s="2">
        <v>1.12503193640794E-2</v>
      </c>
      <c r="H410" s="2" t="s">
        <v>93</v>
      </c>
      <c r="I410" s="2" t="s">
        <v>94</v>
      </c>
      <c r="J410" s="2" t="str">
        <f>HYPERLINK("https://vectorbase.org/vectorbase/app/record/gene/AGAP000932","AGAP000932-RB")</f>
        <v>AGAP000932-RB</v>
      </c>
      <c r="K410" s="2" t="str">
        <f>HYPERLINK(".\links\pep\AGAP000932-PB-pep.txt","AGAP000932-PB")</f>
        <v>AGAP000932-PB</v>
      </c>
      <c r="Q410" s="9"/>
      <c r="R410" s="2" t="s">
        <v>608</v>
      </c>
      <c r="V410" s="2" t="s">
        <v>4368</v>
      </c>
      <c r="W410" s="10" t="s">
        <v>4369</v>
      </c>
      <c r="X410" s="2" t="s">
        <v>771</v>
      </c>
      <c r="Y410" s="2" t="str">
        <f>HYPERLINK(".\links\CDD\AGAP000932-PB-CDD.txt","CDD")</f>
        <v>CDD</v>
      </c>
      <c r="Z410" s="15">
        <v>1E-50</v>
      </c>
      <c r="AA410" s="2">
        <v>100.4</v>
      </c>
      <c r="AB410" s="9"/>
      <c r="AC410" s="9"/>
      <c r="AJ410" s="9"/>
      <c r="AN410" s="9"/>
      <c r="AO410" s="11"/>
      <c r="AP410" s="9"/>
      <c r="AT410" s="9"/>
      <c r="BA410" s="9"/>
      <c r="BH410" s="9"/>
      <c r="BO410" s="9"/>
      <c r="BV410" s="9"/>
      <c r="CB410" s="9"/>
      <c r="CG410" s="9"/>
      <c r="CL410" s="9"/>
      <c r="CP410" s="9"/>
      <c r="CW410" s="2" t="str">
        <f>HYPERLINK(".\links\pep\AGAP000932-PB-pep.txt","AGAP000932-PB")</f>
        <v>AGAP000932-PB</v>
      </c>
      <c r="CX410" s="2" t="s">
        <v>95</v>
      </c>
      <c r="CY410" s="2">
        <v>1485</v>
      </c>
      <c r="CZ410" s="2" t="s">
        <v>113</v>
      </c>
      <c r="DA410" s="2" t="s">
        <v>4370</v>
      </c>
      <c r="DB410" s="2">
        <v>0</v>
      </c>
      <c r="DC410" s="2">
        <v>0</v>
      </c>
      <c r="DD410" s="2" t="str">
        <f>HYPERLINK("https://www.kegg.jp/kegg-bin/search_pathway_text?map=aga&amp;keyword=AGAP000932&amp;mode=1&amp;viewImage=true","AGAP000932")</f>
        <v>AGAP000932</v>
      </c>
      <c r="DE410" s="2" t="s">
        <v>4367</v>
      </c>
      <c r="DF410" s="2" t="s">
        <v>93</v>
      </c>
      <c r="DG410" s="2" t="s">
        <v>94</v>
      </c>
      <c r="DH410" s="2" t="str">
        <f>HYPERLINK("https://vectorbase.org/vectorbase/app/record/gene/AGAP000932","AGAP000932-RB")</f>
        <v>AGAP000932-RB</v>
      </c>
      <c r="DI410" s="2" t="s">
        <v>115</v>
      </c>
      <c r="DJ410" s="2">
        <v>6589</v>
      </c>
      <c r="DK410" s="2" t="str">
        <f>HYPERLINK(".\links\netoglyc\AGAP000932-PB-netoglyc.txt","24")</f>
        <v>24</v>
      </c>
      <c r="DL410" s="2">
        <v>20.3</v>
      </c>
      <c r="DM410" s="2">
        <v>6</v>
      </c>
      <c r="DN410" s="2">
        <v>6.2</v>
      </c>
      <c r="DO410" s="2" t="s">
        <v>104</v>
      </c>
      <c r="DP410" s="2" t="s">
        <v>102</v>
      </c>
      <c r="DQ410" s="2" t="str">
        <f>HYPERLINK(".\links\Sigp\AGAP000932-PB-SigP.txt","CYT")</f>
        <v>CYT</v>
      </c>
      <c r="DR410" s="2" t="s">
        <v>102</v>
      </c>
      <c r="DS410" s="2">
        <v>160.77500000000001</v>
      </c>
      <c r="DT410" s="2">
        <v>6.98</v>
      </c>
      <c r="DU410" s="2" t="s">
        <v>102</v>
      </c>
      <c r="DV410" s="2" t="s">
        <v>102</v>
      </c>
      <c r="DW410" s="2" t="s">
        <v>124</v>
      </c>
      <c r="DX410" s="2">
        <v>1485</v>
      </c>
      <c r="DY410" s="12">
        <v>0</v>
      </c>
      <c r="DZ410" s="2" t="s">
        <v>102</v>
      </c>
      <c r="EA410" s="2" t="s">
        <v>102</v>
      </c>
      <c r="EB410" s="2" t="s">
        <v>102</v>
      </c>
      <c r="EC410" s="2" t="str">
        <f>HYPERLINK(".\links\gpi\AGAP000932-PB-gpi.txt","Y-NoSP")</f>
        <v>Y-NoSP</v>
      </c>
      <c r="ED410" s="2">
        <v>0.23</v>
      </c>
      <c r="EF410" s="2">
        <v>13</v>
      </c>
      <c r="EG410" s="2" t="str">
        <f>HYPERLINK(".\links\pep\AGAP000932-PB-sulf.txt","3")</f>
        <v>3</v>
      </c>
      <c r="EH410" s="2" t="s">
        <v>102</v>
      </c>
      <c r="EI410" s="2">
        <v>20.269360269360298</v>
      </c>
      <c r="EJ410" s="2">
        <v>6.1952861952861999</v>
      </c>
      <c r="EK410" s="2">
        <v>5.9932659932659904</v>
      </c>
      <c r="EL410" s="2">
        <v>12.188552188552199</v>
      </c>
      <c r="EM410" s="2">
        <v>3</v>
      </c>
      <c r="EN410" s="2">
        <v>5</v>
      </c>
      <c r="EO410" s="2">
        <v>5</v>
      </c>
      <c r="EP410" s="2" t="s">
        <v>102</v>
      </c>
      <c r="EQ410" s="2" t="s">
        <v>102</v>
      </c>
      <c r="ER410" s="2" t="s">
        <v>102</v>
      </c>
      <c r="ES410" s="2" t="s">
        <v>102</v>
      </c>
      <c r="ET410" s="2" t="str">
        <f>HYPERLINK(".\links\REFSEQ-INVERTEBRATE\AGAP000932-PB-REFSEQ-INVERTEBRATE.txt","guanine nucleotide-releasing factor 2 isoform X7")</f>
        <v>guanine nucleotide-releasing factor 2 isoform X7</v>
      </c>
      <c r="EU410" s="2" t="str">
        <f>HYPERLINK("http://www.ncbi.nlm.nih.gov/sutils/blink.cgi?pid=XP_035892905.1","0.0")</f>
        <v>0.0</v>
      </c>
      <c r="EV410" s="2" t="str">
        <f>HYPERLINK("http://www.ncbi.nlm.nih.gov/protein/XP_035892905.1","XP_035892905.1")</f>
        <v>XP_035892905.1</v>
      </c>
      <c r="EW410" s="2">
        <v>80</v>
      </c>
      <c r="EX410" s="2">
        <v>84</v>
      </c>
      <c r="EY410" s="2">
        <v>88</v>
      </c>
      <c r="EZ410" s="2" t="s">
        <v>370</v>
      </c>
    </row>
    <row r="411" spans="1:156" x14ac:dyDescent="0.25">
      <c r="A411" s="2" t="s">
        <v>4371</v>
      </c>
      <c r="B411" s="2">
        <v>-0.337435586963094</v>
      </c>
      <c r="C411" s="2">
        <f t="shared" si="6"/>
        <v>0.79144687150431781</v>
      </c>
      <c r="D411" s="2">
        <v>6.1525494994281598</v>
      </c>
      <c r="E411" s="2">
        <v>10.255258800113101</v>
      </c>
      <c r="F411" s="2">
        <v>1.36295511585218E-3</v>
      </c>
      <c r="G411" s="2">
        <v>3.6820471535482201E-2</v>
      </c>
      <c r="H411" s="2" t="s">
        <v>93</v>
      </c>
      <c r="I411" s="2" t="s">
        <v>94</v>
      </c>
      <c r="J411" s="2" t="str">
        <f>HYPERLINK("https://vectorbase.org/vectorbase/app/record/gene/AGAP007022","AGAP007022-RA")</f>
        <v>AGAP007022-RA</v>
      </c>
      <c r="K411" s="2" t="str">
        <f>HYPERLINK(".\links\pep\AGAP007022-PA-pep.txt","AGAP007022-PA")</f>
        <v>AGAP007022-PA</v>
      </c>
      <c r="L411" s="12" t="s">
        <v>95</v>
      </c>
      <c r="M411" s="2">
        <v>1153</v>
      </c>
      <c r="N411" s="2">
        <v>0</v>
      </c>
      <c r="O411" s="2">
        <v>5</v>
      </c>
      <c r="P411" s="2" t="s">
        <v>102</v>
      </c>
      <c r="Q411" s="9" t="s">
        <v>4372</v>
      </c>
      <c r="R411" s="2" t="s">
        <v>444</v>
      </c>
      <c r="S411" s="2" t="str">
        <f>HYPERLINK(".\links\REFSEQ-INVERTEBRATE\AGAP007022-PA-REFSEQ-INVERTEBRATE.txt","REFSEQ-INVERTEBRATE")</f>
        <v>REFSEQ-INVERTEBRATE</v>
      </c>
      <c r="T411" s="2">
        <v>0</v>
      </c>
      <c r="U411" s="2">
        <v>110.3</v>
      </c>
      <c r="V411" s="2" t="s">
        <v>4373</v>
      </c>
      <c r="W411" s="10" t="s">
        <v>4374</v>
      </c>
      <c r="X411" s="2" t="s">
        <v>420</v>
      </c>
      <c r="Y411" s="2" t="str">
        <f>HYPERLINK(".\links\REFSEQ-INVERTEBRATE\AGAP007022-PA-REFSEQ-INVERTEBRATE.txt","REFSEQ-INVERTEBRATE")</f>
        <v>REFSEQ-INVERTEBRATE</v>
      </c>
      <c r="Z411" s="2">
        <v>0</v>
      </c>
      <c r="AA411" s="2">
        <v>105.3</v>
      </c>
      <c r="AB411" s="13" t="s">
        <v>102</v>
      </c>
      <c r="AC411" s="13" t="str">
        <f>HYPERLINK(".\links\Sigp\AGAP007022-PA-SigP.txt","CYT")</f>
        <v>CYT</v>
      </c>
      <c r="AD411" s="2" t="s">
        <v>102</v>
      </c>
      <c r="AE411" s="2">
        <v>123.04300000000001</v>
      </c>
      <c r="AF411" s="2">
        <v>9.19</v>
      </c>
      <c r="AG411" s="2" t="s">
        <v>102</v>
      </c>
      <c r="AH411" s="2" t="s">
        <v>102</v>
      </c>
      <c r="AI411" s="2" t="s">
        <v>4375</v>
      </c>
      <c r="AJ411" s="13">
        <v>0</v>
      </c>
      <c r="AK411" s="2" t="s">
        <v>102</v>
      </c>
      <c r="AL411" s="2" t="s">
        <v>102</v>
      </c>
      <c r="AM411" s="2" t="s">
        <v>102</v>
      </c>
      <c r="AN411" s="13" t="str">
        <f>HYPERLINK(".\links\gpi\AGAP007022-PA-gpi.txt","N")</f>
        <v>N</v>
      </c>
      <c r="AO411" s="14" t="str">
        <f>HYPERLINK(".\links\netoglyc\AGAP007022-PA-netoglyc.txt","13")</f>
        <v>13</v>
      </c>
      <c r="AP411" s="13">
        <v>17.100000000000001</v>
      </c>
      <c r="AQ411" s="2">
        <v>6.2</v>
      </c>
      <c r="AR411" s="2">
        <v>8.1999999999999993</v>
      </c>
      <c r="AS411" s="2" t="s">
        <v>104</v>
      </c>
      <c r="AT411" s="9" t="str">
        <f>HYPERLINK(".\links\NR-LIGHT\AGAP007022-PA-NR-LIGHT.txt","AGAP007022-PA")</f>
        <v>AGAP007022-PA</v>
      </c>
      <c r="AU411" s="2" t="str">
        <f>HYPERLINK("http://www.ncbi.nlm.nih.gov/sutils/blink.cgi?pid=XP_001688070.1","0.0")</f>
        <v>0.0</v>
      </c>
      <c r="AV411" s="2" t="str">
        <f>HYPERLINK("http://www.ncbi.nlm.nih.gov/protein/XP_001688070.1","XP_001688070.1")</f>
        <v>XP_001688070.1</v>
      </c>
      <c r="AW411" s="2">
        <v>99</v>
      </c>
      <c r="AX411" s="2">
        <v>99</v>
      </c>
      <c r="AY411" s="2">
        <v>99</v>
      </c>
      <c r="AZ411" s="2" t="s">
        <v>105</v>
      </c>
      <c r="BA411" s="9" t="str">
        <f>HYPERLINK(".\links\REFSEQ-INVERTEBRATE\AGAP007022-PA-REFSEQ-INVERTEBRATE.txt","AGAP007022-PA")</f>
        <v>AGAP007022-PA</v>
      </c>
      <c r="BB411" s="2" t="str">
        <f>HYPERLINK("http://www.ncbi.nlm.nih.gov/sutils/blink.cgi?pid=XP_001688070.1","0.0")</f>
        <v>0.0</v>
      </c>
      <c r="BC411" s="2" t="str">
        <f>HYPERLINK("http://www.ncbi.nlm.nih.gov/protein/XP_001688070.1","XP_001688070.1")</f>
        <v>XP_001688070.1</v>
      </c>
      <c r="BD411" s="2">
        <v>99</v>
      </c>
      <c r="BE411" s="2">
        <v>99</v>
      </c>
      <c r="BF411" s="2">
        <v>99</v>
      </c>
      <c r="BG411" s="2" t="s">
        <v>105</v>
      </c>
      <c r="BH411" s="9" t="str">
        <f>HYPERLINK(".\links\REFSEQ-PROTOZOA\AGAP007022-PA-REFSEQ-PROTOZOA.txt","proteophosphoglycan 5")</f>
        <v>proteophosphoglycan 5</v>
      </c>
      <c r="BI411" s="2" t="str">
        <f>HYPERLINK("http://www.ncbi.nlm.nih.gov/sutils/blink.cgi?pid=XP_003722449.1","2E-017")</f>
        <v>2E-017</v>
      </c>
      <c r="BJ411" s="2" t="str">
        <f>HYPERLINK("http://www.ncbi.nlm.nih.gov/protein/XP_003722449.1","XP_003722449.1")</f>
        <v>XP_003722449.1</v>
      </c>
      <c r="BK411" s="2">
        <v>17</v>
      </c>
      <c r="BL411" s="2">
        <v>32</v>
      </c>
      <c r="BM411" s="2">
        <v>5</v>
      </c>
      <c r="BN411" s="2" t="s">
        <v>3969</v>
      </c>
      <c r="BO411" s="9" t="str">
        <f>HYPERLINK(".\links\SWISSP\AGAP007022-PA-SWISSP.txt","Enoyl-CoA delta isomerase 2, mitochondrial")</f>
        <v>Enoyl-CoA delta isomerase 2, mitochondrial</v>
      </c>
      <c r="BP411" s="2" t="str">
        <f>HYPERLINK("http://www.uniprot.org/uniprot/O75521","2E-021")</f>
        <v>2E-021</v>
      </c>
      <c r="BQ411" s="2" t="str">
        <f>HYPERLINK("http://www.uniprot.org/uniprot/O75521#expression","O75521")</f>
        <v>O75521</v>
      </c>
      <c r="BR411" s="2">
        <v>28</v>
      </c>
      <c r="BS411" s="2">
        <v>48</v>
      </c>
      <c r="BT411" s="2">
        <v>64</v>
      </c>
      <c r="BU411" s="2" t="s">
        <v>127</v>
      </c>
      <c r="BV411" s="9" t="str">
        <f>HYPERLINK(".\links\FLYBASE\AGAP007022-PA-FLYBASE.txt","FBpp0303914")</f>
        <v>FBpp0303914</v>
      </c>
      <c r="BW411" s="2" t="str">
        <f>HYPERLINK("http://flybase.org/reports/FBgn0037027#alliance_summary_container","1E-28")</f>
        <v>1E-28</v>
      </c>
      <c r="BX411" s="2">
        <v>924</v>
      </c>
      <c r="BY411" s="2">
        <v>29</v>
      </c>
      <c r="BZ411" s="2">
        <v>50</v>
      </c>
      <c r="CA411" s="2">
        <v>29</v>
      </c>
      <c r="CB411" s="9" t="str">
        <f>HYPERLINK(".\links\CDD\AGAP007022-PA-CDD.txt","crotonase-like, Crotonase/Enoyl-Coenzyme A (CoA) hydratase superfamily")</f>
        <v>crotonase-like, Crotonase/Enoyl-Coenzyme A (CoA) hydratase superfamily</v>
      </c>
      <c r="CC411" s="15">
        <v>5.0000000000000004E-32</v>
      </c>
      <c r="CD411" s="2">
        <v>89.7</v>
      </c>
      <c r="CE411" s="2" t="s">
        <v>4376</v>
      </c>
      <c r="CF411" s="2" t="s">
        <v>4377</v>
      </c>
      <c r="CG411" s="9" t="str">
        <f>HYPERLINK(".\links\KOG\AGAP007022-PA-KOG.txt","Enoyl-CoA hydratase/isomerase")</f>
        <v>Enoyl-CoA hydratase/isomerase</v>
      </c>
      <c r="CH411" s="15">
        <v>2.9999999999999999E-30</v>
      </c>
      <c r="CI411" s="2">
        <v>102.6</v>
      </c>
      <c r="CJ411" s="2" t="s">
        <v>4378</v>
      </c>
      <c r="CK411" s="2" t="s">
        <v>3802</v>
      </c>
      <c r="CL411" s="9" t="str">
        <f>HYPERLINK(".\links\PFAM\AGAP007022-PA-PFAM.txt","ECH_1, Enoyl-CoA hydratase/isomerase")</f>
        <v>ECH_1, Enoyl-CoA hydratase/isomerase</v>
      </c>
      <c r="CM411" s="15">
        <v>4.9999999999999999E-17</v>
      </c>
      <c r="CN411" s="2">
        <v>83.3</v>
      </c>
      <c r="CO411" s="2" t="s">
        <v>4379</v>
      </c>
      <c r="CP411" s="9" t="str">
        <f>HYPERLINK(".\links\SMART\AGAP007022-PA-SMART.txt","PBP5_C, Penicillin-binding protein 5, C-terminal domain")</f>
        <v>PBP5_C, Penicillin-binding protein 5, C-terminal domain</v>
      </c>
      <c r="CQ411" s="15">
        <v>0.19</v>
      </c>
      <c r="CR411" s="2">
        <v>50</v>
      </c>
      <c r="CS411" s="2" t="s">
        <v>4380</v>
      </c>
      <c r="CT411" s="2" t="s">
        <v>4373</v>
      </c>
      <c r="CU411" s="2" t="s">
        <v>4373</v>
      </c>
      <c r="CV411" s="2" t="s">
        <v>4373</v>
      </c>
      <c r="CW411" s="2" t="str">
        <f>HYPERLINK(".\links\pep\AGAP007022-PA-pep.txt","AGAP007022-PA")</f>
        <v>AGAP007022-PA</v>
      </c>
      <c r="CX411" s="2" t="s">
        <v>95</v>
      </c>
      <c r="CY411" s="2">
        <v>1153</v>
      </c>
      <c r="CZ411" s="2" t="s">
        <v>113</v>
      </c>
      <c r="DA411" s="2" t="s">
        <v>4381</v>
      </c>
      <c r="DB411" s="2">
        <v>0</v>
      </c>
      <c r="DC411" s="2">
        <v>5</v>
      </c>
      <c r="DD411" s="2" t="str">
        <f>HYPERLINK("https://www.kegg.jp/kegg-bin/search_pathway_text?map=aga&amp;keyword=AGAP007022&amp;mode=1&amp;viewImage=true","AGAP007022")</f>
        <v>AGAP007022</v>
      </c>
      <c r="DE411" s="2" t="s">
        <v>4371</v>
      </c>
      <c r="DF411" s="2" t="s">
        <v>93</v>
      </c>
      <c r="DG411" s="2" t="s">
        <v>94</v>
      </c>
      <c r="DH411" s="2" t="str">
        <f>HYPERLINK("https://vectorbase.org/vectorbase/app/record/gene/AGAP007022","AGAP007022-RA")</f>
        <v>AGAP007022-RA</v>
      </c>
      <c r="DI411" s="2" t="s">
        <v>115</v>
      </c>
      <c r="DJ411" s="2">
        <v>3839</v>
      </c>
      <c r="DK411" s="2" t="str">
        <f>HYPERLINK(".\links\netoglyc\AGAP007022-PA-netoglyc.txt","13")</f>
        <v>13</v>
      </c>
      <c r="DL411" s="2">
        <v>17.100000000000001</v>
      </c>
      <c r="DM411" s="2">
        <v>6.2</v>
      </c>
      <c r="DN411" s="2">
        <v>8.1999999999999993</v>
      </c>
      <c r="DO411" s="2" t="s">
        <v>104</v>
      </c>
      <c r="DP411" s="2" t="s">
        <v>4382</v>
      </c>
      <c r="DQ411" s="2" t="str">
        <f>HYPERLINK(".\links\Sigp\AGAP007022-PA-SigP.txt","CYT")</f>
        <v>CYT</v>
      </c>
      <c r="DR411" s="2" t="s">
        <v>102</v>
      </c>
      <c r="DS411" s="2">
        <v>123.04300000000001</v>
      </c>
      <c r="DT411" s="2">
        <v>9.19</v>
      </c>
      <c r="DU411" s="2" t="s">
        <v>102</v>
      </c>
      <c r="DV411" s="2" t="s">
        <v>102</v>
      </c>
      <c r="DW411" s="2" t="s">
        <v>4375</v>
      </c>
      <c r="DX411" s="2">
        <v>1153</v>
      </c>
      <c r="DY411" s="12">
        <v>0</v>
      </c>
      <c r="DZ411" s="2" t="s">
        <v>102</v>
      </c>
      <c r="EA411" s="2" t="s">
        <v>102</v>
      </c>
      <c r="EB411" s="2" t="s">
        <v>102</v>
      </c>
      <c r="EC411" s="2" t="str">
        <f>HYPERLINK(".\links\gpi\AGAP007022-PA-gpi.txt","Y-NoSP")</f>
        <v>Y-NoSP</v>
      </c>
      <c r="ED411" s="2">
        <v>0.27</v>
      </c>
      <c r="EF411" s="2">
        <v>5</v>
      </c>
      <c r="EG411" s="2" t="s">
        <v>102</v>
      </c>
      <c r="EH411" s="2" t="s">
        <v>102</v>
      </c>
      <c r="EI411" s="2">
        <v>17.085862966175199</v>
      </c>
      <c r="EJ411" s="2">
        <v>8.2393755420641792</v>
      </c>
      <c r="EK411" s="2">
        <v>6.1578490893321796</v>
      </c>
      <c r="EL411" s="2">
        <v>14.3972246313964</v>
      </c>
      <c r="EM411" s="2">
        <v>2</v>
      </c>
      <c r="EN411" s="2">
        <v>4</v>
      </c>
      <c r="EO411" s="2">
        <v>4</v>
      </c>
      <c r="EP411" s="2" t="s">
        <v>102</v>
      </c>
      <c r="EQ411" s="2" t="s">
        <v>102</v>
      </c>
      <c r="ER411" s="2" t="s">
        <v>102</v>
      </c>
      <c r="ES411" s="2" t="s">
        <v>102</v>
      </c>
      <c r="ET411" s="2" t="str">
        <f>HYPERLINK(".\links\REFSEQ-INVERTEBRATE\AGAP007022-PA-REFSEQ-INVERTEBRATE.txt","AGAP007022-PA")</f>
        <v>AGAP007022-PA</v>
      </c>
      <c r="EU411" s="2" t="str">
        <f>HYPERLINK("http://www.ncbi.nlm.nih.gov/sutils/blink.cgi?pid=XP_001688070.1","0.0")</f>
        <v>0.0</v>
      </c>
      <c r="EV411" s="2" t="str">
        <f>HYPERLINK("http://www.ncbi.nlm.nih.gov/protein/XP_001688070.1","XP_001688070.1")</f>
        <v>XP_001688070.1</v>
      </c>
      <c r="EW411" s="2">
        <v>99</v>
      </c>
      <c r="EX411" s="2">
        <v>99</v>
      </c>
      <c r="EY411" s="2">
        <v>99</v>
      </c>
      <c r="EZ411" s="2" t="s">
        <v>105</v>
      </c>
    </row>
    <row r="412" spans="1:156" x14ac:dyDescent="0.25">
      <c r="A412" s="2" t="s">
        <v>4383</v>
      </c>
      <c r="B412" s="2">
        <v>-0.33796499829308002</v>
      </c>
      <c r="C412" s="2">
        <f t="shared" si="6"/>
        <v>0.79115649546496114</v>
      </c>
      <c r="D412" s="2">
        <v>8.5824940203594107</v>
      </c>
      <c r="E412" s="2">
        <v>9.9646173673754106</v>
      </c>
      <c r="F412" s="2">
        <v>1.59577338383423E-3</v>
      </c>
      <c r="G412" s="2">
        <v>3.9012040862794299E-2</v>
      </c>
      <c r="H412" s="2" t="s">
        <v>4384</v>
      </c>
      <c r="I412" s="2" t="s">
        <v>94</v>
      </c>
      <c r="J412" s="2" t="str">
        <f>HYPERLINK("https://vectorbase.org/vectorbase/app/record/gene/AGAP000064","AGAP000064-RA")</f>
        <v>AGAP000064-RA</v>
      </c>
      <c r="K412" s="2" t="str">
        <f>HYPERLINK(".\links\pep\AGAP000064-PA-pep.txt","AGAP000064-PA")</f>
        <v>AGAP000064-PA</v>
      </c>
      <c r="L412" s="12" t="s">
        <v>95</v>
      </c>
      <c r="M412" s="2">
        <v>1919</v>
      </c>
      <c r="N412" s="2">
        <v>0</v>
      </c>
      <c r="O412" s="2">
        <v>9</v>
      </c>
      <c r="P412" s="2" t="s">
        <v>4385</v>
      </c>
      <c r="Q412" s="9" t="s">
        <v>4386</v>
      </c>
      <c r="R412" s="2" t="s">
        <v>164</v>
      </c>
      <c r="S412" s="2" t="str">
        <f>HYPERLINK(".\links\KOG\AGAP000064-PA-KOG.txt","KOG")</f>
        <v>KOG</v>
      </c>
      <c r="T412" s="2">
        <v>0</v>
      </c>
      <c r="U412" s="2">
        <v>109.3</v>
      </c>
      <c r="V412" s="2" t="s">
        <v>4387</v>
      </c>
      <c r="W412" s="10" t="s">
        <v>4388</v>
      </c>
      <c r="X412" s="2" t="s">
        <v>164</v>
      </c>
      <c r="Y412" s="2" t="str">
        <f>HYPERLINK(".\links\CDD\AGAP000064-PA-CDD.txt","CDD")</f>
        <v>CDD</v>
      </c>
      <c r="Z412" s="2">
        <v>0</v>
      </c>
      <c r="AA412" s="2">
        <v>111.7</v>
      </c>
      <c r="AB412" s="13" t="str">
        <f>HYPERLINK(".\links\pep\AGAP000064-PA-sulf.txt","2")</f>
        <v>2</v>
      </c>
      <c r="AC412" s="13" t="str">
        <f>HYPERLINK(".\links\Sigp\AGAP000064-PA-SigP.txt","SIG")</f>
        <v>SIG</v>
      </c>
      <c r="AD412" s="2" t="s">
        <v>1644</v>
      </c>
      <c r="AE412" s="2">
        <v>215.13900000000001</v>
      </c>
      <c r="AF412" s="2">
        <v>6.11</v>
      </c>
      <c r="AG412" s="2">
        <v>212.672</v>
      </c>
      <c r="AH412" s="2">
        <v>6.08</v>
      </c>
      <c r="AI412" s="2" t="s">
        <v>4389</v>
      </c>
      <c r="AJ412" s="13" t="str">
        <f>HYPERLINK(".\links\tmhmm\AGAP000064-PA-tmhmm.txt","2")</f>
        <v>2</v>
      </c>
      <c r="AK412" s="2">
        <v>2</v>
      </c>
      <c r="AL412" s="2">
        <v>93.2</v>
      </c>
      <c r="AM412" s="2">
        <v>4.7</v>
      </c>
      <c r="AN412" s="13" t="str">
        <f>HYPERLINK(".\links\gpi\AGAP000064-PA-gpi.txt","N")</f>
        <v>N</v>
      </c>
      <c r="AO412" s="14" t="str">
        <f>HYPERLINK(".\links\netoglyc\AGAP000064-PA-netoglyc.txt","1")</f>
        <v>1</v>
      </c>
      <c r="AP412" s="13">
        <v>15.1</v>
      </c>
      <c r="AQ412" s="2">
        <v>5.6</v>
      </c>
      <c r="AR412" s="2">
        <v>4.4000000000000004</v>
      </c>
      <c r="AS412" s="2" t="s">
        <v>104</v>
      </c>
      <c r="AT412" s="9" t="str">
        <f>HYPERLINK(".\links\NR-LIGHT\AGAP000064-PA-NR-LIGHT.txt","AGAP000064-PA")</f>
        <v>AGAP000064-PA</v>
      </c>
      <c r="AU412" s="2" t="str">
        <f>HYPERLINK("http://www.ncbi.nlm.nih.gov/sutils/blink.cgi?pid=XP_311092.3","0.0")</f>
        <v>0.0</v>
      </c>
      <c r="AV412" s="2" t="str">
        <f>HYPERLINK("http://www.ncbi.nlm.nih.gov/protein/XP_311092.3","XP_311092.3")</f>
        <v>XP_311092.3</v>
      </c>
      <c r="AW412" s="2">
        <v>100</v>
      </c>
      <c r="AX412" s="2">
        <v>100</v>
      </c>
      <c r="AY412" s="2">
        <v>100</v>
      </c>
      <c r="AZ412" s="2" t="s">
        <v>105</v>
      </c>
      <c r="BA412" s="9" t="str">
        <f>HYPERLINK(".\links\REFSEQ-INVERTEBRATE\AGAP000064-PA-REFSEQ-INVERTEBRATE.txt","AGAP000064-PA")</f>
        <v>AGAP000064-PA</v>
      </c>
      <c r="BB412" s="2" t="str">
        <f>HYPERLINK("http://www.ncbi.nlm.nih.gov/sutils/blink.cgi?pid=XP_311092.3","0.0")</f>
        <v>0.0</v>
      </c>
      <c r="BC412" s="2" t="str">
        <f>HYPERLINK("http://www.ncbi.nlm.nih.gov/protein/XP_311092.3","XP_311092.3")</f>
        <v>XP_311092.3</v>
      </c>
      <c r="BD412" s="2">
        <v>100</v>
      </c>
      <c r="BE412" s="2">
        <v>100</v>
      </c>
      <c r="BF412" s="2">
        <v>100</v>
      </c>
      <c r="BG412" s="2" t="s">
        <v>105</v>
      </c>
      <c r="BH412" s="9" t="str">
        <f>HYPERLINK(".\links\REFSEQ-PROTOZOA\AGAP000064-PA-REFSEQ-PROTOZOA.txt","plexin-A4 protein")</f>
        <v>plexin-A4 protein</v>
      </c>
      <c r="BI412" s="2" t="str">
        <f>HYPERLINK("http://www.ncbi.nlm.nih.gov/sutils/blink.cgi?pid=XP_004998121.1","1E-109")</f>
        <v>1E-109</v>
      </c>
      <c r="BJ412" s="2" t="str">
        <f>HYPERLINK("http://www.ncbi.nlm.nih.gov/protein/XP_004998121.1","XP_004998121.1")</f>
        <v>XP_004998121.1</v>
      </c>
      <c r="BK412" s="2">
        <v>25</v>
      </c>
      <c r="BL412" s="2">
        <v>40</v>
      </c>
      <c r="BM412" s="2">
        <v>78</v>
      </c>
      <c r="BN412" s="2" t="s">
        <v>435</v>
      </c>
      <c r="BO412" s="9" t="str">
        <f>HYPERLINK(".\links\SWISSP\AGAP000064-PA-SWISSP.txt","Plexin-A2")</f>
        <v>Plexin-A2</v>
      </c>
      <c r="BP412" s="2" t="str">
        <f>HYPERLINK("http://www.uniprot.org/uniprot/O75051","0.0")</f>
        <v>0.0</v>
      </c>
      <c r="BQ412" s="2" t="str">
        <f>HYPERLINK("http://www.uniprot.org/uniprot/O75051#expression","O75051")</f>
        <v>O75051</v>
      </c>
      <c r="BR412" s="2">
        <v>41</v>
      </c>
      <c r="BS412" s="2">
        <v>58</v>
      </c>
      <c r="BT412" s="2">
        <v>101</v>
      </c>
      <c r="BU412" s="2" t="s">
        <v>127</v>
      </c>
      <c r="BV412" s="9" t="str">
        <f>HYPERLINK(".\links\FLYBASE\AGAP000064-PA-FLYBASE.txt","FBpp0088287")</f>
        <v>FBpp0088287</v>
      </c>
      <c r="BW412" s="2" t="str">
        <f>HYPERLINK("http://flybase.org/reports/FBgn0025741#alliance_summary_container","0.0")</f>
        <v>0.0</v>
      </c>
      <c r="BX412" s="2">
        <v>1945</v>
      </c>
      <c r="BY412" s="2">
        <v>71</v>
      </c>
      <c r="BZ412" s="2">
        <v>83</v>
      </c>
      <c r="CA412" s="2">
        <v>98</v>
      </c>
      <c r="CB412" s="9" t="str">
        <f>HYPERLINK(".\links\CDD\AGAP000064-PA-CDD.txt","Plexin_cytopl, Plexin cytoplasmic RasGAP domain")</f>
        <v>Plexin_cytopl, Plexin cytoplasmic RasGAP domain</v>
      </c>
      <c r="CC412" s="15">
        <v>0</v>
      </c>
      <c r="CD412" s="2">
        <v>108.8</v>
      </c>
      <c r="CE412" s="2" t="s">
        <v>4390</v>
      </c>
      <c r="CF412" s="2" t="s">
        <v>4391</v>
      </c>
      <c r="CG412" s="9" t="str">
        <f>HYPERLINK(".\links\KOG\AGAP000064-PA-KOG.txt","Plexins (functional semaphorin receptors)")</f>
        <v>Plexins (functional semaphorin receptors)</v>
      </c>
      <c r="CH412" s="15">
        <v>0</v>
      </c>
      <c r="CI412" s="2">
        <v>109.4</v>
      </c>
      <c r="CJ412" s="2" t="s">
        <v>4392</v>
      </c>
      <c r="CK412" s="2" t="s">
        <v>173</v>
      </c>
      <c r="CL412" s="9" t="str">
        <f>HYPERLINK(".\links\PFAM\AGAP000064-PA-PFAM.txt","Plexin_cytopl, Plexin cytoplasmic RasGAP domain")</f>
        <v>Plexin_cytopl, Plexin cytoplasmic RasGAP domain</v>
      </c>
      <c r="CM412" s="15">
        <v>0</v>
      </c>
      <c r="CN412" s="2">
        <v>108.8</v>
      </c>
      <c r="CO412" s="2" t="s">
        <v>4390</v>
      </c>
      <c r="CP412" s="9" t="str">
        <f>HYPERLINK(".\links\SMART\AGAP000064-PA-SMART.txt","Sema, semaphorin domain")</f>
        <v>Sema, semaphorin domain</v>
      </c>
      <c r="CQ412" s="15">
        <v>1E-58</v>
      </c>
      <c r="CR412" s="2">
        <v>115.9</v>
      </c>
      <c r="CS412" s="2" t="s">
        <v>1450</v>
      </c>
      <c r="CT412" s="2" t="s">
        <v>4387</v>
      </c>
      <c r="CU412" s="2" t="s">
        <v>4387</v>
      </c>
      <c r="CV412" s="2" t="s">
        <v>4387</v>
      </c>
      <c r="CW412" s="2" t="str">
        <f>HYPERLINK(".\links\pep\AGAP000064-PA-pep.txt","AGAP000064-PA")</f>
        <v>AGAP000064-PA</v>
      </c>
      <c r="CX412" s="2" t="s">
        <v>95</v>
      </c>
      <c r="CY412" s="2">
        <v>1919</v>
      </c>
      <c r="CZ412" s="2" t="s">
        <v>113</v>
      </c>
      <c r="DA412" s="2" t="s">
        <v>4393</v>
      </c>
      <c r="DB412" s="2">
        <v>0</v>
      </c>
      <c r="DC412" s="2">
        <v>9</v>
      </c>
      <c r="DD412" s="2" t="str">
        <f>HYPERLINK("https://www.kegg.jp/kegg-bin/search_pathway_text?map=aga&amp;keyword=AGAP000064&amp;mode=1&amp;viewImage=true","AGAP000064")</f>
        <v>AGAP000064</v>
      </c>
      <c r="DE412" s="2" t="s">
        <v>4383</v>
      </c>
      <c r="DF412" s="2" t="s">
        <v>4384</v>
      </c>
      <c r="DG412" s="2" t="s">
        <v>94</v>
      </c>
      <c r="DH412" s="2" t="str">
        <f>HYPERLINK("https://vectorbase.org/vectorbase/app/record/gene/AGAP000064","AGAP000064-RA")</f>
        <v>AGAP000064-RA</v>
      </c>
      <c r="DI412" s="2" t="s">
        <v>90</v>
      </c>
      <c r="DJ412" s="2">
        <v>6316</v>
      </c>
      <c r="DK412" s="2" t="str">
        <f>HYPERLINK(".\links\netoglyc\AGAP000064-PA-netoglyc.txt","1")</f>
        <v>1</v>
      </c>
      <c r="DL412" s="2">
        <v>15.1</v>
      </c>
      <c r="DM412" s="2">
        <v>5.6</v>
      </c>
      <c r="DN412" s="2">
        <v>4.4000000000000004</v>
      </c>
      <c r="DO412" s="2" t="s">
        <v>104</v>
      </c>
      <c r="DP412" s="2" t="s">
        <v>102</v>
      </c>
      <c r="DQ412" s="2" t="str">
        <f>HYPERLINK(".\links\Sigp\AGAP000064-PA-SigP.txt","SIG")</f>
        <v>SIG</v>
      </c>
      <c r="DR412" s="2" t="s">
        <v>1644</v>
      </c>
      <c r="DS412" s="2">
        <v>215.13900000000001</v>
      </c>
      <c r="DT412" s="2">
        <v>6.11</v>
      </c>
      <c r="DU412" s="2">
        <v>212.672</v>
      </c>
      <c r="DV412" s="2">
        <v>6.08</v>
      </c>
      <c r="DW412" s="2" t="s">
        <v>4389</v>
      </c>
      <c r="DX412" s="2">
        <v>1919</v>
      </c>
      <c r="DY412" s="12" t="str">
        <f>HYPERLINK(".\links\tmhmm\AGAP000064-PA-tmhmm.txt","2")</f>
        <v>2</v>
      </c>
      <c r="DZ412" s="2">
        <v>2</v>
      </c>
      <c r="EA412" s="2">
        <v>93.2</v>
      </c>
      <c r="EB412" s="2">
        <v>4.7</v>
      </c>
      <c r="EC412" s="2" t="str">
        <f>HYPERLINK(".\links\gpi\AGAP000064-PA-gpi.txt","N")</f>
        <v>N</v>
      </c>
      <c r="ED412" s="2">
        <v>0.16</v>
      </c>
      <c r="EF412" s="2">
        <v>59</v>
      </c>
      <c r="EG412" s="2" t="str">
        <f>HYPERLINK(".\links\pep\AGAP000064-PA-sulf.txt","2")</f>
        <v>2</v>
      </c>
      <c r="EH412" s="2" t="s">
        <v>102</v>
      </c>
      <c r="EI412" s="2">
        <v>15.112037519541399</v>
      </c>
      <c r="EJ412" s="2">
        <v>4.4293903074517997</v>
      </c>
      <c r="EK412" s="2">
        <v>5.6279312141740503</v>
      </c>
      <c r="EL412" s="2">
        <v>10.0573215216258</v>
      </c>
      <c r="EM412" s="2">
        <v>3</v>
      </c>
      <c r="EN412" s="2">
        <v>5</v>
      </c>
      <c r="EO412" s="2">
        <v>5</v>
      </c>
      <c r="EP412" s="2" t="s">
        <v>102</v>
      </c>
      <c r="EQ412" s="2" t="s">
        <v>102</v>
      </c>
      <c r="ER412" s="2" t="s">
        <v>102</v>
      </c>
      <c r="ES412" s="2" t="s">
        <v>102</v>
      </c>
      <c r="ET412" s="2" t="str">
        <f>HYPERLINK(".\links\REFSEQ-INVERTEBRATE\AGAP000064-PA-REFSEQ-INVERTEBRATE.txt","AGAP000064-PA")</f>
        <v>AGAP000064-PA</v>
      </c>
      <c r="EU412" s="2" t="str">
        <f>HYPERLINK("http://www.ncbi.nlm.nih.gov/sutils/blink.cgi?pid=XP_311092.3","0.0")</f>
        <v>0.0</v>
      </c>
      <c r="EV412" s="2" t="str">
        <f>HYPERLINK("http://www.ncbi.nlm.nih.gov/protein/XP_311092.3","XP_311092.3")</f>
        <v>XP_311092.3</v>
      </c>
      <c r="EW412" s="2">
        <v>100</v>
      </c>
      <c r="EX412" s="2">
        <v>100</v>
      </c>
      <c r="EY412" s="2">
        <v>100</v>
      </c>
      <c r="EZ412" s="2" t="s">
        <v>105</v>
      </c>
    </row>
    <row r="413" spans="1:156" x14ac:dyDescent="0.25">
      <c r="A413" s="2" t="s">
        <v>4394</v>
      </c>
      <c r="B413" s="2">
        <v>-0.33816483002722297</v>
      </c>
      <c r="C413" s="2">
        <f t="shared" si="6"/>
        <v>0.79104691775021097</v>
      </c>
      <c r="D413" s="2">
        <v>7.4836823312195504</v>
      </c>
      <c r="E413" s="2">
        <v>9.1319375586245801</v>
      </c>
      <c r="F413" s="2">
        <v>2.5118556030247802E-3</v>
      </c>
      <c r="G413" s="2">
        <v>4.6810324315669602E-2</v>
      </c>
      <c r="H413" s="2" t="s">
        <v>4395</v>
      </c>
      <c r="I413" s="2" t="s">
        <v>102</v>
      </c>
      <c r="J413" s="2" t="str">
        <f>HYPERLINK("https://vectorbase.org/vectorbase/app/record/gene/AGAP009237","AGAP009237-RA")</f>
        <v>AGAP009237-RA</v>
      </c>
      <c r="K413" s="2" t="str">
        <f>HYPERLINK(".\links\pep\AGAP009237-PA-pep.txt","AGAP009237-PA")</f>
        <v>AGAP009237-PA</v>
      </c>
      <c r="L413" s="12" t="s">
        <v>95</v>
      </c>
      <c r="M413" s="2">
        <v>936</v>
      </c>
      <c r="N413" s="2">
        <v>0</v>
      </c>
      <c r="O413" s="2">
        <v>2</v>
      </c>
      <c r="P413" s="2" t="s">
        <v>4396</v>
      </c>
      <c r="Q413" s="9" t="s">
        <v>4397</v>
      </c>
      <c r="R413" s="2" t="s">
        <v>388</v>
      </c>
      <c r="S413" s="2" t="str">
        <f>HYPERLINK(".\links\KOG\AGAP009237-PA-KOG.txt","KOG")</f>
        <v>KOG</v>
      </c>
      <c r="T413" s="2">
        <v>1.9999999999999999E-39</v>
      </c>
      <c r="U413" s="2">
        <v>105.5</v>
      </c>
      <c r="V413" s="2" t="s">
        <v>4398</v>
      </c>
      <c r="W413" s="10" t="s">
        <v>183</v>
      </c>
      <c r="X413" s="2" t="s">
        <v>2783</v>
      </c>
      <c r="Y413" s="2" t="str">
        <f>HYPERLINK(".\links\ARTHORPODA\AGAP009237-PA-ARTHORPODA.txt","ARTHORPODA")</f>
        <v>ARTHORPODA</v>
      </c>
      <c r="Z413" s="2">
        <v>0</v>
      </c>
      <c r="AA413" s="2">
        <v>100</v>
      </c>
      <c r="AB413" s="13" t="str">
        <f>HYPERLINK(".\links\pep\AGAP009237-PA-sulf.txt","1")</f>
        <v>1</v>
      </c>
      <c r="AC413" s="13" t="str">
        <f>HYPERLINK(".\links\Sigp\AGAP009237-PA-SigP.txt","CYT")</f>
        <v>CYT</v>
      </c>
      <c r="AD413" s="2" t="s">
        <v>102</v>
      </c>
      <c r="AE413" s="2">
        <v>106.50700000000001</v>
      </c>
      <c r="AF413" s="2">
        <v>5.57</v>
      </c>
      <c r="AG413" s="2" t="s">
        <v>102</v>
      </c>
      <c r="AH413" s="2" t="s">
        <v>102</v>
      </c>
      <c r="AI413" s="2" t="s">
        <v>211</v>
      </c>
      <c r="AJ413" s="13">
        <v>0</v>
      </c>
      <c r="AK413" s="2" t="s">
        <v>102</v>
      </c>
      <c r="AL413" s="2" t="s">
        <v>102</v>
      </c>
      <c r="AM413" s="2" t="s">
        <v>102</v>
      </c>
      <c r="AN413" s="13" t="str">
        <f>HYPERLINK(".\links\gpi\AGAP009237-PA-gpi.txt","N")</f>
        <v>N</v>
      </c>
      <c r="AO413" s="14" t="str">
        <f>HYPERLINK(".\links\netoglyc\AGAP009237-PA-netoglyc.txt","5")</f>
        <v>5</v>
      </c>
      <c r="AP413" s="13">
        <v>14.1</v>
      </c>
      <c r="AQ413" s="2">
        <v>5.3</v>
      </c>
      <c r="AR413" s="2">
        <v>6.2</v>
      </c>
      <c r="AS413" s="2" t="s">
        <v>104</v>
      </c>
      <c r="AT413" s="9" t="str">
        <f>HYPERLINK(".\links\NR-LIGHT\AGAP009237-PA-NR-LIGHT.txt","AGAP009237-PA, partial")</f>
        <v>AGAP009237-PA, partial</v>
      </c>
      <c r="AU413" s="2" t="str">
        <f>HYPERLINK("http://www.ncbi.nlm.nih.gov/sutils/blink.cgi?pid=XP_320014.4","0.0")</f>
        <v>0.0</v>
      </c>
      <c r="AV413" s="2" t="str">
        <f>HYPERLINK("http://www.ncbi.nlm.nih.gov/protein/XP_320014.4","XP_320014.4")</f>
        <v>XP_320014.4</v>
      </c>
      <c r="AW413" s="2">
        <v>84</v>
      </c>
      <c r="AX413" s="2">
        <v>86</v>
      </c>
      <c r="AY413" s="2">
        <v>101</v>
      </c>
      <c r="AZ413" s="2" t="s">
        <v>105</v>
      </c>
      <c r="BA413" s="9" t="str">
        <f>HYPERLINK(".\links\REFSEQ-INVERTEBRATE\AGAP009237-PA-REFSEQ-INVERTEBRATE.txt","AGAP009237-PA, partial")</f>
        <v>AGAP009237-PA, partial</v>
      </c>
      <c r="BB413" s="2" t="str">
        <f>HYPERLINK("http://www.ncbi.nlm.nih.gov/sutils/blink.cgi?pid=XP_320014.4","0.0")</f>
        <v>0.0</v>
      </c>
      <c r="BC413" s="2" t="str">
        <f>HYPERLINK("http://www.ncbi.nlm.nih.gov/protein/XP_320014.4","XP_320014.4")</f>
        <v>XP_320014.4</v>
      </c>
      <c r="BD413" s="2">
        <v>84</v>
      </c>
      <c r="BE413" s="2">
        <v>86</v>
      </c>
      <c r="BF413" s="2">
        <v>101</v>
      </c>
      <c r="BG413" s="2" t="s">
        <v>105</v>
      </c>
      <c r="BH413" s="9" t="str">
        <f>HYPERLINK(".\links\REFSEQ-PROTOZOA\AGAP009237-PA-REFSEQ-PROTOZOA.txt","hypothetical protein (macronuclear)")</f>
        <v>hypothetical protein (macronuclear)</v>
      </c>
      <c r="BI413" s="2" t="str">
        <f>HYPERLINK("http://www.ncbi.nlm.nih.gov/sutils/blink.cgi?pid=XP_001424686.1","2E-031")</f>
        <v>2E-031</v>
      </c>
      <c r="BJ413" s="2" t="str">
        <f>HYPERLINK("http://www.ncbi.nlm.nih.gov/protein/XP_001424686.1","XP_001424686.1")</f>
        <v>XP_001424686.1</v>
      </c>
      <c r="BK413" s="2">
        <v>21</v>
      </c>
      <c r="BL413" s="2">
        <v>41</v>
      </c>
      <c r="BM413" s="2">
        <v>59</v>
      </c>
      <c r="BN413" s="2" t="s">
        <v>347</v>
      </c>
      <c r="BO413" s="9" t="str">
        <f>HYPERLINK(".\links\SWISSP\AGAP009237-PA-SWISSP.txt","Apoptotic chromatin condensation inducer in the nucleus")</f>
        <v>Apoptotic chromatin condensation inducer in the nucleus</v>
      </c>
      <c r="BP413" s="2" t="str">
        <f>HYPERLINK("http://www.uniprot.org/uniprot/Q9UKV3","2E-080")</f>
        <v>2E-080</v>
      </c>
      <c r="BQ413" s="2" t="str">
        <f>HYPERLINK("http://www.uniprot.org/uniprot/Q9UKV3#expression","Q9UKV3")</f>
        <v>Q9UKV3</v>
      </c>
      <c r="BR413" s="2">
        <v>27</v>
      </c>
      <c r="BS413" s="2">
        <v>43</v>
      </c>
      <c r="BT413" s="2">
        <v>74</v>
      </c>
      <c r="BU413" s="2" t="s">
        <v>127</v>
      </c>
      <c r="BV413" s="9" t="str">
        <f>HYPERLINK(".\links\FLYBASE\AGAP009237-PA-FLYBASE.txt","FBpp0307803")</f>
        <v>FBpp0307803</v>
      </c>
      <c r="BW413" s="2" t="str">
        <f>HYPERLINK("http://flybase.org/reports/FBgn0263198#alliance_summary_container","1E-103")</f>
        <v>1E-103</v>
      </c>
      <c r="BX413" s="2">
        <v>739</v>
      </c>
      <c r="BY413" s="2">
        <v>47</v>
      </c>
      <c r="BZ413" s="2">
        <v>60</v>
      </c>
      <c r="CA413" s="2">
        <v>63</v>
      </c>
      <c r="CB413" s="9" t="str">
        <f>HYPERLINK(".\links\CDD\AGAP009237-PA-CDD.txt","RRM_ACINU, RNA recognition motif in apoptotic chromatin condensation inducer in the nucleus (acinus) and similar proteins")</f>
        <v>RRM_ACINU, RNA recognition motif in apoptotic chromatin condensation inducer in the nucleus (acinus) and similar proteins</v>
      </c>
      <c r="CC413" s="15">
        <v>1.9999999999999999E-34</v>
      </c>
      <c r="CD413" s="2">
        <v>95.6</v>
      </c>
      <c r="CE413" s="2" t="s">
        <v>4399</v>
      </c>
      <c r="CF413" s="2" t="s">
        <v>4400</v>
      </c>
      <c r="CG413" s="9" t="str">
        <f>HYPERLINK(".\links\KOG\AGAP009237-PA-KOG.txt","Acinus (induces apoptotic chromatin condensation)")</f>
        <v>Acinus (induces apoptotic chromatin condensation)</v>
      </c>
      <c r="CH413" s="15">
        <v>1.9999999999999999E-39</v>
      </c>
      <c r="CI413" s="2">
        <v>105.6</v>
      </c>
      <c r="CJ413" s="2" t="s">
        <v>4401</v>
      </c>
      <c r="CK413" s="2" t="s">
        <v>398</v>
      </c>
      <c r="CL413" s="9" t="str">
        <f>HYPERLINK(".\links\PFAM\AGAP009237-PA-PFAM.txt","RSB_motif, RNSP1-SAP18 binding (RSB) motif")</f>
        <v>RSB_motif, RNSP1-SAP18 binding (RSB) motif</v>
      </c>
      <c r="CM413" s="15">
        <v>7.0000000000000001E-15</v>
      </c>
      <c r="CN413" s="2">
        <v>108.6</v>
      </c>
      <c r="CO413" s="2" t="s">
        <v>4402</v>
      </c>
      <c r="CP413" s="9" t="str">
        <f>HYPERLINK(".\links\SMART\AGAP009237-PA-SMART.txt","RRM, RNA recognition motif")</f>
        <v>RRM, RNA recognition motif</v>
      </c>
      <c r="CQ413" s="15">
        <v>2E-3</v>
      </c>
      <c r="CR413" s="2">
        <v>89</v>
      </c>
      <c r="CS413" s="2" t="s">
        <v>1254</v>
      </c>
      <c r="CT413" s="2" t="s">
        <v>4398</v>
      </c>
      <c r="CU413" s="2" t="s">
        <v>4398</v>
      </c>
      <c r="CV413" s="2" t="s">
        <v>4398</v>
      </c>
      <c r="CW413" s="2" t="str">
        <f>HYPERLINK(".\links\pep\AGAP009237-PA-pep.txt","AGAP009237-PA")</f>
        <v>AGAP009237-PA</v>
      </c>
      <c r="CX413" s="2" t="s">
        <v>95</v>
      </c>
      <c r="CY413" s="2">
        <v>936</v>
      </c>
      <c r="CZ413" s="2" t="s">
        <v>113</v>
      </c>
      <c r="DA413" s="2">
        <v>0</v>
      </c>
      <c r="DB413" s="2">
        <v>2</v>
      </c>
      <c r="DD413" s="2" t="str">
        <f>HYPERLINK("https://www.kegg.jp/kegg-bin/search_pathway_text?map=aga&amp;keyword=AGAP009237&amp;mode=1&amp;viewImage=true","AGAP009237")</f>
        <v>AGAP009237</v>
      </c>
      <c r="DE413" s="2" t="s">
        <v>4394</v>
      </c>
      <c r="DF413" s="2" t="s">
        <v>4395</v>
      </c>
      <c r="DG413" s="2" t="s">
        <v>102</v>
      </c>
      <c r="DH413" s="2" t="str">
        <f>HYPERLINK("https://vectorbase.org/vectorbase/app/record/gene/AGAP009237","AGAP009237-RA")</f>
        <v>AGAP009237-RA</v>
      </c>
      <c r="DI413" s="2" t="s">
        <v>115</v>
      </c>
      <c r="DJ413" s="2">
        <v>3097</v>
      </c>
      <c r="DK413" s="2" t="str">
        <f>HYPERLINK(".\links\netoglyc\AGAP009237-PA-netoglyc.txt","5")</f>
        <v>5</v>
      </c>
      <c r="DL413" s="2">
        <v>14.1</v>
      </c>
      <c r="DM413" s="2">
        <v>5.3</v>
      </c>
      <c r="DN413" s="2">
        <v>6.2</v>
      </c>
      <c r="DO413" s="2" t="s">
        <v>104</v>
      </c>
      <c r="DP413" s="2" t="s">
        <v>4403</v>
      </c>
      <c r="DQ413" s="2" t="str">
        <f>HYPERLINK(".\links\Sigp\AGAP009237-PA-SigP.txt","CYT")</f>
        <v>CYT</v>
      </c>
      <c r="DR413" s="2" t="s">
        <v>102</v>
      </c>
      <c r="DS413" s="2">
        <v>106.50700000000001</v>
      </c>
      <c r="DT413" s="2">
        <v>5.57</v>
      </c>
      <c r="DU413" s="2" t="s">
        <v>102</v>
      </c>
      <c r="DV413" s="2" t="s">
        <v>102</v>
      </c>
      <c r="DW413" s="2" t="s">
        <v>211</v>
      </c>
      <c r="DX413" s="2">
        <v>936</v>
      </c>
      <c r="DY413" s="12">
        <v>0</v>
      </c>
      <c r="DZ413" s="2" t="s">
        <v>102</v>
      </c>
      <c r="EA413" s="2" t="s">
        <v>102</v>
      </c>
      <c r="EB413" s="2" t="s">
        <v>102</v>
      </c>
      <c r="EC413" s="2" t="str">
        <f>HYPERLINK(".\links\gpi\AGAP009237-PA-gpi.txt","Y-NoSP")</f>
        <v>Y-NoSP</v>
      </c>
      <c r="ED413" s="2">
        <v>0.43</v>
      </c>
      <c r="EF413" s="2">
        <v>4</v>
      </c>
      <c r="EG413" s="2" t="str">
        <f>HYPERLINK(".\links\pep\AGAP009237-PA-sulf.txt","1")</f>
        <v>1</v>
      </c>
      <c r="EH413" s="2" t="s">
        <v>102</v>
      </c>
      <c r="EI413" s="2">
        <v>14.1025641025641</v>
      </c>
      <c r="EJ413" s="2">
        <v>6.1965811965812003</v>
      </c>
      <c r="EK413" s="2">
        <v>5.3418803418803398</v>
      </c>
      <c r="EL413" s="2">
        <v>11.538461538461499</v>
      </c>
      <c r="EM413" s="2">
        <v>1</v>
      </c>
      <c r="EN413" s="2">
        <v>2</v>
      </c>
      <c r="EO413" s="2">
        <v>3</v>
      </c>
      <c r="EP413" s="2" t="s">
        <v>102</v>
      </c>
      <c r="EQ413" s="2" t="s">
        <v>102</v>
      </c>
      <c r="ER413" s="2" t="s">
        <v>102</v>
      </c>
      <c r="ES413" s="2" t="s">
        <v>102</v>
      </c>
      <c r="ET413" s="2" t="str">
        <f>HYPERLINK(".\links\REFSEQ-INVERTEBRATE\AGAP009237-PA-REFSEQ-INVERTEBRATE.txt","AGAP009237-PA, partial")</f>
        <v>AGAP009237-PA, partial</v>
      </c>
      <c r="EU413" s="2" t="str">
        <f>HYPERLINK("http://www.ncbi.nlm.nih.gov/sutils/blink.cgi?pid=XP_320014.4","0.0")</f>
        <v>0.0</v>
      </c>
      <c r="EV413" s="2" t="str">
        <f>HYPERLINK("http://www.ncbi.nlm.nih.gov/protein/XP_320014.4","XP_320014.4")</f>
        <v>XP_320014.4</v>
      </c>
      <c r="EW413" s="2">
        <v>93</v>
      </c>
      <c r="EX413" s="2">
        <v>93</v>
      </c>
      <c r="EY413" s="2">
        <v>80</v>
      </c>
      <c r="EZ413" s="2" t="s">
        <v>105</v>
      </c>
    </row>
    <row r="414" spans="1:156" x14ac:dyDescent="0.25">
      <c r="A414" s="2" t="s">
        <v>4404</v>
      </c>
      <c r="B414" s="2">
        <v>-0.33816887819390001</v>
      </c>
      <c r="C414" s="2">
        <f t="shared" si="6"/>
        <v>0.79104469809519806</v>
      </c>
      <c r="D414" s="2">
        <v>7.3139063902595902</v>
      </c>
      <c r="E414" s="2">
        <v>10.3994425856521</v>
      </c>
      <c r="F414" s="2">
        <v>1.26053359548294E-3</v>
      </c>
      <c r="G414" s="2">
        <v>3.57998806440471E-2</v>
      </c>
      <c r="H414" s="2" t="s">
        <v>4405</v>
      </c>
      <c r="I414" s="2" t="s">
        <v>94</v>
      </c>
      <c r="J414" s="2" t="str">
        <f>HYPERLINK("https://vectorbase.org/vectorbase/app/record/gene/AGAP002597","AGAP002597-RA")</f>
        <v>AGAP002597-RA</v>
      </c>
      <c r="K414" s="2" t="str">
        <f>HYPERLINK(".\links\pep\AGAP002597-PA-pep.txt","AGAP002597-PA")</f>
        <v>AGAP002597-PA</v>
      </c>
      <c r="L414" s="12" t="s">
        <v>95</v>
      </c>
      <c r="M414" s="2">
        <v>1918</v>
      </c>
      <c r="N414" s="2">
        <v>0</v>
      </c>
      <c r="O414" s="2">
        <v>6</v>
      </c>
      <c r="P414" s="2" t="s">
        <v>4406</v>
      </c>
      <c r="Q414" s="9" t="s">
        <v>4407</v>
      </c>
      <c r="R414" s="2" t="s">
        <v>822</v>
      </c>
      <c r="S414" s="2" t="str">
        <f>HYPERLINK(".\links\REFSEQ-INVERTEBRATE\AGAP002597-PA-REFSEQ-INVERTEBRATE.txt","REFSEQ-INVERTEBRATE")</f>
        <v>REFSEQ-INVERTEBRATE</v>
      </c>
      <c r="T414" s="2">
        <v>0</v>
      </c>
      <c r="U414" s="2">
        <v>100</v>
      </c>
      <c r="V414" s="2" t="s">
        <v>4408</v>
      </c>
      <c r="W414" s="10" t="s">
        <v>4409</v>
      </c>
      <c r="X414" s="2" t="s">
        <v>822</v>
      </c>
      <c r="Y414" s="2" t="str">
        <f>HYPERLINK(".\links\REFSEQVERTEBRATE95\AGAP002597-PA-REFSEQVERTEBRATE95.txt","REFSEQVERTEBRATE95")</f>
        <v>REFSEQVERTEBRATE95</v>
      </c>
      <c r="Z414" s="15">
        <v>0</v>
      </c>
      <c r="AA414" s="2">
        <v>101.9</v>
      </c>
      <c r="AB414" s="13" t="str">
        <f>HYPERLINK(".\links\pep\AGAP002597-PA-sulf.txt","3")</f>
        <v>3</v>
      </c>
      <c r="AC414" s="13" t="str">
        <f>HYPERLINK(".\links\Sigp\AGAP002597-PA-SigP.txt","CYT")</f>
        <v>CYT</v>
      </c>
      <c r="AD414" s="2" t="s">
        <v>102</v>
      </c>
      <c r="AE414" s="2">
        <v>220.011</v>
      </c>
      <c r="AF414" s="2">
        <v>6.29</v>
      </c>
      <c r="AG414" s="2" t="s">
        <v>102</v>
      </c>
      <c r="AH414" s="2" t="s">
        <v>102</v>
      </c>
      <c r="AI414" s="2" t="s">
        <v>482</v>
      </c>
      <c r="AJ414" s="13">
        <v>0</v>
      </c>
      <c r="AK414" s="2" t="s">
        <v>102</v>
      </c>
      <c r="AL414" s="2" t="s">
        <v>102</v>
      </c>
      <c r="AM414" s="2" t="s">
        <v>102</v>
      </c>
      <c r="AN414" s="13" t="str">
        <f>HYPERLINK(".\links\gpi\AGAP002597-PA-gpi.txt","N")</f>
        <v>N</v>
      </c>
      <c r="AO414" s="14" t="str">
        <f>HYPERLINK(".\links\netoglyc\AGAP002597-PA-netoglyc.txt","0")</f>
        <v>0</v>
      </c>
      <c r="AP414" s="13">
        <v>10.6</v>
      </c>
      <c r="AQ414" s="2">
        <v>4.3</v>
      </c>
      <c r="AR414" s="2">
        <v>4.8</v>
      </c>
      <c r="AS414" s="2" t="s">
        <v>104</v>
      </c>
      <c r="AT414" s="9" t="str">
        <f>HYPERLINK(".\links\NR-LIGHT\AGAP002597-PA-NR-LIGHT.txt","AGAP002597-PA")</f>
        <v>AGAP002597-PA</v>
      </c>
      <c r="AU414" s="2" t="str">
        <f>HYPERLINK("http://www.ncbi.nlm.nih.gov/sutils/blink.cgi?pid=XP_312339.5","0.0")</f>
        <v>0.0</v>
      </c>
      <c r="AV414" s="2" t="str">
        <f>HYPERLINK("http://www.ncbi.nlm.nih.gov/protein/XP_312339.5","XP_312339.5")</f>
        <v>XP_312339.5</v>
      </c>
      <c r="AW414" s="2">
        <v>97</v>
      </c>
      <c r="AX414" s="2">
        <v>97</v>
      </c>
      <c r="AY414" s="2">
        <v>102</v>
      </c>
      <c r="AZ414" s="2" t="s">
        <v>105</v>
      </c>
      <c r="BA414" s="9" t="str">
        <f>HYPERLINK(".\links\REFSEQ-INVERTEBRATE\AGAP002597-PA-REFSEQ-INVERTEBRATE.txt","AGAP002597-PA")</f>
        <v>AGAP002597-PA</v>
      </c>
      <c r="BB414" s="2" t="str">
        <f>HYPERLINK("http://www.ncbi.nlm.nih.gov/sutils/blink.cgi?pid=XP_312339.5","0.0")</f>
        <v>0.0</v>
      </c>
      <c r="BC414" s="2" t="str">
        <f>HYPERLINK("http://www.ncbi.nlm.nih.gov/protein/XP_312339.5","XP_312339.5")</f>
        <v>XP_312339.5</v>
      </c>
      <c r="BD414" s="2">
        <v>97</v>
      </c>
      <c r="BE414" s="2">
        <v>97</v>
      </c>
      <c r="BF414" s="2">
        <v>102</v>
      </c>
      <c r="BG414" s="2" t="s">
        <v>105</v>
      </c>
      <c r="BH414" s="9" t="str">
        <f>HYPERLINK(".\links\REFSEQ-PROTOZOA\AGAP002597-PA-REFSEQ-PROTOZOA.txt","hypothetical protein")</f>
        <v>hypothetical protein</v>
      </c>
      <c r="BI414" s="2" t="str">
        <f>HYPERLINK("http://www.ncbi.nlm.nih.gov/sutils/blink.cgi?pid=XP_001750776.1","4E-076")</f>
        <v>4E-076</v>
      </c>
      <c r="BJ414" s="2" t="str">
        <f>HYPERLINK("http://www.ncbi.nlm.nih.gov/protein/XP_001750776.1","XP_001750776.1")</f>
        <v>XP_001750776.1</v>
      </c>
      <c r="BK414" s="2">
        <v>22</v>
      </c>
      <c r="BL414" s="2">
        <v>40</v>
      </c>
      <c r="BM414" s="2">
        <v>78</v>
      </c>
      <c r="BN414" s="2" t="s">
        <v>248</v>
      </c>
      <c r="BO414" s="9" t="str">
        <f>HYPERLINK(".\links\SWISSP\AGAP002597-PA-SWISSP.txt","Proteasome activator complex subunit 4")</f>
        <v>Proteasome activator complex subunit 4</v>
      </c>
      <c r="BP414" s="2" t="str">
        <f>HYPERLINK("http://www.uniprot.org/uniprot/Q14997","0.0")</f>
        <v>0.0</v>
      </c>
      <c r="BQ414" s="2" t="str">
        <f>HYPERLINK("http://www.uniprot.org/uniprot/Q14997#expression","Q14997")</f>
        <v>Q14997</v>
      </c>
      <c r="BR414" s="2">
        <v>34</v>
      </c>
      <c r="BS414" s="2">
        <v>54</v>
      </c>
      <c r="BT414" s="2">
        <v>103</v>
      </c>
      <c r="BU414" s="2" t="s">
        <v>127</v>
      </c>
      <c r="BV414" s="9" t="str">
        <f>HYPERLINK(".\links\FLYBASE\AGAP002597-PA-FLYBASE.txt","FBpp0076618")</f>
        <v>FBpp0076618</v>
      </c>
      <c r="BW414" s="2" t="str">
        <f>HYPERLINK("http://flybase.org/reports/FBgn0035737#alliance_summary_container","0.88")</f>
        <v>0.88</v>
      </c>
      <c r="BX414" s="2">
        <v>127</v>
      </c>
      <c r="BY414" s="2">
        <v>48</v>
      </c>
      <c r="BZ414" s="2">
        <v>67</v>
      </c>
      <c r="CA414" s="2">
        <v>24</v>
      </c>
      <c r="CB414" s="9" t="str">
        <f>HYPERLINK(".\links\CDD\AGAP002597-PA-CDD.txt","BLM10_mid, Proteasome-substrate-size regulator, mid region")</f>
        <v>BLM10_mid, Proteasome-substrate-size regulator, mid region</v>
      </c>
      <c r="CC414" s="15">
        <v>1E-58</v>
      </c>
      <c r="CD414" s="2">
        <v>98.8</v>
      </c>
      <c r="CE414" s="2" t="s">
        <v>4410</v>
      </c>
      <c r="CF414" s="2" t="s">
        <v>4411</v>
      </c>
      <c r="CG414" s="9" t="str">
        <f>HYPERLINK(".\links\KOG\AGAP002597-PA-KOG.txt","Uncharacterized conserved protein")</f>
        <v>Uncharacterized conserved protein</v>
      </c>
      <c r="CH414" s="15">
        <v>1E-169</v>
      </c>
      <c r="CI414" s="2">
        <v>103.6</v>
      </c>
      <c r="CJ414" s="2" t="s">
        <v>4412</v>
      </c>
      <c r="CK414" s="2" t="s">
        <v>284</v>
      </c>
      <c r="CL414" s="9" t="str">
        <f>HYPERLINK(".\links\PFAM\AGAP002597-PA-PFAM.txt","BLM10_mid, Proteasome-substrate-size regulator, mid region")</f>
        <v>BLM10_mid, Proteasome-substrate-size regulator, mid region</v>
      </c>
      <c r="CM414" s="15">
        <v>2.0000000000000001E-59</v>
      </c>
      <c r="CN414" s="2">
        <v>98.8</v>
      </c>
      <c r="CO414" s="2" t="s">
        <v>4410</v>
      </c>
      <c r="CP414" s="9" t="str">
        <f>HYPERLINK(".\links\SMART\AGAP002597-PA-SMART.txt","COG6, Conserved oligomeric complex COG6")</f>
        <v>COG6, Conserved oligomeric complex COG6</v>
      </c>
      <c r="CQ414" s="15">
        <v>1.3</v>
      </c>
      <c r="CR414" s="2">
        <v>7.5</v>
      </c>
      <c r="CS414" s="2" t="s">
        <v>3101</v>
      </c>
      <c r="CT414" s="2" t="s">
        <v>4408</v>
      </c>
      <c r="CU414" s="2" t="s">
        <v>4408</v>
      </c>
      <c r="CV414" s="2" t="s">
        <v>4408</v>
      </c>
      <c r="CW414" s="2" t="str">
        <f>HYPERLINK(".\links\pep\AGAP002597-PA-pep.txt","AGAP002597-PA")</f>
        <v>AGAP002597-PA</v>
      </c>
      <c r="CX414" s="2" t="s">
        <v>95</v>
      </c>
      <c r="CY414" s="2">
        <v>1918</v>
      </c>
      <c r="CZ414" s="2" t="s">
        <v>113</v>
      </c>
      <c r="DA414" s="2" t="s">
        <v>4413</v>
      </c>
      <c r="DB414" s="2">
        <v>0</v>
      </c>
      <c r="DC414" s="2">
        <v>6</v>
      </c>
      <c r="DD414" s="2" t="str">
        <f>HYPERLINK("https://www.kegg.jp/kegg-bin/search_pathway_text?map=aga&amp;keyword=AGAP002597&amp;mode=1&amp;viewImage=true","AGAP002597")</f>
        <v>AGAP002597</v>
      </c>
      <c r="DE414" s="2" t="s">
        <v>4404</v>
      </c>
      <c r="DF414" s="2" t="s">
        <v>4405</v>
      </c>
      <c r="DG414" s="2" t="s">
        <v>94</v>
      </c>
      <c r="DH414" s="2" t="str">
        <f>HYPERLINK("https://vectorbase.org/vectorbase/app/record/gene/AGAP002597","AGAP002597-RA")</f>
        <v>AGAP002597-RA</v>
      </c>
      <c r="DI414" s="2" t="s">
        <v>90</v>
      </c>
      <c r="DJ414" s="2">
        <v>7191</v>
      </c>
      <c r="DK414" s="2" t="str">
        <f>HYPERLINK(".\links\netoglyc\AGAP002597-PA-netoglyc.txt","0")</f>
        <v>0</v>
      </c>
      <c r="DL414" s="2">
        <v>10.6</v>
      </c>
      <c r="DM414" s="2">
        <v>4.3</v>
      </c>
      <c r="DN414" s="2">
        <v>4.8</v>
      </c>
      <c r="DO414" s="2" t="s">
        <v>104</v>
      </c>
      <c r="DP414" s="2" t="s">
        <v>4414</v>
      </c>
      <c r="DQ414" s="2" t="str">
        <f>HYPERLINK(".\links\Sigp\AGAP002597-PA-SigP.txt","CYT")</f>
        <v>CYT</v>
      </c>
      <c r="DR414" s="2" t="s">
        <v>102</v>
      </c>
      <c r="DS414" s="2">
        <v>220.011</v>
      </c>
      <c r="DT414" s="2">
        <v>6.29</v>
      </c>
      <c r="DU414" s="2" t="s">
        <v>102</v>
      </c>
      <c r="DV414" s="2" t="s">
        <v>102</v>
      </c>
      <c r="DW414" s="2" t="s">
        <v>482</v>
      </c>
      <c r="DX414" s="2">
        <v>1918</v>
      </c>
      <c r="DY414" s="12">
        <v>0</v>
      </c>
      <c r="DZ414" s="2" t="s">
        <v>102</v>
      </c>
      <c r="EA414" s="2" t="s">
        <v>102</v>
      </c>
      <c r="EB414" s="2" t="s">
        <v>102</v>
      </c>
      <c r="EC414" s="2" t="str">
        <f>HYPERLINK(".\links\gpi\AGAP002597-PA-gpi.txt","N")</f>
        <v>N</v>
      </c>
      <c r="ED414" s="2">
        <v>0.18</v>
      </c>
      <c r="EF414" s="2">
        <v>38</v>
      </c>
      <c r="EG414" s="2" t="str">
        <f>HYPERLINK(".\links\pep\AGAP002597-PA-sulf.txt","3")</f>
        <v>3</v>
      </c>
      <c r="EH414" s="2" t="s">
        <v>102</v>
      </c>
      <c r="EI414" s="2">
        <v>10.583941605839399</v>
      </c>
      <c r="EJ414" s="2">
        <v>4.7966631908237796</v>
      </c>
      <c r="EK414" s="2">
        <v>4.2752867570385797</v>
      </c>
      <c r="EL414" s="2">
        <v>9.0719499478623593</v>
      </c>
      <c r="EM414" s="2">
        <v>4</v>
      </c>
      <c r="EN414" s="2">
        <v>6</v>
      </c>
      <c r="EO414" s="2">
        <v>6</v>
      </c>
      <c r="EP414" s="2" t="s">
        <v>102</v>
      </c>
      <c r="EQ414" s="2" t="s">
        <v>102</v>
      </c>
      <c r="ER414" s="2" t="s">
        <v>102</v>
      </c>
      <c r="ES414" s="2" t="s">
        <v>102</v>
      </c>
      <c r="ET414" s="2" t="str">
        <f>HYPERLINK(".\links\REFSEQ-INVERTEBRATE\AGAP002597-PA-REFSEQ-INVERTEBRATE.txt","AGAP002597-PA")</f>
        <v>AGAP002597-PA</v>
      </c>
      <c r="EU414" s="2" t="str">
        <f>HYPERLINK("http://www.ncbi.nlm.nih.gov/sutils/blink.cgi?pid=XP_312339.5","0.0")</f>
        <v>0.0</v>
      </c>
      <c r="EV414" s="2" t="str">
        <f>HYPERLINK("http://www.ncbi.nlm.nih.gov/protein/XP_312339.5","XP_312339.5")</f>
        <v>XP_312339.5</v>
      </c>
      <c r="EW414" s="2">
        <v>97</v>
      </c>
      <c r="EX414" s="2">
        <v>97</v>
      </c>
      <c r="EY414" s="2">
        <v>102</v>
      </c>
      <c r="EZ414" s="2" t="s">
        <v>105</v>
      </c>
    </row>
    <row r="415" spans="1:156" x14ac:dyDescent="0.25">
      <c r="A415" s="2" t="s">
        <v>4415</v>
      </c>
      <c r="B415" s="2">
        <v>-0.33856703911809399</v>
      </c>
      <c r="C415" s="2">
        <f t="shared" si="6"/>
        <v>0.79082641244179308</v>
      </c>
      <c r="D415" s="2">
        <v>6.6520276287387796</v>
      </c>
      <c r="E415" s="2">
        <v>9.18023231998224</v>
      </c>
      <c r="F415" s="2">
        <v>2.4464296835066202E-3</v>
      </c>
      <c r="G415" s="2">
        <v>4.6584949255024502E-2</v>
      </c>
      <c r="H415" s="2" t="s">
        <v>4416</v>
      </c>
      <c r="I415" s="2" t="s">
        <v>94</v>
      </c>
      <c r="J415" s="2" t="str">
        <f>HYPERLINK("https://vectorbase.org/vectorbase/app/record/gene/AGAP001710","AGAP001710-RA")</f>
        <v>AGAP001710-RA</v>
      </c>
      <c r="K415" s="2" t="str">
        <f>HYPERLINK(".\links\pep\AGAP001710-PA-pep.txt","AGAP001710-PA")</f>
        <v>AGAP001710-PA</v>
      </c>
      <c r="L415" s="12" t="s">
        <v>95</v>
      </c>
      <c r="M415" s="2">
        <v>2044</v>
      </c>
      <c r="N415" s="2">
        <v>0</v>
      </c>
      <c r="O415" s="2">
        <v>5</v>
      </c>
      <c r="P415" s="2" t="s">
        <v>4417</v>
      </c>
      <c r="Q415" s="9" t="s">
        <v>4418</v>
      </c>
      <c r="R415" s="2" t="s">
        <v>388</v>
      </c>
      <c r="S415" s="2" t="str">
        <f>HYPERLINK(".\links\REFSEQ-PROTOZOA\AGAP001710-PA-REFSEQ-PROTOZOA.txt","REFSEQ-PROTOZOA")</f>
        <v>REFSEQ-PROTOZOA</v>
      </c>
      <c r="T415" s="2">
        <v>0</v>
      </c>
      <c r="U415" s="2">
        <v>66.2</v>
      </c>
      <c r="V415" s="2" t="s">
        <v>4419</v>
      </c>
      <c r="W415" s="10" t="s">
        <v>4420</v>
      </c>
      <c r="X415" s="2" t="s">
        <v>420</v>
      </c>
      <c r="Y415" s="2" t="str">
        <f>HYPERLINK(".\links\UNIPROTKB\AGAP001710-PA-UNIPROTKB.txt","UNIPROTKB")</f>
        <v>UNIPROTKB</v>
      </c>
      <c r="Z415" s="15">
        <v>2.9999999999999999E-81</v>
      </c>
      <c r="AA415" s="2">
        <v>39.1</v>
      </c>
      <c r="AB415" s="13" t="str">
        <f>HYPERLINK(".\links\pep\AGAP001710-PA-sulf.txt","2")</f>
        <v>2</v>
      </c>
      <c r="AC415" s="13" t="str">
        <f>HYPERLINK(".\links\Sigp\AGAP001710-PA-SigP.txt","CYT")</f>
        <v>CYT</v>
      </c>
      <c r="AD415" s="2" t="s">
        <v>102</v>
      </c>
      <c r="AE415" s="2">
        <v>226.75899999999999</v>
      </c>
      <c r="AF415" s="2">
        <v>9.5299999999999994</v>
      </c>
      <c r="AG415" s="2" t="s">
        <v>102</v>
      </c>
      <c r="AH415" s="2" t="s">
        <v>102</v>
      </c>
      <c r="AI415" s="2" t="s">
        <v>1167</v>
      </c>
      <c r="AJ415" s="13">
        <v>0</v>
      </c>
      <c r="AK415" s="2" t="s">
        <v>102</v>
      </c>
      <c r="AL415" s="2" t="s">
        <v>102</v>
      </c>
      <c r="AM415" s="2" t="s">
        <v>102</v>
      </c>
      <c r="AN415" s="13" t="str">
        <f>HYPERLINK(".\links\gpi\AGAP001710-PA-gpi.txt","N")</f>
        <v>N</v>
      </c>
      <c r="AO415" s="14" t="str">
        <f>HYPERLINK(".\links\netoglyc\AGAP001710-PA-netoglyc.txt","5")</f>
        <v>5</v>
      </c>
      <c r="AP415" s="13">
        <v>11.2</v>
      </c>
      <c r="AQ415" s="2">
        <v>7.7</v>
      </c>
      <c r="AR415" s="2">
        <v>7.5</v>
      </c>
      <c r="AS415" s="2" t="s">
        <v>104</v>
      </c>
      <c r="AT415" s="9" t="str">
        <f>HYPERLINK(".\links\NR-LIGHT\AGAP001710-PA-NR-LIGHT.txt","AGAP001710-PA")</f>
        <v>AGAP001710-PA</v>
      </c>
      <c r="AU415" s="2" t="str">
        <f>HYPERLINK("http://www.ncbi.nlm.nih.gov/sutils/blink.cgi?pid=XP_001689328.2","0.0")</f>
        <v>0.0</v>
      </c>
      <c r="AV415" s="2" t="str">
        <f>HYPERLINK("http://www.ncbi.nlm.nih.gov/protein/XP_001689328.2","XP_001689328.2")</f>
        <v>XP_001689328.2</v>
      </c>
      <c r="AW415" s="2">
        <v>100</v>
      </c>
      <c r="AX415" s="2">
        <v>100</v>
      </c>
      <c r="AY415" s="2">
        <v>100</v>
      </c>
      <c r="AZ415" s="2" t="s">
        <v>105</v>
      </c>
      <c r="BA415" s="9" t="str">
        <f>HYPERLINK(".\links\REFSEQ-INVERTEBRATE\AGAP001710-PA-REFSEQ-INVERTEBRATE.txt","AGAP001710-PA")</f>
        <v>AGAP001710-PA</v>
      </c>
      <c r="BB415" s="2" t="str">
        <f>HYPERLINK("http://www.ncbi.nlm.nih.gov/sutils/blink.cgi?pid=XP_001689328.2","0.0")</f>
        <v>0.0</v>
      </c>
      <c r="BC415" s="2" t="str">
        <f>HYPERLINK("http://www.ncbi.nlm.nih.gov/protein/XP_001689328.2","XP_001689328.2")</f>
        <v>XP_001689328.2</v>
      </c>
      <c r="BD415" s="2">
        <v>100</v>
      </c>
      <c r="BE415" s="2">
        <v>100</v>
      </c>
      <c r="BF415" s="2">
        <v>100</v>
      </c>
      <c r="BG415" s="2" t="s">
        <v>105</v>
      </c>
      <c r="BH415" s="9" t="str">
        <f>HYPERLINK(".\links\REFSEQ-PROTOZOA\AGAP001710-PA-REFSEQ-PROTOZOA.txt","hypothetical protein, conserved")</f>
        <v>hypothetical protein, conserved</v>
      </c>
      <c r="BI415" s="2" t="str">
        <f>HYPERLINK("http://www.ncbi.nlm.nih.gov/sutils/blink.cgi?pid=XP_013350917.1","1E-126")</f>
        <v>1E-126</v>
      </c>
      <c r="BJ415" s="2" t="str">
        <f>HYPERLINK("http://www.ncbi.nlm.nih.gov/protein/XP_013350917.1","XP_013350917.1")</f>
        <v>XP_013350917.1</v>
      </c>
      <c r="BK415" s="2">
        <v>35</v>
      </c>
      <c r="BL415" s="2">
        <v>43</v>
      </c>
      <c r="BM415" s="2">
        <v>52</v>
      </c>
      <c r="BN415" s="2" t="s">
        <v>568</v>
      </c>
      <c r="BO415" s="9" t="str">
        <f>HYPERLINK(".\links\SWISSP\AGAP001710-PA-SWISSP.txt","PAX-interacting protein 1")</f>
        <v>PAX-interacting protein 1</v>
      </c>
      <c r="BP415" s="2" t="str">
        <f>HYPERLINK("http://www.uniprot.org/uniprot/Q90WJ3","5E-097")</f>
        <v>5E-097</v>
      </c>
      <c r="BQ415" s="2" t="str">
        <f>HYPERLINK("http://www.uniprot.org/uniprot/Q90WJ3#expression","Q90WJ3")</f>
        <v>Q90WJ3</v>
      </c>
      <c r="BR415" s="2">
        <v>28</v>
      </c>
      <c r="BS415" s="2">
        <v>43</v>
      </c>
      <c r="BT415" s="2">
        <v>89</v>
      </c>
      <c r="BU415" s="2" t="s">
        <v>625</v>
      </c>
      <c r="BV415" s="9" t="str">
        <f>HYPERLINK(".\links\FLYBASE\AGAP001710-PA-FLYBASE.txt","FBpp0075526")</f>
        <v>FBpp0075526</v>
      </c>
      <c r="BW415" s="2" t="str">
        <f>HYPERLINK("http://flybase.org/reports/FBgn0052133#alliance_summary_container","4E-43")</f>
        <v>4E-43</v>
      </c>
      <c r="BX415" s="2">
        <v>2294</v>
      </c>
      <c r="BY415" s="2">
        <v>43</v>
      </c>
      <c r="BZ415" s="2">
        <v>61</v>
      </c>
      <c r="CA415" s="2">
        <v>8</v>
      </c>
      <c r="CB415" s="9" t="str">
        <f>HYPERLINK(".\links\CDD\AGAP001710-PA-CDD.txt","DUF4175, Domain of unknown function (DUF4175)")</f>
        <v>DUF4175, Domain of unknown function (DUF4175)</v>
      </c>
      <c r="CC415" s="15">
        <v>4.0000000000000003E-18</v>
      </c>
      <c r="CD415" s="2">
        <v>27.8</v>
      </c>
      <c r="CE415" s="2" t="s">
        <v>4062</v>
      </c>
      <c r="CF415" s="2" t="s">
        <v>4421</v>
      </c>
      <c r="CG415" s="9" t="str">
        <f>HYPERLINK(".\links\KOG\AGAP001710-PA-KOG.txt","subunit TRAP230")</f>
        <v>subunit TRAP230</v>
      </c>
      <c r="CH415" s="15">
        <v>2.0000000000000001E-25</v>
      </c>
      <c r="CI415" s="2">
        <v>8.3000000000000007</v>
      </c>
      <c r="CJ415" s="2" t="s">
        <v>4038</v>
      </c>
      <c r="CK415" s="2" t="s">
        <v>309</v>
      </c>
      <c r="CL415" s="9" t="str">
        <f>HYPERLINK(".\links\PFAM\AGAP001710-PA-PFAM.txt","DUF4175, Domain of unknown function (DUF4175)")</f>
        <v>DUF4175, Domain of unknown function (DUF4175)</v>
      </c>
      <c r="CM415" s="15">
        <v>7.9999999999999998E-19</v>
      </c>
      <c r="CN415" s="2">
        <v>27.8</v>
      </c>
      <c r="CO415" s="2" t="s">
        <v>4062</v>
      </c>
      <c r="CP415" s="9" t="str">
        <f>HYPERLINK(".\links\SMART\AGAP001710-PA-SMART.txt","BRCT, breast cancer carboxy-terminal domain")</f>
        <v>BRCT, breast cancer carboxy-terminal domain</v>
      </c>
      <c r="CQ415" s="15">
        <v>3.0000000000000001E-12</v>
      </c>
      <c r="CR415" s="2">
        <v>100</v>
      </c>
      <c r="CS415" s="2" t="s">
        <v>4422</v>
      </c>
      <c r="CT415" s="2" t="s">
        <v>4419</v>
      </c>
      <c r="CU415" s="2" t="s">
        <v>4419</v>
      </c>
      <c r="CV415" s="2" t="s">
        <v>4419</v>
      </c>
      <c r="CW415" s="2" t="str">
        <f>HYPERLINK(".\links\pep\AGAP001710-PA-pep.txt","AGAP001710-PA")</f>
        <v>AGAP001710-PA</v>
      </c>
      <c r="CX415" s="2" t="s">
        <v>95</v>
      </c>
      <c r="CY415" s="2">
        <v>2044</v>
      </c>
      <c r="CZ415" s="2" t="s">
        <v>113</v>
      </c>
      <c r="DA415" s="2" t="s">
        <v>4423</v>
      </c>
      <c r="DB415" s="2">
        <v>0</v>
      </c>
      <c r="DC415" s="2">
        <v>5</v>
      </c>
      <c r="DD415" s="2" t="str">
        <f>HYPERLINK("https://www.kegg.jp/kegg-bin/search_pathway_text?map=aga&amp;keyword=AGAP001710&amp;mode=1&amp;viewImage=true","AGAP001710")</f>
        <v>AGAP001710</v>
      </c>
      <c r="DE415" s="2" t="s">
        <v>4415</v>
      </c>
      <c r="DF415" s="2" t="s">
        <v>4416</v>
      </c>
      <c r="DG415" s="2" t="s">
        <v>94</v>
      </c>
      <c r="DH415" s="2" t="str">
        <f>HYPERLINK("https://vectorbase.org/vectorbase/app/record/gene/AGAP001710","AGAP001710-RA")</f>
        <v>AGAP001710-RA</v>
      </c>
      <c r="DI415" s="2" t="s">
        <v>118</v>
      </c>
      <c r="DJ415" s="2">
        <v>7119</v>
      </c>
      <c r="DK415" s="2" t="str">
        <f>HYPERLINK(".\links\netoglyc\AGAP001710-PA-netoglyc.txt","5")</f>
        <v>5</v>
      </c>
      <c r="DL415" s="2">
        <v>11.2</v>
      </c>
      <c r="DM415" s="2">
        <v>7.7</v>
      </c>
      <c r="DN415" s="2">
        <v>7.5</v>
      </c>
      <c r="DO415" s="2" t="s">
        <v>104</v>
      </c>
      <c r="DP415" s="2" t="s">
        <v>4424</v>
      </c>
      <c r="DQ415" s="2" t="str">
        <f>HYPERLINK(".\links\Sigp\AGAP001710-PA-SigP.txt","CYT")</f>
        <v>CYT</v>
      </c>
      <c r="DR415" s="2" t="s">
        <v>102</v>
      </c>
      <c r="DS415" s="2">
        <v>226.75899999999999</v>
      </c>
      <c r="DT415" s="2">
        <v>9.5299999999999994</v>
      </c>
      <c r="DU415" s="2" t="s">
        <v>102</v>
      </c>
      <c r="DV415" s="2" t="s">
        <v>102</v>
      </c>
      <c r="DW415" s="2" t="s">
        <v>1167</v>
      </c>
      <c r="DX415" s="2">
        <v>2044</v>
      </c>
      <c r="DY415" s="12">
        <v>0</v>
      </c>
      <c r="DZ415" s="2" t="s">
        <v>102</v>
      </c>
      <c r="EA415" s="2" t="s">
        <v>102</v>
      </c>
      <c r="EB415" s="2" t="s">
        <v>102</v>
      </c>
      <c r="EC415" s="2" t="str">
        <f>HYPERLINK(".\links\gpi\AGAP001710-PA-gpi.txt","N")</f>
        <v>N</v>
      </c>
      <c r="ED415" s="2">
        <v>0.5</v>
      </c>
      <c r="EE415" s="2" t="s">
        <v>4425</v>
      </c>
      <c r="EF415" s="2">
        <v>19</v>
      </c>
      <c r="EG415" s="2" t="str">
        <f>HYPERLINK(".\links\pep\AGAP001710-PA-sulf.txt","2")</f>
        <v>2</v>
      </c>
      <c r="EH415" s="2" t="s">
        <v>102</v>
      </c>
      <c r="EI415" s="2">
        <v>11.1545988258317</v>
      </c>
      <c r="EJ415" s="2">
        <v>7.4853228962817999</v>
      </c>
      <c r="EK415" s="2">
        <v>7.6810176125244602</v>
      </c>
      <c r="EL415" s="2">
        <v>15.1663405088063</v>
      </c>
      <c r="EM415" s="2">
        <v>14</v>
      </c>
      <c r="EN415" s="2">
        <v>1</v>
      </c>
      <c r="EO415" s="2">
        <v>4</v>
      </c>
      <c r="EP415" s="2" t="s">
        <v>102</v>
      </c>
      <c r="EQ415" s="2" t="s">
        <v>102</v>
      </c>
      <c r="ER415" s="2" t="s">
        <v>102</v>
      </c>
      <c r="ES415" s="2" t="s">
        <v>102</v>
      </c>
      <c r="ET415" s="2" t="str">
        <f>HYPERLINK(".\links\REFSEQ-INVERTEBRATE\AGAP001710-PA-REFSEQ-INVERTEBRATE.txt","AGAP001710-PA")</f>
        <v>AGAP001710-PA</v>
      </c>
      <c r="EU415" s="2" t="str">
        <f>HYPERLINK("http://www.ncbi.nlm.nih.gov/sutils/blink.cgi?pid=XP_001689328.2","0.0")</f>
        <v>0.0</v>
      </c>
      <c r="EV415" s="2" t="str">
        <f>HYPERLINK("http://www.ncbi.nlm.nih.gov/protein/XP_001689328.2","XP_001689328.2")</f>
        <v>XP_001689328.2</v>
      </c>
      <c r="EW415" s="2">
        <v>100</v>
      </c>
      <c r="EX415" s="2">
        <v>100</v>
      </c>
      <c r="EY415" s="2">
        <v>100</v>
      </c>
      <c r="EZ415" s="2" t="s">
        <v>105</v>
      </c>
    </row>
    <row r="416" spans="1:156" x14ac:dyDescent="0.25">
      <c r="A416" s="2" t="s">
        <v>4426</v>
      </c>
      <c r="B416" s="2">
        <v>-0.33868609388217102</v>
      </c>
      <c r="C416" s="2">
        <f t="shared" si="6"/>
        <v>0.79076115418236603</v>
      </c>
      <c r="D416" s="2">
        <v>7.1014740353385299</v>
      </c>
      <c r="E416" s="2">
        <v>16.833538508709299</v>
      </c>
      <c r="F416" s="2">
        <v>4.0805735463396503E-5</v>
      </c>
      <c r="G416" s="2">
        <v>7.8851082939563194E-3</v>
      </c>
      <c r="H416" s="2" t="s">
        <v>4427</v>
      </c>
      <c r="I416" s="2" t="s">
        <v>94</v>
      </c>
      <c r="J416" s="2" t="str">
        <f>HYPERLINK("https://vectorbase.org/vectorbase/app/record/gene/AGAP009566","AGAP009566-RA")</f>
        <v>AGAP009566-RA</v>
      </c>
      <c r="K416" s="2" t="str">
        <f>HYPERLINK(".\links\pep\AGAP009566-PA-pep.txt","AGAP009566-PA")</f>
        <v>AGAP009566-PA</v>
      </c>
      <c r="L416" s="12" t="s">
        <v>95</v>
      </c>
      <c r="M416" s="2">
        <v>1163</v>
      </c>
      <c r="N416" s="2">
        <v>0</v>
      </c>
      <c r="O416" s="2">
        <v>1</v>
      </c>
      <c r="P416" s="2" t="s">
        <v>4428</v>
      </c>
      <c r="Q416" s="9" t="s">
        <v>4429</v>
      </c>
      <c r="R416" s="2" t="s">
        <v>420</v>
      </c>
      <c r="S416" s="2" t="str">
        <f>HYPERLINK(".\links\KOG\AGAP009566-PA-KOG.txt","KOG")</f>
        <v>KOG</v>
      </c>
      <c r="T416" s="2">
        <v>8.0000000000000004E-22</v>
      </c>
      <c r="U416" s="2">
        <v>96</v>
      </c>
      <c r="V416" s="2" t="s">
        <v>4430</v>
      </c>
      <c r="W416" s="10" t="s">
        <v>4431</v>
      </c>
      <c r="X416" s="2" t="s">
        <v>672</v>
      </c>
      <c r="Y416" s="2" t="str">
        <f>HYPERLINK(".\links\UNIPROTKB\AGAP009566-PA-UNIPROTKB.txt","UNIPROTKB")</f>
        <v>UNIPROTKB</v>
      </c>
      <c r="Z416" s="2">
        <v>0</v>
      </c>
      <c r="AA416" s="2">
        <v>67.400000000000006</v>
      </c>
      <c r="AB416" s="13" t="s">
        <v>102</v>
      </c>
      <c r="AC416" s="13" t="str">
        <f>HYPERLINK(".\links\Sigp\AGAP009566-PA-SigP.txt","CYT")</f>
        <v>CYT</v>
      </c>
      <c r="AD416" s="2" t="s">
        <v>102</v>
      </c>
      <c r="AE416" s="2">
        <v>135.31700000000001</v>
      </c>
      <c r="AF416" s="2">
        <v>9.4600000000000009</v>
      </c>
      <c r="AG416" s="2" t="s">
        <v>102</v>
      </c>
      <c r="AH416" s="2" t="s">
        <v>102</v>
      </c>
      <c r="AI416" s="2" t="s">
        <v>211</v>
      </c>
      <c r="AJ416" s="13">
        <v>0</v>
      </c>
      <c r="AK416" s="2" t="s">
        <v>102</v>
      </c>
      <c r="AL416" s="2" t="s">
        <v>102</v>
      </c>
      <c r="AM416" s="2" t="s">
        <v>102</v>
      </c>
      <c r="AN416" s="13" t="str">
        <f>HYPERLINK(".\links\gpi\AGAP009566-PA-gpi.txt","N")</f>
        <v>N</v>
      </c>
      <c r="AO416" s="14" t="str">
        <f>HYPERLINK(".\links\netoglyc\AGAP009566-PA-netoglyc.txt","13")</f>
        <v>13</v>
      </c>
      <c r="AP416" s="13">
        <v>16.3</v>
      </c>
      <c r="AQ416" s="2">
        <v>4.5999999999999996</v>
      </c>
      <c r="AR416" s="2">
        <v>9</v>
      </c>
      <c r="AS416" s="2" t="s">
        <v>104</v>
      </c>
      <c r="AT416" s="9" t="str">
        <f>HYPERLINK(".\links\NR-LIGHT\AGAP009566-PA-NR-LIGHT.txt","zinc finger protein 845 isoform X15")</f>
        <v>zinc finger protein 845 isoform X15</v>
      </c>
      <c r="AU416" s="2" t="str">
        <f>HYPERLINK("http://www.ncbi.nlm.nih.gov/sutils/blink.cgi?pid=XP_019550593.1","0.0")</f>
        <v>0.0</v>
      </c>
      <c r="AV416" s="2" t="str">
        <f>HYPERLINK("http://www.ncbi.nlm.nih.gov/protein/XP_019550593.1","XP_019550593.1")</f>
        <v>XP_019550593.1</v>
      </c>
      <c r="AW416" s="2">
        <v>85</v>
      </c>
      <c r="AX416" s="2">
        <v>88</v>
      </c>
      <c r="AY416" s="2">
        <v>92</v>
      </c>
      <c r="AZ416" s="2" t="s">
        <v>361</v>
      </c>
      <c r="BA416" s="9" t="str">
        <f>HYPERLINK(".\links\REFSEQ-INVERTEBRATE\AGAP009566-PA-REFSEQ-INVERTEBRATE.txt","zinc finger protein 585A isoform X3")</f>
        <v>zinc finger protein 585A isoform X3</v>
      </c>
      <c r="BB416" s="2" t="str">
        <f>HYPERLINK("http://www.ncbi.nlm.nih.gov/sutils/blink.cgi?pid=XP_019550580.1","0.0")</f>
        <v>0.0</v>
      </c>
      <c r="BC416" s="2" t="str">
        <f>HYPERLINK("http://www.ncbi.nlm.nih.gov/protein/XP_019550580.1","XP_019550580.1")</f>
        <v>XP_019550580.1</v>
      </c>
      <c r="BD416" s="2">
        <v>83</v>
      </c>
      <c r="BE416" s="2">
        <v>86</v>
      </c>
      <c r="BF416" s="2">
        <v>92</v>
      </c>
      <c r="BG416" s="2" t="s">
        <v>361</v>
      </c>
      <c r="BH416" s="9" t="str">
        <f>HYPERLINK(".\links\REFSEQ-PROTOZOA\AGAP009566-PA-REFSEQ-PROTOZOA.txt","zinc finger protein")</f>
        <v>zinc finger protein</v>
      </c>
      <c r="BI416" s="2" t="str">
        <f>HYPERLINK("http://www.ncbi.nlm.nih.gov/sutils/blink.cgi?pid=XP_004989424.1","5E-086")</f>
        <v>5E-086</v>
      </c>
      <c r="BJ416" s="2" t="str">
        <f>HYPERLINK("http://www.ncbi.nlm.nih.gov/protein/XP_004989424.1","XP_004989424.1")</f>
        <v>XP_004989424.1</v>
      </c>
      <c r="BK416" s="2">
        <v>44</v>
      </c>
      <c r="BL416" s="2">
        <v>54</v>
      </c>
      <c r="BM416" s="2">
        <v>75</v>
      </c>
      <c r="BN416" s="2" t="s">
        <v>435</v>
      </c>
      <c r="BO416" s="9" t="str">
        <f>HYPERLINK(".\links\SWISSP\AGAP009566-PA-SWISSP.txt","Zinc finger protein 850")</f>
        <v>Zinc finger protein 850</v>
      </c>
      <c r="BP416" s="2" t="str">
        <f>HYPERLINK("http://www.uniprot.org/uniprot/A8MQ14","0.0")</f>
        <v>0.0</v>
      </c>
      <c r="BQ416" s="2" t="str">
        <f>HYPERLINK("http://www.uniprot.org/uniprot/A8MQ14#expression","A8MQ14")</f>
        <v>A8MQ14</v>
      </c>
      <c r="BR416" s="2">
        <v>45</v>
      </c>
      <c r="BS416" s="2">
        <v>54</v>
      </c>
      <c r="BT416" s="2">
        <v>73</v>
      </c>
      <c r="BU416" s="2" t="s">
        <v>127</v>
      </c>
      <c r="BV416" s="9" t="str">
        <f>HYPERLINK(".\links\FLYBASE\AGAP009566-PA-FLYBASE.txt","FBpp0307451")</f>
        <v>FBpp0307451</v>
      </c>
      <c r="BW416" s="2" t="str">
        <f>HYPERLINK("http://flybase.org/reports/FBgn0020309#alliance_summary_container","0.0")</f>
        <v>0.0</v>
      </c>
      <c r="BX416" s="2">
        <v>962</v>
      </c>
      <c r="BY416" s="2">
        <v>63</v>
      </c>
      <c r="BZ416" s="2">
        <v>73</v>
      </c>
      <c r="CA416" s="2">
        <v>56</v>
      </c>
      <c r="CB416" s="9" t="str">
        <f>HYPERLINK(".\links\CDD\AGAP009566-PA-CDD.txt","ZF_C2H2, Zinc finger, C2H2 type")</f>
        <v>ZF_C2H2, Zinc finger, C2H2 type</v>
      </c>
      <c r="CC416" s="15">
        <v>1.9999999999999998E-24</v>
      </c>
      <c r="CD416" s="2">
        <v>100</v>
      </c>
      <c r="CE416" s="2" t="s">
        <v>569</v>
      </c>
      <c r="CF416" s="2" t="s">
        <v>4432</v>
      </c>
      <c r="CG416" s="9" t="str">
        <f>HYPERLINK(".\links\KOG\AGAP009566-PA-KOG.txt","C2H2-type Zn-finger protein")</f>
        <v>C2H2-type Zn-finger protein</v>
      </c>
      <c r="CH416" s="15">
        <v>8.0000000000000004E-22</v>
      </c>
      <c r="CI416" s="2">
        <v>96.1</v>
      </c>
      <c r="CJ416" s="2" t="s">
        <v>743</v>
      </c>
      <c r="CK416" s="2" t="s">
        <v>309</v>
      </c>
      <c r="CL416" s="9" t="str">
        <f>HYPERLINK(".\links\PFAM\AGAP009566-PA-PFAM.txt","PAT1, Topoisomerase II-associated protein PAT1")</f>
        <v>PAT1, Topoisomerase II-associated protein PAT1</v>
      </c>
      <c r="CM416" s="15">
        <v>8.0000000000000006E-15</v>
      </c>
      <c r="CN416" s="2">
        <v>16.100000000000001</v>
      </c>
      <c r="CO416" s="2" t="s">
        <v>3695</v>
      </c>
      <c r="CP416" s="9" t="str">
        <f>HYPERLINK(".\links\SMART\AGAP009566-PA-SMART.txt","Amelogenin, Amelogenins, cell adhesion proteins, play a role in the biomineralisation of teeth")</f>
        <v>Amelogenin, Amelogenins, cell adhesion proteins, play a role in the biomineralisation of teeth</v>
      </c>
      <c r="CQ416" s="15">
        <v>1.0000000000000001E-9</v>
      </c>
      <c r="CR416" s="2">
        <v>77</v>
      </c>
      <c r="CS416" s="2" t="s">
        <v>311</v>
      </c>
      <c r="CT416" s="2" t="s">
        <v>4430</v>
      </c>
      <c r="CU416" s="2" t="s">
        <v>4430</v>
      </c>
      <c r="CV416" s="2" t="s">
        <v>4430</v>
      </c>
      <c r="CW416" s="2" t="str">
        <f>HYPERLINK(".\links\pep\AGAP009566-PA-pep.txt","AGAP009566-PA")</f>
        <v>AGAP009566-PA</v>
      </c>
      <c r="CX416" s="2" t="s">
        <v>95</v>
      </c>
      <c r="CY416" s="2">
        <v>1163</v>
      </c>
      <c r="CZ416" s="2" t="s">
        <v>113</v>
      </c>
      <c r="DA416" s="2" t="s">
        <v>4433</v>
      </c>
      <c r="DB416" s="2">
        <v>0</v>
      </c>
      <c r="DC416" s="2">
        <v>1</v>
      </c>
      <c r="DD416" s="2" t="str">
        <f>HYPERLINK("https://www.kegg.jp/kegg-bin/search_pathway_text?map=aga&amp;keyword=AGAP009566&amp;mode=1&amp;viewImage=true","AGAP009566")</f>
        <v>AGAP009566</v>
      </c>
      <c r="DE416" s="2" t="s">
        <v>4426</v>
      </c>
      <c r="DF416" s="2" t="s">
        <v>4427</v>
      </c>
      <c r="DG416" s="2" t="s">
        <v>94</v>
      </c>
      <c r="DH416" s="2" t="str">
        <f>HYPERLINK("https://vectorbase.org/vectorbase/app/record/gene/AGAP009566","AGAP009566-RA")</f>
        <v>AGAP009566-RA</v>
      </c>
      <c r="DI416" s="2" t="s">
        <v>118</v>
      </c>
      <c r="DJ416" s="2">
        <v>11514</v>
      </c>
      <c r="DK416" s="2" t="str">
        <f>HYPERLINK(".\links\netoglyc\AGAP009566-PA-netoglyc.txt","13")</f>
        <v>13</v>
      </c>
      <c r="DL416" s="2">
        <v>16.3</v>
      </c>
      <c r="DM416" s="2">
        <v>4.5999999999999996</v>
      </c>
      <c r="DN416" s="2">
        <v>9</v>
      </c>
      <c r="DO416" s="2" t="s">
        <v>104</v>
      </c>
      <c r="DP416" s="2" t="s">
        <v>102</v>
      </c>
      <c r="DQ416" s="2" t="str">
        <f>HYPERLINK(".\links\Sigp\AGAP009566-PA-SigP.txt","CYT")</f>
        <v>CYT</v>
      </c>
      <c r="DR416" s="2" t="s">
        <v>102</v>
      </c>
      <c r="DS416" s="2">
        <v>135.31700000000001</v>
      </c>
      <c r="DT416" s="2">
        <v>9.4600000000000009</v>
      </c>
      <c r="DU416" s="2" t="s">
        <v>102</v>
      </c>
      <c r="DV416" s="2" t="s">
        <v>102</v>
      </c>
      <c r="DW416" s="2" t="s">
        <v>211</v>
      </c>
      <c r="DX416" s="2">
        <v>1163</v>
      </c>
      <c r="DY416" s="12">
        <v>0</v>
      </c>
      <c r="DZ416" s="2" t="s">
        <v>102</v>
      </c>
      <c r="EA416" s="2" t="s">
        <v>102</v>
      </c>
      <c r="EB416" s="2" t="s">
        <v>102</v>
      </c>
      <c r="EC416" s="2" t="str">
        <f>HYPERLINK(".\links\gpi\AGAP009566-PA-gpi.txt","Y-NoSP")</f>
        <v>Y-NoSP</v>
      </c>
      <c r="ED416" s="2">
        <v>0.51</v>
      </c>
      <c r="EE416" s="2" t="s">
        <v>4434</v>
      </c>
      <c r="EF416" s="2">
        <v>58</v>
      </c>
      <c r="EG416" s="2" t="s">
        <v>102</v>
      </c>
      <c r="EH416" s="2" t="s">
        <v>102</v>
      </c>
      <c r="EI416" s="2">
        <v>16.337059329320699</v>
      </c>
      <c r="EJ416" s="2">
        <v>9.0283748925193503</v>
      </c>
      <c r="EK416" s="2">
        <v>4.5571797076526197</v>
      </c>
      <c r="EL416" s="2">
        <v>13.585554600171999</v>
      </c>
      <c r="EM416" s="2" t="s">
        <v>102</v>
      </c>
      <c r="EN416" s="2">
        <v>3</v>
      </c>
      <c r="EO416" s="2">
        <v>3</v>
      </c>
      <c r="EP416" s="2" t="s">
        <v>102</v>
      </c>
      <c r="EQ416" s="2" t="s">
        <v>102</v>
      </c>
      <c r="ER416" s="2" t="s">
        <v>102</v>
      </c>
      <c r="ES416" s="2" t="s">
        <v>102</v>
      </c>
      <c r="ET416" s="2" t="str">
        <f>HYPERLINK(".\links\REFSEQ-INVERTEBRATE\AGAP009566-PA-REFSEQ-INVERTEBRATE.txt","zinc finger protein 585A isoform X1")</f>
        <v>zinc finger protein 585A isoform X1</v>
      </c>
      <c r="EU416" s="2" t="str">
        <f>HYPERLINK("http://www.ncbi.nlm.nih.gov/sutils/blink.cgi?pid=XP_035908584.1","0.0")</f>
        <v>0.0</v>
      </c>
      <c r="EV416" s="2" t="str">
        <f>HYPERLINK("http://www.ncbi.nlm.nih.gov/protein/XP_035908584.1","XP_035908584.1")</f>
        <v>XP_035908584.1</v>
      </c>
      <c r="EW416" s="2">
        <v>97</v>
      </c>
      <c r="EX416" s="2">
        <v>97</v>
      </c>
      <c r="EY416" s="2">
        <v>97</v>
      </c>
      <c r="EZ416" s="2" t="s">
        <v>370</v>
      </c>
    </row>
    <row r="417" spans="1:156" x14ac:dyDescent="0.25">
      <c r="A417" s="2" t="s">
        <v>4435</v>
      </c>
      <c r="B417" s="2">
        <v>-0.33868609388217102</v>
      </c>
      <c r="C417" s="2">
        <f t="shared" si="6"/>
        <v>0.79076115418236603</v>
      </c>
      <c r="D417" s="2">
        <v>7.1014740353385299</v>
      </c>
      <c r="E417" s="2">
        <v>16.833538508709299</v>
      </c>
      <c r="F417" s="2">
        <v>4.0805735463396503E-5</v>
      </c>
      <c r="G417" s="2">
        <v>7.8851082939563194E-3</v>
      </c>
      <c r="H417" s="2" t="s">
        <v>4427</v>
      </c>
      <c r="I417" s="2" t="s">
        <v>94</v>
      </c>
      <c r="J417" s="2" t="str">
        <f>HYPERLINK("https://vectorbase.org/vectorbase/app/record/gene/AGAP009566","AGAP009566-RB")</f>
        <v>AGAP009566-RB</v>
      </c>
      <c r="K417" s="2" t="str">
        <f>HYPERLINK(".\links\pep\AGAP009566-PB-pep.txt","AGAP009566-PB")</f>
        <v>AGAP009566-PB</v>
      </c>
      <c r="L417" s="12" t="s">
        <v>95</v>
      </c>
      <c r="M417" s="2">
        <v>1163</v>
      </c>
      <c r="N417" s="2">
        <v>0</v>
      </c>
      <c r="O417" s="2">
        <v>1</v>
      </c>
      <c r="P417" s="2" t="s">
        <v>4428</v>
      </c>
      <c r="Q417" s="9" t="s">
        <v>4429</v>
      </c>
      <c r="R417" s="2" t="s">
        <v>420</v>
      </c>
      <c r="S417" s="2" t="str">
        <f>HYPERLINK(".\links\KOG\AGAP009566-PB-KOG.txt","KOG")</f>
        <v>KOG</v>
      </c>
      <c r="T417" s="2">
        <v>8.0000000000000004E-22</v>
      </c>
      <c r="U417" s="2">
        <v>96</v>
      </c>
      <c r="V417" s="2" t="s">
        <v>4436</v>
      </c>
      <c r="W417" s="10" t="s">
        <v>4431</v>
      </c>
      <c r="X417" s="2" t="s">
        <v>672</v>
      </c>
      <c r="Y417" s="2" t="str">
        <f>HYPERLINK(".\links\UNIPROTKB\AGAP009566-PB-UNIPROTKB.txt","UNIPROTKB")</f>
        <v>UNIPROTKB</v>
      </c>
      <c r="Z417" s="2">
        <v>0</v>
      </c>
      <c r="AA417" s="2">
        <v>67.400000000000006</v>
      </c>
      <c r="AB417" s="13" t="s">
        <v>102</v>
      </c>
      <c r="AC417" s="13" t="str">
        <f>HYPERLINK(".\links\Sigp\AGAP009566-PB-SigP.txt","CYT")</f>
        <v>CYT</v>
      </c>
      <c r="AD417" s="2" t="s">
        <v>102</v>
      </c>
      <c r="AE417" s="2">
        <v>135.36699999999999</v>
      </c>
      <c r="AF417" s="2">
        <v>9.4600000000000009</v>
      </c>
      <c r="AG417" s="2" t="s">
        <v>102</v>
      </c>
      <c r="AH417" s="2" t="s">
        <v>102</v>
      </c>
      <c r="AI417" s="2" t="s">
        <v>211</v>
      </c>
      <c r="AJ417" s="13">
        <v>0</v>
      </c>
      <c r="AK417" s="2" t="s">
        <v>102</v>
      </c>
      <c r="AL417" s="2" t="s">
        <v>102</v>
      </c>
      <c r="AM417" s="2" t="s">
        <v>102</v>
      </c>
      <c r="AN417" s="13" t="str">
        <f>HYPERLINK(".\links\gpi\AGAP009566-PB-gpi.txt","N")</f>
        <v>N</v>
      </c>
      <c r="AO417" s="14" t="str">
        <f>HYPERLINK(".\links\netoglyc\AGAP009566-PB-netoglyc.txt","13")</f>
        <v>13</v>
      </c>
      <c r="AP417" s="13">
        <v>16.3</v>
      </c>
      <c r="AQ417" s="2">
        <v>4.5999999999999996</v>
      </c>
      <c r="AR417" s="2">
        <v>9</v>
      </c>
      <c r="AS417" s="2" t="s">
        <v>104</v>
      </c>
      <c r="AT417" s="9" t="str">
        <f>HYPERLINK(".\links\NR-LIGHT\AGAP009566-PB-NR-LIGHT.txt","zinc finger protein 845 isoform X15")</f>
        <v>zinc finger protein 845 isoform X15</v>
      </c>
      <c r="AU417" s="2" t="str">
        <f>HYPERLINK("http://www.ncbi.nlm.nih.gov/sutils/blink.cgi?pid=XP_019550593.1","0.0")</f>
        <v>0.0</v>
      </c>
      <c r="AV417" s="2" t="str">
        <f>HYPERLINK("http://www.ncbi.nlm.nih.gov/protein/XP_019550593.1","XP_019550593.1")</f>
        <v>XP_019550593.1</v>
      </c>
      <c r="AW417" s="2">
        <v>85</v>
      </c>
      <c r="AX417" s="2">
        <v>88</v>
      </c>
      <c r="AY417" s="2">
        <v>92</v>
      </c>
      <c r="AZ417" s="2" t="s">
        <v>361</v>
      </c>
      <c r="BA417" s="9" t="str">
        <f>HYPERLINK(".\links\REFSEQ-INVERTEBRATE\AGAP009566-PB-REFSEQ-INVERTEBRATE.txt","zinc finger protein 585A isoform X3")</f>
        <v>zinc finger protein 585A isoform X3</v>
      </c>
      <c r="BB417" s="2" t="str">
        <f>HYPERLINK("http://www.ncbi.nlm.nih.gov/sutils/blink.cgi?pid=XP_019550580.1","0.0")</f>
        <v>0.0</v>
      </c>
      <c r="BC417" s="2" t="str">
        <f>HYPERLINK("http://www.ncbi.nlm.nih.gov/protein/XP_019550580.1","XP_019550580.1")</f>
        <v>XP_019550580.1</v>
      </c>
      <c r="BD417" s="2">
        <v>83</v>
      </c>
      <c r="BE417" s="2">
        <v>86</v>
      </c>
      <c r="BF417" s="2">
        <v>92</v>
      </c>
      <c r="BG417" s="2" t="s">
        <v>361</v>
      </c>
      <c r="BH417" s="9" t="str">
        <f>HYPERLINK(".\links\REFSEQ-PROTOZOA\AGAP009566-PB-REFSEQ-PROTOZOA.txt","zinc finger protein")</f>
        <v>zinc finger protein</v>
      </c>
      <c r="BI417" s="2" t="str">
        <f>HYPERLINK("http://www.ncbi.nlm.nih.gov/sutils/blink.cgi?pid=XP_004989424.1","5E-086")</f>
        <v>5E-086</v>
      </c>
      <c r="BJ417" s="2" t="str">
        <f>HYPERLINK("http://www.ncbi.nlm.nih.gov/protein/XP_004989424.1","XP_004989424.1")</f>
        <v>XP_004989424.1</v>
      </c>
      <c r="BK417" s="2">
        <v>44</v>
      </c>
      <c r="BL417" s="2">
        <v>54</v>
      </c>
      <c r="BM417" s="2">
        <v>75</v>
      </c>
      <c r="BN417" s="2" t="s">
        <v>435</v>
      </c>
      <c r="BO417" s="9" t="str">
        <f>HYPERLINK(".\links\SWISSP\AGAP009566-PB-SWISSP.txt","Zinc finger protein 850")</f>
        <v>Zinc finger protein 850</v>
      </c>
      <c r="BP417" s="2" t="str">
        <f>HYPERLINK("http://www.uniprot.org/uniprot/A8MQ14","0.0")</f>
        <v>0.0</v>
      </c>
      <c r="BQ417" s="2" t="str">
        <f>HYPERLINK("http://www.uniprot.org/uniprot/A8MQ14#expression","A8MQ14")</f>
        <v>A8MQ14</v>
      </c>
      <c r="BR417" s="2">
        <v>45</v>
      </c>
      <c r="BS417" s="2">
        <v>54</v>
      </c>
      <c r="BT417" s="2">
        <v>73</v>
      </c>
      <c r="BU417" s="2" t="s">
        <v>127</v>
      </c>
      <c r="BV417" s="9" t="str">
        <f>HYPERLINK(".\links\FLYBASE\AGAP009566-PB-FLYBASE.txt","FBpp0307451")</f>
        <v>FBpp0307451</v>
      </c>
      <c r="BW417" s="2" t="str">
        <f>HYPERLINK("http://flybase.org/reports/FBgn0020309#alliance_summary_container","0.0")</f>
        <v>0.0</v>
      </c>
      <c r="BX417" s="2">
        <v>962</v>
      </c>
      <c r="BY417" s="2">
        <v>63</v>
      </c>
      <c r="BZ417" s="2">
        <v>73</v>
      </c>
      <c r="CA417" s="2">
        <v>56</v>
      </c>
      <c r="CB417" s="9" t="str">
        <f>HYPERLINK(".\links\CDD\AGAP009566-PB-CDD.txt","ZF_C2H2, Zinc finger, C2H2 type")</f>
        <v>ZF_C2H2, Zinc finger, C2H2 type</v>
      </c>
      <c r="CC417" s="15">
        <v>1.9999999999999998E-24</v>
      </c>
      <c r="CD417" s="2">
        <v>100</v>
      </c>
      <c r="CE417" s="2" t="s">
        <v>569</v>
      </c>
      <c r="CF417" s="2" t="s">
        <v>4432</v>
      </c>
      <c r="CG417" s="9" t="str">
        <f>HYPERLINK(".\links\KOG\AGAP009566-PB-KOG.txt","C2H2-type Zn-finger protein")</f>
        <v>C2H2-type Zn-finger protein</v>
      </c>
      <c r="CH417" s="15">
        <v>8.0000000000000004E-22</v>
      </c>
      <c r="CI417" s="2">
        <v>96.1</v>
      </c>
      <c r="CJ417" s="2" t="s">
        <v>743</v>
      </c>
      <c r="CK417" s="2" t="s">
        <v>309</v>
      </c>
      <c r="CL417" s="9" t="str">
        <f>HYPERLINK(".\links\PFAM\AGAP009566-PB-PFAM.txt","PAT1, Topoisomerase II-associated protein PAT1")</f>
        <v>PAT1, Topoisomerase II-associated protein PAT1</v>
      </c>
      <c r="CM417" s="15">
        <v>8.0000000000000006E-15</v>
      </c>
      <c r="CN417" s="2">
        <v>16.100000000000001</v>
      </c>
      <c r="CO417" s="2" t="s">
        <v>3695</v>
      </c>
      <c r="CP417" s="9" t="str">
        <f>HYPERLINK(".\links\SMART\AGAP009566-PB-SMART.txt","Amelogenin, Amelogenins, cell adhesion proteins, play a role in the biomineralisation of teeth")</f>
        <v>Amelogenin, Amelogenins, cell adhesion proteins, play a role in the biomineralisation of teeth</v>
      </c>
      <c r="CQ417" s="15">
        <v>1.0000000000000001E-9</v>
      </c>
      <c r="CR417" s="2">
        <v>77</v>
      </c>
      <c r="CS417" s="2" t="s">
        <v>311</v>
      </c>
      <c r="CT417" s="2" t="s">
        <v>4436</v>
      </c>
      <c r="CU417" s="2" t="s">
        <v>4436</v>
      </c>
      <c r="CV417" s="2" t="s">
        <v>4436</v>
      </c>
      <c r="CW417" s="2" t="str">
        <f>HYPERLINK(".\links\pep\AGAP009566-PB-pep.txt","AGAP009566-PB")</f>
        <v>AGAP009566-PB</v>
      </c>
      <c r="CX417" s="2" t="s">
        <v>95</v>
      </c>
      <c r="CY417" s="2">
        <v>1163</v>
      </c>
      <c r="CZ417" s="2" t="s">
        <v>113</v>
      </c>
      <c r="DA417" s="2" t="s">
        <v>4437</v>
      </c>
      <c r="DB417" s="2">
        <v>0</v>
      </c>
      <c r="DC417" s="2">
        <v>1</v>
      </c>
      <c r="DD417" s="2" t="str">
        <f>HYPERLINK("https://www.kegg.jp/kegg-bin/search_pathway_text?map=aga&amp;keyword=AGAP009566&amp;mode=1&amp;viewImage=true","AGAP009566")</f>
        <v>AGAP009566</v>
      </c>
      <c r="DE417" s="2" t="s">
        <v>4435</v>
      </c>
      <c r="DF417" s="2" t="s">
        <v>4427</v>
      </c>
      <c r="DG417" s="2" t="s">
        <v>94</v>
      </c>
      <c r="DH417" s="2" t="str">
        <f>HYPERLINK("https://vectorbase.org/vectorbase/app/record/gene/AGAP009566","AGAP009566-RB")</f>
        <v>AGAP009566-RB</v>
      </c>
      <c r="DI417" s="2" t="s">
        <v>118</v>
      </c>
      <c r="DJ417" s="2">
        <v>11514</v>
      </c>
      <c r="DK417" s="2" t="str">
        <f>HYPERLINK(".\links\netoglyc\AGAP009566-PB-netoglyc.txt","13")</f>
        <v>13</v>
      </c>
      <c r="DL417" s="2">
        <v>16.3</v>
      </c>
      <c r="DM417" s="2">
        <v>4.5999999999999996</v>
      </c>
      <c r="DN417" s="2">
        <v>9</v>
      </c>
      <c r="DO417" s="2" t="s">
        <v>104</v>
      </c>
      <c r="DP417" s="2" t="s">
        <v>102</v>
      </c>
      <c r="DQ417" s="2" t="str">
        <f>HYPERLINK(".\links\Sigp\AGAP009566-PB-SigP.txt","CYT")</f>
        <v>CYT</v>
      </c>
      <c r="DR417" s="2" t="s">
        <v>102</v>
      </c>
      <c r="DS417" s="2">
        <v>135.36699999999999</v>
      </c>
      <c r="DT417" s="2">
        <v>9.4600000000000009</v>
      </c>
      <c r="DU417" s="2" t="s">
        <v>102</v>
      </c>
      <c r="DV417" s="2" t="s">
        <v>102</v>
      </c>
      <c r="DW417" s="2" t="s">
        <v>211</v>
      </c>
      <c r="DX417" s="2">
        <v>1163</v>
      </c>
      <c r="DY417" s="12">
        <v>0</v>
      </c>
      <c r="DZ417" s="2" t="s">
        <v>102</v>
      </c>
      <c r="EA417" s="2" t="s">
        <v>102</v>
      </c>
      <c r="EB417" s="2" t="s">
        <v>102</v>
      </c>
      <c r="EC417" s="2" t="str">
        <f>HYPERLINK(".\links\gpi\AGAP009566-PB-gpi.txt","Y-NoSP")</f>
        <v>Y-NoSP</v>
      </c>
      <c r="ED417" s="2">
        <v>0.51</v>
      </c>
      <c r="EE417" s="2" t="s">
        <v>4434</v>
      </c>
      <c r="EF417" s="2">
        <v>58</v>
      </c>
      <c r="EG417" s="2" t="s">
        <v>102</v>
      </c>
      <c r="EH417" s="2" t="s">
        <v>102</v>
      </c>
      <c r="EI417" s="2">
        <v>16.337059329320699</v>
      </c>
      <c r="EJ417" s="2">
        <v>9.0283748925193503</v>
      </c>
      <c r="EK417" s="2">
        <v>4.5571797076526197</v>
      </c>
      <c r="EL417" s="2">
        <v>13.585554600171999</v>
      </c>
      <c r="EM417" s="2" t="s">
        <v>102</v>
      </c>
      <c r="EN417" s="2">
        <v>3</v>
      </c>
      <c r="EO417" s="2">
        <v>3</v>
      </c>
      <c r="EP417" s="2" t="s">
        <v>102</v>
      </c>
      <c r="EQ417" s="2" t="s">
        <v>102</v>
      </c>
      <c r="ER417" s="2" t="s">
        <v>102</v>
      </c>
      <c r="ES417" s="2" t="s">
        <v>102</v>
      </c>
      <c r="ET417" s="2" t="str">
        <f>HYPERLINK(".\links\REFSEQ-INVERTEBRATE\AGAP009566-PB-REFSEQ-INVERTEBRATE.txt","zinc finger protein 585A isoform X1")</f>
        <v>zinc finger protein 585A isoform X1</v>
      </c>
      <c r="EU417" s="2" t="str">
        <f>HYPERLINK("http://www.ncbi.nlm.nih.gov/sutils/blink.cgi?pid=XP_035908584.1","0.0")</f>
        <v>0.0</v>
      </c>
      <c r="EV417" s="2" t="str">
        <f>HYPERLINK("http://www.ncbi.nlm.nih.gov/protein/XP_035908584.1","XP_035908584.1")</f>
        <v>XP_035908584.1</v>
      </c>
      <c r="EW417" s="2">
        <v>97</v>
      </c>
      <c r="EX417" s="2">
        <v>97</v>
      </c>
      <c r="EY417" s="2">
        <v>97</v>
      </c>
      <c r="EZ417" s="2" t="s">
        <v>370</v>
      </c>
    </row>
    <row r="418" spans="1:156" x14ac:dyDescent="0.25">
      <c r="A418" s="2" t="s">
        <v>4438</v>
      </c>
      <c r="B418" s="2">
        <v>-0.33898677407804001</v>
      </c>
      <c r="C418" s="2">
        <f t="shared" si="6"/>
        <v>0.79059636437120684</v>
      </c>
      <c r="D418" s="2">
        <v>6.1450449343172799</v>
      </c>
      <c r="E418" s="2">
        <v>13.6182990317863</v>
      </c>
      <c r="F418" s="2">
        <v>2.23991533174666E-4</v>
      </c>
      <c r="G418" s="2">
        <v>1.6597267364182999E-2</v>
      </c>
      <c r="H418" s="2" t="s">
        <v>4439</v>
      </c>
      <c r="I418" s="2" t="s">
        <v>94</v>
      </c>
      <c r="J418" s="2" t="str">
        <f>HYPERLINK("https://vectorbase.org/vectorbase/app/record/gene/AGAP011932","AGAP011932-RA")</f>
        <v>AGAP011932-RA</v>
      </c>
      <c r="K418" s="2" t="str">
        <f>HYPERLINK(".\links\pep\AGAP011932-PA-pep.txt","AGAP011932-PA")</f>
        <v>AGAP011932-PA</v>
      </c>
      <c r="L418" s="12" t="s">
        <v>95</v>
      </c>
      <c r="M418" s="2">
        <v>1213</v>
      </c>
      <c r="N418" s="2">
        <v>0</v>
      </c>
      <c r="O418" s="2">
        <v>1</v>
      </c>
      <c r="P418" s="2" t="s">
        <v>4440</v>
      </c>
      <c r="Q418" s="9" t="s">
        <v>4441</v>
      </c>
      <c r="R418" s="2" t="s">
        <v>822</v>
      </c>
      <c r="S418" s="2" t="str">
        <f>HYPERLINK(".\links\REFSEQ-INVERTEBRATE\AGAP011932-PA-REFSEQ-INVERTEBRATE.txt","REFSEQ-INVERTEBRATE")</f>
        <v>REFSEQ-INVERTEBRATE</v>
      </c>
      <c r="T418" s="2">
        <v>0</v>
      </c>
      <c r="U418" s="2">
        <v>106.6</v>
      </c>
      <c r="V418" s="2" t="s">
        <v>4442</v>
      </c>
      <c r="W418" s="10" t="s">
        <v>4443</v>
      </c>
      <c r="X418" s="2" t="s">
        <v>822</v>
      </c>
      <c r="Y418" s="2" t="str">
        <f>HYPERLINK(".\links\REFSEQVERTEBRATE95\AGAP011932-PA-REFSEQVERTEBRATE95.txt","REFSEQVERTEBRATE95")</f>
        <v>REFSEQVERTEBRATE95</v>
      </c>
      <c r="Z418" s="2">
        <v>0</v>
      </c>
      <c r="AA418" s="2">
        <v>80.400000000000006</v>
      </c>
      <c r="AB418" s="13" t="s">
        <v>102</v>
      </c>
      <c r="AC418" s="13" t="str">
        <f>HYPERLINK(".\links\Sigp\AGAP011932-PA-SigP.txt","CYT")</f>
        <v>CYT</v>
      </c>
      <c r="AD418" s="2" t="s">
        <v>102</v>
      </c>
      <c r="AE418" s="2">
        <v>130.161</v>
      </c>
      <c r="AF418" s="2">
        <v>6.38</v>
      </c>
      <c r="AG418" s="2" t="s">
        <v>102</v>
      </c>
      <c r="AH418" s="2" t="s">
        <v>102</v>
      </c>
      <c r="AI418" s="2" t="s">
        <v>583</v>
      </c>
      <c r="AJ418" s="13">
        <v>0</v>
      </c>
      <c r="AK418" s="2" t="s">
        <v>102</v>
      </c>
      <c r="AL418" s="2" t="s">
        <v>102</v>
      </c>
      <c r="AM418" s="2" t="s">
        <v>102</v>
      </c>
      <c r="AN418" s="13" t="str">
        <f>HYPERLINK(".\links\gpi\AGAP011932-PA-gpi.txt","N")</f>
        <v>N</v>
      </c>
      <c r="AO418" s="14" t="str">
        <f>HYPERLINK(".\links\netoglyc\AGAP011932-PA-netoglyc.txt","2")</f>
        <v>2</v>
      </c>
      <c r="AP418" s="13">
        <v>12</v>
      </c>
      <c r="AQ418" s="2">
        <v>9.8000000000000007</v>
      </c>
      <c r="AR418" s="2">
        <v>3.9</v>
      </c>
      <c r="AS418" s="2">
        <v>0.2</v>
      </c>
      <c r="AT418" s="9" t="str">
        <f>HYPERLINK(".\links\NR-LIGHT\AGAP011932-PA-NR-LIGHT.txt","AGAP011932-PA")</f>
        <v>AGAP011932-PA</v>
      </c>
      <c r="AU418" s="2" t="str">
        <f>HYPERLINK("http://www.ncbi.nlm.nih.gov/sutils/blink.cgi?pid=XP_320601.4","0.0")</f>
        <v>0.0</v>
      </c>
      <c r="AV418" s="2" t="str">
        <f>HYPERLINK("http://www.ncbi.nlm.nih.gov/protein/XP_320601.4","XP_320601.4")</f>
        <v>XP_320601.4</v>
      </c>
      <c r="AW418" s="2">
        <v>97</v>
      </c>
      <c r="AX418" s="2">
        <v>97</v>
      </c>
      <c r="AY418" s="2">
        <v>102</v>
      </c>
      <c r="AZ418" s="2" t="s">
        <v>105</v>
      </c>
      <c r="BA418" s="9" t="str">
        <f>HYPERLINK(".\links\REFSEQ-INVERTEBRATE\AGAP011932-PA-REFSEQ-INVERTEBRATE.txt","AGAP011932-PA")</f>
        <v>AGAP011932-PA</v>
      </c>
      <c r="BB418" s="2" t="str">
        <f>HYPERLINK("http://www.ncbi.nlm.nih.gov/sutils/blink.cgi?pid=XP_320601.4","0.0")</f>
        <v>0.0</v>
      </c>
      <c r="BC418" s="2" t="str">
        <f>HYPERLINK("http://www.ncbi.nlm.nih.gov/protein/XP_320601.4","XP_320601.4")</f>
        <v>XP_320601.4</v>
      </c>
      <c r="BD418" s="2">
        <v>97</v>
      </c>
      <c r="BE418" s="2">
        <v>97</v>
      </c>
      <c r="BF418" s="2">
        <v>102</v>
      </c>
      <c r="BG418" s="2" t="s">
        <v>105</v>
      </c>
      <c r="BH418" s="9" t="str">
        <f>HYPERLINK(".\links\REFSEQ-PROTOZOA\AGAP011932-PA-REFSEQ-PROTOZOA.txt","ankyrin repeat protein")</f>
        <v>ankyrin repeat protein</v>
      </c>
      <c r="BI418" s="2" t="str">
        <f>HYPERLINK("http://www.ncbi.nlm.nih.gov/sutils/blink.cgi?pid=XP_001317121.1","5E-039")</f>
        <v>5E-039</v>
      </c>
      <c r="BJ418" s="2" t="str">
        <f>HYPERLINK("http://www.ncbi.nlm.nih.gov/protein/XP_001317121.1","XP_001317121.1")</f>
        <v>XP_001317121.1</v>
      </c>
      <c r="BK418" s="2">
        <v>29</v>
      </c>
      <c r="BL418" s="2">
        <v>48</v>
      </c>
      <c r="BM418" s="2">
        <v>37</v>
      </c>
      <c r="BN418" s="2" t="s">
        <v>292</v>
      </c>
      <c r="BO418" s="9" t="str">
        <f>HYPERLINK(".\links\SWISSP\AGAP011932-PA-SWISSP.txt","E3 ubiquitin-protein ligase mind-bomb")</f>
        <v>E3 ubiquitin-protein ligase mind-bomb</v>
      </c>
      <c r="BP418" s="2" t="str">
        <f>HYPERLINK("http://www.uniprot.org/uniprot/Q9VUX2","0.0")</f>
        <v>0.0</v>
      </c>
      <c r="BQ418" s="2" t="str">
        <f>HYPERLINK("http://www.uniprot.org/uniprot/Q9VUX2#expression","Q9VUX2")</f>
        <v>Q9VUX2</v>
      </c>
      <c r="BR418" s="2">
        <v>70</v>
      </c>
      <c r="BS418" s="2">
        <v>78</v>
      </c>
      <c r="BT418" s="2">
        <v>99</v>
      </c>
      <c r="BU418" s="2" t="s">
        <v>107</v>
      </c>
      <c r="BV418" s="9" t="str">
        <f>HYPERLINK(".\links\FLYBASE\AGAP011932-PA-FLYBASE.txt","FBpp0075275")</f>
        <v>FBpp0075275</v>
      </c>
      <c r="BW418" s="2" t="str">
        <f>HYPERLINK("http://flybase.org/reports/FBgn0263601#alliance_summary_container","0.0")</f>
        <v>0.0</v>
      </c>
      <c r="BX418" s="2">
        <v>1226</v>
      </c>
      <c r="BY418" s="2">
        <v>65</v>
      </c>
      <c r="BZ418" s="2">
        <v>73</v>
      </c>
      <c r="CA418" s="2">
        <v>99</v>
      </c>
      <c r="CB418" s="9" t="str">
        <f>HYPERLINK(".\links\CDD\AGAP011932-PA-CDD.txt","ANK, ankyrin repeats")</f>
        <v>ANK, ankyrin repeats</v>
      </c>
      <c r="CC418" s="15">
        <v>4.9999999999999997E-30</v>
      </c>
      <c r="CD418" s="2">
        <v>102.4</v>
      </c>
      <c r="CE418" s="2" t="s">
        <v>2258</v>
      </c>
      <c r="CF418" s="2" t="s">
        <v>4444</v>
      </c>
      <c r="CG418" s="9" t="str">
        <f>HYPERLINK(".\links\KOG\AGAP011932-PA-KOG.txt","contains ZZ-type Zn-finger")</f>
        <v>contains ZZ-type Zn-finger</v>
      </c>
      <c r="CH418" s="15">
        <v>3E-51</v>
      </c>
      <c r="CI418" s="2">
        <v>89.2</v>
      </c>
      <c r="CJ418" s="2" t="s">
        <v>4445</v>
      </c>
      <c r="CK418" s="2" t="s">
        <v>191</v>
      </c>
      <c r="CL418" s="9" t="str">
        <f>HYPERLINK(".\links\PFAM\AGAP011932-PA-PFAM.txt","MIB_HERC2, Mib_herc2")</f>
        <v>MIB_HERC2, Mib_herc2</v>
      </c>
      <c r="CM418" s="15">
        <v>6.9999999999999999E-28</v>
      </c>
      <c r="CN418" s="2">
        <v>100</v>
      </c>
      <c r="CO418" s="2" t="s">
        <v>4446</v>
      </c>
      <c r="CP418" s="9" t="str">
        <f>HYPERLINK(".\links\SMART\AGAP011932-PA-SMART.txt","ZnF_ZZ, Zinc-binding domain, present in Dystrophin, CREB-binding protein")</f>
        <v>ZnF_ZZ, Zinc-binding domain, present in Dystrophin, CREB-binding protein</v>
      </c>
      <c r="CQ418" s="15">
        <v>6.9999999999999998E-9</v>
      </c>
      <c r="CR418" s="2">
        <v>88.6</v>
      </c>
      <c r="CS418" s="2" t="s">
        <v>2914</v>
      </c>
      <c r="CT418" s="2" t="s">
        <v>4442</v>
      </c>
      <c r="CU418" s="2" t="s">
        <v>4442</v>
      </c>
      <c r="CV418" s="2" t="s">
        <v>4442</v>
      </c>
      <c r="CW418" s="2" t="str">
        <f>HYPERLINK(".\links\pep\AGAP011932-PA-pep.txt","AGAP011932-PA")</f>
        <v>AGAP011932-PA</v>
      </c>
      <c r="CX418" s="2" t="s">
        <v>95</v>
      </c>
      <c r="CY418" s="2">
        <v>1213</v>
      </c>
      <c r="CZ418" s="2" t="s">
        <v>113</v>
      </c>
      <c r="DA418" s="2" t="s">
        <v>4447</v>
      </c>
      <c r="DB418" s="2">
        <v>0</v>
      </c>
      <c r="DC418" s="2">
        <v>1</v>
      </c>
      <c r="DD418" s="2" t="str">
        <f>HYPERLINK("https://www.kegg.jp/kegg-bin/search_pathway_text?map=aga&amp;keyword=AGAP011932&amp;mode=1&amp;viewImage=true","AGAP011932")</f>
        <v>AGAP011932</v>
      </c>
      <c r="DE418" s="2" t="s">
        <v>4438</v>
      </c>
      <c r="DF418" s="2" t="s">
        <v>4439</v>
      </c>
      <c r="DG418" s="2" t="s">
        <v>94</v>
      </c>
      <c r="DH418" s="2" t="str">
        <f>HYPERLINK("https://vectorbase.org/vectorbase/app/record/gene/AGAP011932","AGAP011932-RA")</f>
        <v>AGAP011932-RA</v>
      </c>
      <c r="DI418" s="2" t="s">
        <v>115</v>
      </c>
      <c r="DJ418" s="2">
        <v>6142</v>
      </c>
      <c r="DK418" s="2" t="str">
        <f>HYPERLINK(".\links\netoglyc\AGAP011932-PA-netoglyc.txt","2")</f>
        <v>2</v>
      </c>
      <c r="DL418" s="2">
        <v>12</v>
      </c>
      <c r="DM418" s="2">
        <v>9.8000000000000007</v>
      </c>
      <c r="DN418" s="2">
        <v>3.9</v>
      </c>
      <c r="DO418" s="2">
        <v>0.2</v>
      </c>
      <c r="DP418" s="2" t="s">
        <v>4448</v>
      </c>
      <c r="DQ418" s="2" t="str">
        <f>HYPERLINK(".\links\Sigp\AGAP011932-PA-SigP.txt","CYT")</f>
        <v>CYT</v>
      </c>
      <c r="DR418" s="2" t="s">
        <v>102</v>
      </c>
      <c r="DS418" s="2">
        <v>130.161</v>
      </c>
      <c r="DT418" s="2">
        <v>6.38</v>
      </c>
      <c r="DU418" s="2" t="s">
        <v>102</v>
      </c>
      <c r="DV418" s="2" t="s">
        <v>102</v>
      </c>
      <c r="DW418" s="2" t="s">
        <v>583</v>
      </c>
      <c r="DX418" s="2">
        <v>1213</v>
      </c>
      <c r="DY418" s="12">
        <v>0</v>
      </c>
      <c r="DZ418" s="2" t="s">
        <v>102</v>
      </c>
      <c r="EA418" s="2" t="s">
        <v>102</v>
      </c>
      <c r="EB418" s="2" t="s">
        <v>102</v>
      </c>
      <c r="EC418" s="2" t="str">
        <f>HYPERLINK(".\links\gpi\AGAP011932-PA-gpi.txt","N")</f>
        <v>N</v>
      </c>
      <c r="ED418" s="2">
        <v>0.22</v>
      </c>
      <c r="EF418" s="2">
        <v>41</v>
      </c>
      <c r="EG418" s="2" t="s">
        <v>102</v>
      </c>
      <c r="EH418" s="2" t="s">
        <v>102</v>
      </c>
      <c r="EI418" s="2">
        <v>11.9538334707337</v>
      </c>
      <c r="EJ418" s="2">
        <v>3.8746908491343799</v>
      </c>
      <c r="EK418" s="2">
        <v>9.81038746908491</v>
      </c>
      <c r="EL418" s="2">
        <v>13.685078318219301</v>
      </c>
      <c r="EM418" s="2">
        <v>1</v>
      </c>
      <c r="EN418" s="2">
        <v>3</v>
      </c>
      <c r="EO418" s="2">
        <v>4</v>
      </c>
      <c r="EP418" s="2" t="s">
        <v>102</v>
      </c>
      <c r="EQ418" s="2" t="s">
        <v>102</v>
      </c>
      <c r="ER418" s="2" t="s">
        <v>102</v>
      </c>
      <c r="ES418" s="2" t="s">
        <v>102</v>
      </c>
      <c r="ET418" s="2" t="str">
        <f>HYPERLINK(".\links\REFSEQ-INVERTEBRATE\AGAP011932-PA-REFSEQ-INVERTEBRATE.txt","AGAP011932-PA")</f>
        <v>AGAP011932-PA</v>
      </c>
      <c r="EU418" s="2" t="str">
        <f>HYPERLINK("http://www.ncbi.nlm.nih.gov/sutils/blink.cgi?pid=XP_320601.4","0.0")</f>
        <v>0.0</v>
      </c>
      <c r="EV418" s="2" t="str">
        <f>HYPERLINK("http://www.ncbi.nlm.nih.gov/protein/XP_320601.4","XP_320601.4")</f>
        <v>XP_320601.4</v>
      </c>
      <c r="EW418" s="2">
        <v>97</v>
      </c>
      <c r="EX418" s="2">
        <v>97</v>
      </c>
      <c r="EY418" s="2">
        <v>102</v>
      </c>
      <c r="EZ418" s="2" t="s">
        <v>105</v>
      </c>
    </row>
    <row r="419" spans="1:156" x14ac:dyDescent="0.25">
      <c r="A419" s="2" t="s">
        <v>4449</v>
      </c>
      <c r="B419" s="2">
        <v>-0.33942675714787002</v>
      </c>
      <c r="C419" s="2">
        <f t="shared" si="6"/>
        <v>0.79035529056929887</v>
      </c>
      <c r="D419" s="2">
        <v>7.2489195465890504</v>
      </c>
      <c r="E419" s="2">
        <v>16.482128926799302</v>
      </c>
      <c r="F419" s="2">
        <v>4.91108066785922E-5</v>
      </c>
      <c r="G419" s="2">
        <v>8.2031694884326396E-3</v>
      </c>
      <c r="H419" s="2" t="s">
        <v>4450</v>
      </c>
      <c r="I419" s="2" t="s">
        <v>94</v>
      </c>
      <c r="J419" s="2" t="str">
        <f>HYPERLINK("https://vectorbase.org/vectorbase/app/record/gene/AGAP010623","AGAP010623-RA")</f>
        <v>AGAP010623-RA</v>
      </c>
      <c r="K419" s="2" t="str">
        <f>HYPERLINK(".\links\pep\AGAP010623-PA-pep.txt","AGAP010623-PA")</f>
        <v>AGAP010623-PA</v>
      </c>
      <c r="L419" s="12" t="s">
        <v>95</v>
      </c>
      <c r="M419" s="2">
        <v>309</v>
      </c>
      <c r="N419" s="2">
        <v>0</v>
      </c>
      <c r="O419" s="2">
        <v>1</v>
      </c>
      <c r="P419" s="2" t="s">
        <v>4451</v>
      </c>
      <c r="Q419" s="9" t="s">
        <v>4452</v>
      </c>
      <c r="R419" s="2" t="s">
        <v>564</v>
      </c>
      <c r="S419" s="2" t="str">
        <f>HYPERLINK(".\links\KOG\AGAP010623-PA-KOG.txt","KOG")</f>
        <v>KOG</v>
      </c>
      <c r="T419" s="2">
        <v>3E-23</v>
      </c>
      <c r="U419" s="2">
        <v>64.3</v>
      </c>
      <c r="V419" s="2" t="s">
        <v>4453</v>
      </c>
      <c r="W419" s="10" t="s">
        <v>4454</v>
      </c>
      <c r="X419" s="2" t="s">
        <v>420</v>
      </c>
      <c r="Y419" s="2" t="str">
        <f>HYPERLINK(".\links\KOG\AGAP010623-PA-KOG.txt","KOG")</f>
        <v>KOG</v>
      </c>
      <c r="Z419" s="15">
        <v>8.0000000000000003E-27</v>
      </c>
      <c r="AA419" s="2">
        <v>50.6</v>
      </c>
      <c r="AB419" s="13" t="s">
        <v>102</v>
      </c>
      <c r="AC419" s="13" t="str">
        <f>HYPERLINK(".\links\Sigp\AGAP010623-PA-SigP.txt","CYT")</f>
        <v>CYT</v>
      </c>
      <c r="AD419" s="2" t="s">
        <v>102</v>
      </c>
      <c r="AE419" s="2">
        <v>34.613</v>
      </c>
      <c r="AF419" s="2">
        <v>9.33</v>
      </c>
      <c r="AG419" s="2" t="s">
        <v>102</v>
      </c>
      <c r="AH419" s="2" t="s">
        <v>102</v>
      </c>
      <c r="AI419" s="2" t="s">
        <v>4455</v>
      </c>
      <c r="AJ419" s="13">
        <v>0</v>
      </c>
      <c r="AK419" s="2" t="s">
        <v>102</v>
      </c>
      <c r="AL419" s="2" t="s">
        <v>102</v>
      </c>
      <c r="AM419" s="2" t="s">
        <v>102</v>
      </c>
      <c r="AN419" s="13" t="str">
        <f>HYPERLINK(".\links\gpi\AGAP010623-PA-gpi.txt","N")</f>
        <v>N</v>
      </c>
      <c r="AO419" s="14" t="str">
        <f>HYPERLINK(".\links\netoglyc\AGAP010623-PA-netoglyc.txt","7")</f>
        <v>7</v>
      </c>
      <c r="AP419" s="13">
        <v>14.9</v>
      </c>
      <c r="AQ419" s="2">
        <v>2.6</v>
      </c>
      <c r="AR419" s="2">
        <v>7.4</v>
      </c>
      <c r="AS419" s="2" t="s">
        <v>104</v>
      </c>
      <c r="AT419" s="9" t="str">
        <f>HYPERLINK(".\links\NR-LIGHT\AGAP010623-PA-NR-LIGHT.txt","AGAP010623-PA, partial")</f>
        <v>AGAP010623-PA, partial</v>
      </c>
      <c r="AU419" s="2" t="str">
        <f>HYPERLINK("http://www.ncbi.nlm.nih.gov/sutils/blink.cgi?pid=XP_310116.4","4E-095")</f>
        <v>4E-095</v>
      </c>
      <c r="AV419" s="2" t="str">
        <f>HYPERLINK("http://www.ncbi.nlm.nih.gov/protein/XP_310116.4","XP_310116.4")</f>
        <v>XP_310116.4</v>
      </c>
      <c r="AW419" s="2">
        <v>87</v>
      </c>
      <c r="AX419" s="2">
        <v>87</v>
      </c>
      <c r="AY419" s="2">
        <v>43</v>
      </c>
      <c r="AZ419" s="2" t="s">
        <v>105</v>
      </c>
      <c r="BA419" s="9" t="str">
        <f>HYPERLINK(".\links\REFSEQ-INVERTEBRATE\AGAP010623-PA-REFSEQ-INVERTEBRATE.txt","AGAP010623-PA, partial")</f>
        <v>AGAP010623-PA, partial</v>
      </c>
      <c r="BB419" s="2" t="str">
        <f>HYPERLINK("http://www.ncbi.nlm.nih.gov/sutils/blink.cgi?pid=XP_310116.4","4E-095")</f>
        <v>4E-095</v>
      </c>
      <c r="BC419" s="2" t="str">
        <f>HYPERLINK("http://www.ncbi.nlm.nih.gov/protein/XP_310116.4","XP_310116.4")</f>
        <v>XP_310116.4</v>
      </c>
      <c r="BD419" s="2">
        <v>87</v>
      </c>
      <c r="BE419" s="2">
        <v>87</v>
      </c>
      <c r="BF419" s="2">
        <v>43</v>
      </c>
      <c r="BG419" s="2" t="s">
        <v>105</v>
      </c>
      <c r="BH419" s="9" t="str">
        <f>HYPERLINK(".\links\REFSEQ-PROTOZOA\AGAP010623-PA-REFSEQ-PROTOZOA.txt","hypothetical protein DFA_02731")</f>
        <v>hypothetical protein DFA_02731</v>
      </c>
      <c r="BI419" s="2" t="str">
        <f>HYPERLINK("http://www.ncbi.nlm.nih.gov/sutils/blink.cgi?pid=XP_004362339.1","2E-007")</f>
        <v>2E-007</v>
      </c>
      <c r="BJ419" s="2" t="str">
        <f>HYPERLINK("http://www.ncbi.nlm.nih.gov/protein/XP_004362339.1","XP_004362339.1")</f>
        <v>XP_004362339.1</v>
      </c>
      <c r="BK419" s="2">
        <v>25</v>
      </c>
      <c r="BL419" s="2">
        <v>54</v>
      </c>
      <c r="BM419" s="2">
        <v>16</v>
      </c>
      <c r="BN419" s="2" t="s">
        <v>212</v>
      </c>
      <c r="BO419" s="9" t="str">
        <f>HYPERLINK(".\links\SWISSP\AGAP010623-PA-SWISSP.txt","X-box-binding protein 1")</f>
        <v>X-box-binding protein 1</v>
      </c>
      <c r="BP419" s="2" t="str">
        <f>HYPERLINK("http://www.uniprot.org/uniprot/Q3SZZ2","1E-013")</f>
        <v>1E-013</v>
      </c>
      <c r="BQ419" s="2" t="str">
        <f>HYPERLINK("http://www.uniprot.org/uniprot/Q3SZZ2#expression","Q3SZZ2")</f>
        <v>Q3SZZ2</v>
      </c>
      <c r="BR419" s="2">
        <v>30</v>
      </c>
      <c r="BS419" s="2">
        <v>43</v>
      </c>
      <c r="BT419" s="2">
        <v>92</v>
      </c>
      <c r="BU419" s="2" t="s">
        <v>1284</v>
      </c>
      <c r="BV419" s="9" t="str">
        <f>HYPERLINK(".\links\FLYBASE\AGAP010623-PA-FLYBASE.txt","FBpp0301745")</f>
        <v>FBpp0301745</v>
      </c>
      <c r="BW419" s="2" t="str">
        <f>HYPERLINK("http://flybase.org/reports/FBgn0021872#alliance_summary_container","8E-68")</f>
        <v>8E-68</v>
      </c>
      <c r="BX419" s="2">
        <v>307</v>
      </c>
      <c r="BY419" s="2">
        <v>45</v>
      </c>
      <c r="BZ419" s="2">
        <v>60</v>
      </c>
      <c r="CA419" s="2">
        <v>100</v>
      </c>
      <c r="CB419" s="9" t="str">
        <f>HYPERLINK(".\links\CDD\AGAP010623-PA-CDD.txt","bZIP_XBP1, Basic leucine zipper (bZIP) domain of X-box binding protein 1 (XBP1) and similar proteins: a DNA-binding and dimerization domain")</f>
        <v>bZIP_XBP1, Basic leucine zipper (bZIP) domain of X-box binding protein 1 (XBP1) and similar proteins: a DNA-binding and dimerization domain</v>
      </c>
      <c r="CC419" s="15">
        <v>1E-14</v>
      </c>
      <c r="CD419" s="2">
        <v>87.9</v>
      </c>
      <c r="CE419" s="2" t="s">
        <v>4456</v>
      </c>
      <c r="CF419" s="2" t="s">
        <v>4457</v>
      </c>
      <c r="CG419" s="9" t="str">
        <f>HYPERLINK(".\links\KOG\AGAP010623-PA-KOG.txt","Transcription factor XBP-1")</f>
        <v>Transcription factor XBP-1</v>
      </c>
      <c r="CH419" s="15">
        <v>3E-23</v>
      </c>
      <c r="CI419" s="2">
        <v>64.400000000000006</v>
      </c>
      <c r="CJ419" s="2" t="s">
        <v>4458</v>
      </c>
      <c r="CK419" s="2" t="s">
        <v>309</v>
      </c>
      <c r="CL419" s="9" t="str">
        <f>HYPERLINK(".\links\PFAM\AGAP010623-PA-PFAM.txt","bZIP_2, Basic region leucine zipper")</f>
        <v>bZIP_2, Basic region leucine zipper</v>
      </c>
      <c r="CM419" s="15">
        <v>1E-8</v>
      </c>
      <c r="CN419" s="2">
        <v>94.1</v>
      </c>
      <c r="CO419" s="2" t="s">
        <v>4459</v>
      </c>
      <c r="CP419" s="9" t="str">
        <f>HYPERLINK(".\links\SMART\AGAP010623-PA-SMART.txt","BRLZ, basic region leucin zipper")</f>
        <v>BRLZ, basic region leucin zipper</v>
      </c>
      <c r="CQ419" s="15">
        <v>3E-10</v>
      </c>
      <c r="CR419" s="2">
        <v>87.7</v>
      </c>
      <c r="CS419" s="2" t="s">
        <v>4460</v>
      </c>
      <c r="CT419" s="2" t="s">
        <v>4453</v>
      </c>
      <c r="CU419" s="2" t="s">
        <v>4453</v>
      </c>
      <c r="CV419" s="2" t="s">
        <v>4453</v>
      </c>
      <c r="CW419" s="2" t="str">
        <f>HYPERLINK(".\links\pep\AGAP010623-PA-pep.txt","AGAP010623-PA")</f>
        <v>AGAP010623-PA</v>
      </c>
      <c r="CX419" s="2" t="s">
        <v>95</v>
      </c>
      <c r="CY419" s="2">
        <v>309</v>
      </c>
      <c r="CZ419" s="2" t="s">
        <v>113</v>
      </c>
      <c r="DA419" s="2" t="s">
        <v>4461</v>
      </c>
      <c r="DB419" s="2">
        <v>0</v>
      </c>
      <c r="DC419" s="2">
        <v>1</v>
      </c>
      <c r="DD419" s="2" t="str">
        <f>HYPERLINK("https://www.kegg.jp/kegg-bin/search_pathway_text?map=aga&amp;keyword=AGAP010623&amp;mode=1&amp;viewImage=true","AGAP010623")</f>
        <v>AGAP010623</v>
      </c>
      <c r="DE419" s="2" t="s">
        <v>4449</v>
      </c>
      <c r="DF419" s="2" t="s">
        <v>4450</v>
      </c>
      <c r="DG419" s="2" t="s">
        <v>94</v>
      </c>
      <c r="DH419" s="2" t="str">
        <f>HYPERLINK("https://vectorbase.org/vectorbase/app/record/gene/AGAP010623","AGAP010623-RA")</f>
        <v>AGAP010623-RA</v>
      </c>
      <c r="DI419" s="2" t="s">
        <v>90</v>
      </c>
      <c r="DJ419" s="2">
        <v>2552</v>
      </c>
      <c r="DK419" s="2" t="str">
        <f>HYPERLINK(".\links\netoglyc\AGAP010623-PA-netoglyc.txt","7")</f>
        <v>7</v>
      </c>
      <c r="DL419" s="2">
        <v>14.9</v>
      </c>
      <c r="DM419" s="2">
        <v>2.6</v>
      </c>
      <c r="DN419" s="2">
        <v>7.4</v>
      </c>
      <c r="DO419" s="2" t="s">
        <v>104</v>
      </c>
      <c r="DP419" s="2" t="s">
        <v>102</v>
      </c>
      <c r="DQ419" s="2" t="str">
        <f>HYPERLINK(".\links\Sigp\AGAP010623-PA-SigP.txt","CYT")</f>
        <v>CYT</v>
      </c>
      <c r="DR419" s="2" t="s">
        <v>102</v>
      </c>
      <c r="DS419" s="2">
        <v>34.613</v>
      </c>
      <c r="DT419" s="2">
        <v>9.33</v>
      </c>
      <c r="DU419" s="2" t="s">
        <v>102</v>
      </c>
      <c r="DV419" s="2" t="s">
        <v>102</v>
      </c>
      <c r="DW419" s="2" t="s">
        <v>4455</v>
      </c>
      <c r="DX419" s="2">
        <v>309</v>
      </c>
      <c r="DY419" s="12">
        <v>0</v>
      </c>
      <c r="DZ419" s="2" t="s">
        <v>102</v>
      </c>
      <c r="EA419" s="2" t="s">
        <v>102</v>
      </c>
      <c r="EB419" s="2" t="s">
        <v>102</v>
      </c>
      <c r="EC419" s="2" t="str">
        <f>HYPERLINK(".\links\gpi\AGAP010623-PA-gpi.txt","N")</f>
        <v>N</v>
      </c>
      <c r="ED419" s="2">
        <v>0.32</v>
      </c>
      <c r="EF419" s="2">
        <v>9</v>
      </c>
      <c r="EG419" s="2" t="s">
        <v>102</v>
      </c>
      <c r="EH419" s="2" t="s">
        <v>102</v>
      </c>
      <c r="EI419" s="2">
        <v>14.886731391585799</v>
      </c>
      <c r="EJ419" s="2">
        <v>7.4433656957928802</v>
      </c>
      <c r="EK419" s="2">
        <v>2.5889967637540501</v>
      </c>
      <c r="EL419" s="2">
        <v>10.032362459546899</v>
      </c>
      <c r="EM419" s="2" t="s">
        <v>102</v>
      </c>
      <c r="EN419" s="2">
        <v>1</v>
      </c>
      <c r="EO419" s="2">
        <v>1</v>
      </c>
      <c r="EP419" s="2" t="s">
        <v>102</v>
      </c>
      <c r="EQ419" s="2" t="s">
        <v>102</v>
      </c>
      <c r="ER419" s="2" t="s">
        <v>102</v>
      </c>
      <c r="ES419" s="2" t="s">
        <v>102</v>
      </c>
      <c r="ET419" s="2" t="str">
        <f>HYPERLINK(".\links\REFSEQ-INVERTEBRATE\AGAP010623-PA-REFSEQ-INVERTEBRATE.txt","AGAP010623-PA, partial")</f>
        <v>AGAP010623-PA, partial</v>
      </c>
      <c r="EU419" s="2" t="str">
        <f>HYPERLINK("http://www.ncbi.nlm.nih.gov/sutils/blink.cgi?pid=XP_310116.4","1E-107")</f>
        <v>1E-107</v>
      </c>
      <c r="EV419" s="2" t="str">
        <f>HYPERLINK("http://www.ncbi.nlm.nih.gov/protein/XP_310116.4","XP_310116.4")</f>
        <v>XP_310116.4</v>
      </c>
      <c r="EW419" s="2">
        <v>87</v>
      </c>
      <c r="EX419" s="2">
        <v>87</v>
      </c>
      <c r="EY419" s="2">
        <v>43</v>
      </c>
      <c r="EZ419" s="2" t="s">
        <v>105</v>
      </c>
    </row>
    <row r="420" spans="1:156" x14ac:dyDescent="0.25">
      <c r="A420" s="2" t="s">
        <v>4462</v>
      </c>
      <c r="B420" s="2">
        <v>-0.339823879112299</v>
      </c>
      <c r="C420" s="2">
        <f t="shared" si="6"/>
        <v>0.79013776417428316</v>
      </c>
      <c r="D420" s="2">
        <v>7.38960130940995</v>
      </c>
      <c r="E420" s="2">
        <v>11.1814335974084</v>
      </c>
      <c r="F420" s="2">
        <v>8.2619910728532202E-4</v>
      </c>
      <c r="G420" s="2">
        <v>3.0183174475144601E-2</v>
      </c>
      <c r="H420" s="2" t="s">
        <v>93</v>
      </c>
      <c r="I420" s="2" t="s">
        <v>94</v>
      </c>
      <c r="J420" s="2" t="str">
        <f>HYPERLINK("https://vectorbase.org/vectorbase/app/record/gene/AGAP007478","AGAP007478-RA")</f>
        <v>AGAP007478-RA</v>
      </c>
      <c r="K420" s="2" t="str">
        <f>HYPERLINK(".\links\pep\AGAP007478-PA-pep.txt","AGAP007478-PA")</f>
        <v>AGAP007478-PA</v>
      </c>
      <c r="L420" s="12" t="s">
        <v>95</v>
      </c>
      <c r="M420" s="2">
        <v>1117</v>
      </c>
      <c r="N420" s="2">
        <v>0</v>
      </c>
      <c r="O420" s="2">
        <v>2</v>
      </c>
      <c r="P420" s="2" t="s">
        <v>102</v>
      </c>
      <c r="Q420" s="9" t="s">
        <v>4463</v>
      </c>
      <c r="R420" s="2" t="s">
        <v>771</v>
      </c>
      <c r="S420" s="2" t="str">
        <f>HYPERLINK(".\links\KOG\AGAP007478-PA-KOG.txt","KOG")</f>
        <v>KOG</v>
      </c>
      <c r="T420" s="2">
        <v>2E-45</v>
      </c>
      <c r="U420" s="2">
        <v>115.9</v>
      </c>
      <c r="V420" s="2" t="s">
        <v>4464</v>
      </c>
      <c r="W420" s="10" t="s">
        <v>4465</v>
      </c>
      <c r="X420" s="2" t="s">
        <v>420</v>
      </c>
      <c r="Y420" s="2" t="str">
        <f>HYPERLINK(".\links\REFSEQVERTEBRATE95\AGAP007478-PA-REFSEQVERTEBRATE95.txt","REFSEQVERTEBRATE95")</f>
        <v>REFSEQVERTEBRATE95</v>
      </c>
      <c r="Z420" s="15">
        <v>6E-57</v>
      </c>
      <c r="AA420" s="2">
        <v>76.599999999999994</v>
      </c>
      <c r="AB420" s="13" t="str">
        <f>HYPERLINK(".\links\pep\AGAP007478-PA-sulf.txt","1")</f>
        <v>1</v>
      </c>
      <c r="AC420" s="13" t="str">
        <f>HYPERLINK(".\links\Sigp\AGAP007478-PA-SigP.txt","CYT")</f>
        <v>CYT</v>
      </c>
      <c r="AD420" s="2" t="s">
        <v>102</v>
      </c>
      <c r="AE420" s="2">
        <v>116.23</v>
      </c>
      <c r="AF420" s="2">
        <v>9.51</v>
      </c>
      <c r="AG420" s="2" t="s">
        <v>102</v>
      </c>
      <c r="AH420" s="2" t="s">
        <v>102</v>
      </c>
      <c r="AI420" s="2" t="s">
        <v>211</v>
      </c>
      <c r="AJ420" s="13">
        <v>0</v>
      </c>
      <c r="AK420" s="2" t="s">
        <v>102</v>
      </c>
      <c r="AL420" s="2" t="s">
        <v>102</v>
      </c>
      <c r="AM420" s="2" t="s">
        <v>102</v>
      </c>
      <c r="AN420" s="13" t="str">
        <f>HYPERLINK(".\links\gpi\AGAP007478-PA-gpi.txt","N")</f>
        <v>N</v>
      </c>
      <c r="AO420" s="14" t="str">
        <f>HYPERLINK(".\links\netoglyc\AGAP007478-PA-netoglyc.txt","10")</f>
        <v>10</v>
      </c>
      <c r="AP420" s="13">
        <v>13.4</v>
      </c>
      <c r="AQ420" s="2">
        <v>11.5</v>
      </c>
      <c r="AR420" s="2">
        <v>9.5</v>
      </c>
      <c r="AS420" s="2" t="s">
        <v>104</v>
      </c>
      <c r="AT420" s="9" t="str">
        <f>HYPERLINK(".\links\NR-LIGHT\AGAP007478-PA-NR-LIGHT.txt","AGAP007478-PA")</f>
        <v>AGAP007478-PA</v>
      </c>
      <c r="AU420" s="2" t="str">
        <f>HYPERLINK("http://www.ncbi.nlm.nih.gov/sutils/blink.cgi?pid=XP_308394.4","0.0")</f>
        <v>0.0</v>
      </c>
      <c r="AV420" s="2" t="str">
        <f>HYPERLINK("http://www.ncbi.nlm.nih.gov/protein/XP_308394.4","XP_308394.4")</f>
        <v>XP_308394.4</v>
      </c>
      <c r="AW420" s="2">
        <v>99</v>
      </c>
      <c r="AX420" s="2">
        <v>100</v>
      </c>
      <c r="AY420" s="2">
        <v>94</v>
      </c>
      <c r="AZ420" s="2" t="s">
        <v>105</v>
      </c>
      <c r="BA420" s="9" t="str">
        <f>HYPERLINK(".\links\REFSEQ-INVERTEBRATE\AGAP007478-PA-REFSEQ-INVERTEBRATE.txt","AGAP007478-PA")</f>
        <v>AGAP007478-PA</v>
      </c>
      <c r="BB420" s="2" t="str">
        <f>HYPERLINK("http://www.ncbi.nlm.nih.gov/sutils/blink.cgi?pid=XP_308394.4","0.0")</f>
        <v>0.0</v>
      </c>
      <c r="BC420" s="2" t="str">
        <f>HYPERLINK("http://www.ncbi.nlm.nih.gov/protein/XP_308394.4","XP_308394.4")</f>
        <v>XP_308394.4</v>
      </c>
      <c r="BD420" s="2">
        <v>99</v>
      </c>
      <c r="BE420" s="2">
        <v>100</v>
      </c>
      <c r="BF420" s="2">
        <v>94</v>
      </c>
      <c r="BG420" s="2" t="s">
        <v>105</v>
      </c>
      <c r="BH420" s="9" t="str">
        <f>HYPERLINK(".\links\REFSEQ-PROTOZOA\AGAP007478-PA-REFSEQ-PROTOZOA.txt","hypothetical protein H696_01331")</f>
        <v>hypothetical protein H696_01331</v>
      </c>
      <c r="BI420" s="2" t="str">
        <f>HYPERLINK("http://www.ncbi.nlm.nih.gov/sutils/blink.cgi?pid=XP_009493499.1","4E-020")</f>
        <v>4E-020</v>
      </c>
      <c r="BJ420" s="2" t="str">
        <f>HYPERLINK("http://www.ncbi.nlm.nih.gov/protein/XP_009493499.1","XP_009493499.1")</f>
        <v>XP_009493499.1</v>
      </c>
      <c r="BK420" s="2">
        <v>22</v>
      </c>
      <c r="BL420" s="2">
        <v>29</v>
      </c>
      <c r="BM420" s="2">
        <v>92</v>
      </c>
      <c r="BN420" s="2" t="s">
        <v>651</v>
      </c>
      <c r="BO420" s="9" t="str">
        <f>HYPERLINK(".\links\SWISSP\AGAP007478-PA-SWISSP.txt","Maternal effect protein staufen")</f>
        <v>Maternal effect protein staufen</v>
      </c>
      <c r="BP420" s="2" t="str">
        <f>HYPERLINK("http://www.uniprot.org/uniprot/P25159","1E-126")</f>
        <v>1E-126</v>
      </c>
      <c r="BQ420" s="2" t="str">
        <f>HYPERLINK("http://www.uniprot.org/uniprot/P25159#expression","P25159")</f>
        <v>P25159</v>
      </c>
      <c r="BR420" s="2">
        <v>33</v>
      </c>
      <c r="BS420" s="2">
        <v>44</v>
      </c>
      <c r="BT420" s="2">
        <v>113</v>
      </c>
      <c r="BU420" s="2" t="s">
        <v>107</v>
      </c>
      <c r="BV420" s="9" t="str">
        <f>HYPERLINK(".\links\FLYBASE\AGAP007478-PA-FLYBASE.txt","FBpp0085963")</f>
        <v>FBpp0085963</v>
      </c>
      <c r="BW420" s="2" t="str">
        <f>HYPERLINK("http://flybase.org/reports/FBgn0003520#alliance_summary_container","6E-94")</f>
        <v>6E-94</v>
      </c>
      <c r="BX420" s="2">
        <v>914</v>
      </c>
      <c r="BY420" s="2">
        <v>42</v>
      </c>
      <c r="BZ420" s="2">
        <v>53</v>
      </c>
      <c r="CA420" s="2">
        <v>58</v>
      </c>
      <c r="CB420" s="9" t="str">
        <f>HYPERLINK(".\links\CDD\AGAP007478-PA-CDD.txt","Staufen_C, Staufen C-terminal domain")</f>
        <v>Staufen_C, Staufen C-terminal domain</v>
      </c>
      <c r="CC420" s="15">
        <v>6.0000000000000001E-32</v>
      </c>
      <c r="CD420" s="2">
        <v>106.4</v>
      </c>
      <c r="CE420" s="2" t="s">
        <v>4466</v>
      </c>
      <c r="CF420" s="2" t="s">
        <v>4467</v>
      </c>
      <c r="CG420" s="9" t="str">
        <f>HYPERLINK(".\links\KOG\AGAP007478-PA-KOG.txt","Staufen and related double-stranded-RNA-binding proteins")</f>
        <v>Staufen and related double-stranded-RNA-binding proteins</v>
      </c>
      <c r="CH420" s="15">
        <v>2E-45</v>
      </c>
      <c r="CI420" s="2">
        <v>115.9</v>
      </c>
      <c r="CJ420" s="2" t="s">
        <v>4468</v>
      </c>
      <c r="CK420" s="2" t="s">
        <v>4469</v>
      </c>
      <c r="CL420" s="9" t="str">
        <f>HYPERLINK(".\links\PFAM\AGAP007478-PA-PFAM.txt","Staufen_C, Staufen C-terminal domain")</f>
        <v>Staufen_C, Staufen C-terminal domain</v>
      </c>
      <c r="CM420" s="15">
        <v>1.0000000000000001E-32</v>
      </c>
      <c r="CN420" s="2">
        <v>106.4</v>
      </c>
      <c r="CO420" s="2" t="s">
        <v>4466</v>
      </c>
      <c r="CP420" s="9" t="str">
        <f>HYPERLINK(".\links\SMART\AGAP007478-PA-SMART.txt","DSRM, Double-stranded RNA binding motif")</f>
        <v>DSRM, Double-stranded RNA binding motif</v>
      </c>
      <c r="CQ420" s="15">
        <v>5.9999999999999999E-16</v>
      </c>
      <c r="CR420" s="2">
        <v>98.5</v>
      </c>
      <c r="CS420" s="2" t="s">
        <v>4470</v>
      </c>
      <c r="CT420" s="2" t="s">
        <v>4464</v>
      </c>
      <c r="CU420" s="2" t="s">
        <v>4464</v>
      </c>
      <c r="CV420" s="2" t="s">
        <v>4464</v>
      </c>
      <c r="CW420" s="2" t="str">
        <f>HYPERLINK(".\links\pep\AGAP007478-PA-pep.txt","AGAP007478-PA")</f>
        <v>AGAP007478-PA</v>
      </c>
      <c r="CX420" s="2" t="s">
        <v>95</v>
      </c>
      <c r="CY420" s="2">
        <v>1117</v>
      </c>
      <c r="CZ420" s="2" t="s">
        <v>113</v>
      </c>
      <c r="DA420" s="2" t="s">
        <v>4471</v>
      </c>
      <c r="DB420" s="2">
        <v>0</v>
      </c>
      <c r="DC420" s="2">
        <v>2</v>
      </c>
      <c r="DD420" s="2" t="str">
        <f>HYPERLINK("https://www.kegg.jp/kegg-bin/search_pathway_text?map=aga&amp;keyword=AGAP007478&amp;mode=1&amp;viewImage=true","AGAP007478")</f>
        <v>AGAP007478</v>
      </c>
      <c r="DE420" s="2" t="s">
        <v>4462</v>
      </c>
      <c r="DF420" s="2" t="s">
        <v>93</v>
      </c>
      <c r="DG420" s="2" t="s">
        <v>94</v>
      </c>
      <c r="DH420" s="2" t="str">
        <f>HYPERLINK("https://vectorbase.org/vectorbase/app/record/gene/AGAP007478","AGAP007478-RA")</f>
        <v>AGAP007478-RA</v>
      </c>
      <c r="DI420" s="2" t="s">
        <v>115</v>
      </c>
      <c r="DJ420" s="2">
        <v>6814</v>
      </c>
      <c r="DK420" s="2" t="str">
        <f>HYPERLINK(".\links\netoglyc\AGAP007478-PA-netoglyc.txt","10")</f>
        <v>10</v>
      </c>
      <c r="DL420" s="2">
        <v>13.4</v>
      </c>
      <c r="DM420" s="2">
        <v>11.5</v>
      </c>
      <c r="DN420" s="2">
        <v>9.5</v>
      </c>
      <c r="DO420" s="2" t="s">
        <v>104</v>
      </c>
      <c r="DP420" s="2" t="s">
        <v>4472</v>
      </c>
      <c r="DQ420" s="2" t="str">
        <f>HYPERLINK(".\links\Sigp\AGAP007478-PA-SigP.txt","CYT")</f>
        <v>CYT</v>
      </c>
      <c r="DR420" s="2" t="s">
        <v>102</v>
      </c>
      <c r="DS420" s="2">
        <v>116.23</v>
      </c>
      <c r="DT420" s="2">
        <v>9.51</v>
      </c>
      <c r="DU420" s="2" t="s">
        <v>102</v>
      </c>
      <c r="DV420" s="2" t="s">
        <v>102</v>
      </c>
      <c r="DW420" s="2" t="s">
        <v>211</v>
      </c>
      <c r="DX420" s="2">
        <v>1117</v>
      </c>
      <c r="DY420" s="12">
        <v>0</v>
      </c>
      <c r="DZ420" s="2" t="s">
        <v>102</v>
      </c>
      <c r="EA420" s="2" t="s">
        <v>102</v>
      </c>
      <c r="EB420" s="2" t="s">
        <v>102</v>
      </c>
      <c r="EC420" s="2" t="str">
        <f>HYPERLINK(".\links\gpi\AGAP007478-PA-gpi.txt","Y-NoSP")</f>
        <v>Y-NoSP</v>
      </c>
      <c r="ED420" s="2">
        <v>0.41</v>
      </c>
      <c r="EF420" s="2">
        <v>4</v>
      </c>
      <c r="EG420" s="2" t="str">
        <f>HYPERLINK(".\links\pep\AGAP007478-PA-sulf.txt","1")</f>
        <v>1</v>
      </c>
      <c r="EH420" s="2" t="s">
        <v>102</v>
      </c>
      <c r="EI420" s="2">
        <v>13.428827215756501</v>
      </c>
      <c r="EJ420" s="2">
        <v>9.4897045658012509</v>
      </c>
      <c r="EK420" s="2">
        <v>11.548791405550601</v>
      </c>
      <c r="EL420" s="2">
        <v>21.0384959713518</v>
      </c>
      <c r="EM420" s="2">
        <v>6</v>
      </c>
      <c r="EN420" s="2">
        <v>5</v>
      </c>
      <c r="EO420" s="2">
        <v>5</v>
      </c>
      <c r="EP420" s="2" t="s">
        <v>102</v>
      </c>
      <c r="EQ420" s="2" t="s">
        <v>102</v>
      </c>
      <c r="ER420" s="2" t="s">
        <v>102</v>
      </c>
      <c r="ES420" s="2" t="s">
        <v>102</v>
      </c>
      <c r="ET420" s="2" t="str">
        <f>HYPERLINK(".\links\REFSEQ-INVERTEBRATE\AGAP007478-PA-REFSEQ-INVERTEBRATE.txt","AGAP007478-PA")</f>
        <v>AGAP007478-PA</v>
      </c>
      <c r="EU420" s="2" t="str">
        <f>HYPERLINK("http://www.ncbi.nlm.nih.gov/sutils/blink.cgi?pid=XP_308394.4","0.0")</f>
        <v>0.0</v>
      </c>
      <c r="EV420" s="2" t="str">
        <f>HYPERLINK("http://www.ncbi.nlm.nih.gov/protein/XP_308394.4","XP_308394.4")</f>
        <v>XP_308394.4</v>
      </c>
      <c r="EW420" s="2">
        <v>99</v>
      </c>
      <c r="EX420" s="2">
        <v>100</v>
      </c>
      <c r="EY420" s="2">
        <v>94</v>
      </c>
      <c r="EZ420" s="2" t="s">
        <v>105</v>
      </c>
    </row>
    <row r="421" spans="1:156" x14ac:dyDescent="0.25">
      <c r="A421" s="2" t="s">
        <v>4473</v>
      </c>
      <c r="B421" s="2">
        <v>-0.34109065911282199</v>
      </c>
      <c r="C421" s="2">
        <f t="shared" si="6"/>
        <v>0.78944427637787373</v>
      </c>
      <c r="D421" s="2">
        <v>7.6139463364235302</v>
      </c>
      <c r="E421" s="2">
        <v>9.7647778888474708</v>
      </c>
      <c r="F421" s="2">
        <v>1.77887004983079E-3</v>
      </c>
      <c r="G421" s="2">
        <v>4.1346142313873603E-2</v>
      </c>
      <c r="H421" s="2" t="s">
        <v>4474</v>
      </c>
      <c r="I421" s="2" t="s">
        <v>94</v>
      </c>
      <c r="J421" s="2" t="str">
        <f>HYPERLINK("https://vectorbase.org/vectorbase/app/record/gene/AGAP007592","AGAP007592-RA")</f>
        <v>AGAP007592-RA</v>
      </c>
      <c r="K421" s="2" t="str">
        <f>HYPERLINK(".\links\pep\AGAP007592-PA-pep.txt","AGAP007592-PA")</f>
        <v>AGAP007592-PA</v>
      </c>
      <c r="L421" s="12" t="s">
        <v>95</v>
      </c>
      <c r="M421" s="2">
        <v>1875</v>
      </c>
      <c r="N421" s="2">
        <v>0</v>
      </c>
      <c r="O421" s="2">
        <v>7</v>
      </c>
      <c r="P421" s="2" t="s">
        <v>4475</v>
      </c>
      <c r="Q421" s="9" t="s">
        <v>4476</v>
      </c>
      <c r="R421" s="2" t="s">
        <v>358</v>
      </c>
      <c r="S421" s="2" t="str">
        <f>HYPERLINK(".\links\KOG\AGAP007592-PA-KOG.txt","KOG")</f>
        <v>KOG</v>
      </c>
      <c r="T421" s="2">
        <v>0</v>
      </c>
      <c r="U421" s="2">
        <v>76.400000000000006</v>
      </c>
      <c r="V421" s="2" t="s">
        <v>4477</v>
      </c>
      <c r="W421" s="10" t="s">
        <v>4478</v>
      </c>
      <c r="X421" s="2" t="s">
        <v>358</v>
      </c>
      <c r="Y421" s="2" t="str">
        <f>HYPERLINK(".\links\COG\AGAP007592-PA-COG.txt","COG")</f>
        <v>COG</v>
      </c>
      <c r="Z421" s="15">
        <v>3.9999999999999998E-75</v>
      </c>
      <c r="AA421" s="2">
        <v>59.5</v>
      </c>
      <c r="AB421" s="13" t="str">
        <f>HYPERLINK(".\links\pep\AGAP007592-PA-sulf.txt","11")</f>
        <v>11</v>
      </c>
      <c r="AC421" s="13" t="str">
        <f>HYPERLINK(".\links\Sigp\AGAP007592-PA-SigP.txt","CYT")</f>
        <v>CYT</v>
      </c>
      <c r="AD421" s="2" t="s">
        <v>102</v>
      </c>
      <c r="AE421" s="2">
        <v>208.41900000000001</v>
      </c>
      <c r="AF421" s="2">
        <v>5.34</v>
      </c>
      <c r="AG421" s="2" t="s">
        <v>102</v>
      </c>
      <c r="AH421" s="2" t="s">
        <v>102</v>
      </c>
      <c r="AI421" s="2" t="s">
        <v>2739</v>
      </c>
      <c r="AJ421" s="13">
        <v>0</v>
      </c>
      <c r="AK421" s="2" t="s">
        <v>102</v>
      </c>
      <c r="AL421" s="2" t="s">
        <v>102</v>
      </c>
      <c r="AM421" s="2" t="s">
        <v>102</v>
      </c>
      <c r="AN421" s="13" t="str">
        <f>HYPERLINK(".\links\gpi\AGAP007592-PA-gpi.txt","N")</f>
        <v>N</v>
      </c>
      <c r="AO421" s="14" t="str">
        <f>HYPERLINK(".\links\netoglyc\AGAP007592-PA-netoglyc.txt","6")</f>
        <v>6</v>
      </c>
      <c r="AP421" s="13">
        <v>15.6</v>
      </c>
      <c r="AQ421" s="2">
        <v>6.1</v>
      </c>
      <c r="AR421" s="2">
        <v>4.5</v>
      </c>
      <c r="AS421" s="2" t="s">
        <v>104</v>
      </c>
      <c r="AT421" s="9" t="str">
        <f>HYPERLINK(".\links\NR-LIGHT\AGAP007592-PA-NR-LIGHT.txt","AGAP007592-PA")</f>
        <v>AGAP007592-PA</v>
      </c>
      <c r="AU421" s="2" t="str">
        <f>HYPERLINK("http://www.ncbi.nlm.nih.gov/sutils/blink.cgi?pid=XP_308280.4","0.0")</f>
        <v>0.0</v>
      </c>
      <c r="AV421" s="2" t="str">
        <f>HYPERLINK("http://www.ncbi.nlm.nih.gov/protein/XP_308280.4","XP_308280.4")</f>
        <v>XP_308280.4</v>
      </c>
      <c r="AW421" s="2">
        <v>95</v>
      </c>
      <c r="AX421" s="2">
        <v>95</v>
      </c>
      <c r="AY421" s="2">
        <v>98</v>
      </c>
      <c r="AZ421" s="2" t="s">
        <v>105</v>
      </c>
      <c r="BA421" s="9" t="str">
        <f>HYPERLINK(".\links\REFSEQ-INVERTEBRATE\AGAP007592-PA-REFSEQ-INVERTEBRATE.txt","AGAP007592-PA")</f>
        <v>AGAP007592-PA</v>
      </c>
      <c r="BB421" s="2" t="str">
        <f>HYPERLINK("http://www.ncbi.nlm.nih.gov/sutils/blink.cgi?pid=XP_308280.4","0.0")</f>
        <v>0.0</v>
      </c>
      <c r="BC421" s="2" t="str">
        <f>HYPERLINK("http://www.ncbi.nlm.nih.gov/protein/XP_308280.4","XP_308280.4")</f>
        <v>XP_308280.4</v>
      </c>
      <c r="BD421" s="2">
        <v>95</v>
      </c>
      <c r="BE421" s="2">
        <v>95</v>
      </c>
      <c r="BF421" s="2">
        <v>98</v>
      </c>
      <c r="BG421" s="2" t="s">
        <v>105</v>
      </c>
      <c r="BH421" s="9" t="str">
        <f>HYPERLINK(".\links\REFSEQ-PROTOZOA\AGAP007592-PA-REFSEQ-PROTOZOA.txt","kinesin family member 13B")</f>
        <v>kinesin family member 13B</v>
      </c>
      <c r="BI421" s="2" t="str">
        <f>HYPERLINK("http://www.ncbi.nlm.nih.gov/sutils/blink.cgi?pid=XP_004342908.2","0.0")</f>
        <v>0.0</v>
      </c>
      <c r="BJ421" s="2" t="str">
        <f>HYPERLINK("http://www.ncbi.nlm.nih.gov/protein/XP_004342908.2","XP_004342908.2")</f>
        <v>XP_004342908.2</v>
      </c>
      <c r="BK421" s="2">
        <v>41</v>
      </c>
      <c r="BL421" s="2">
        <v>55</v>
      </c>
      <c r="BM421" s="2">
        <v>60</v>
      </c>
      <c r="BN421" s="2" t="s">
        <v>106</v>
      </c>
      <c r="BO421" s="9" t="str">
        <f>HYPERLINK(".\links\SWISSP\AGAP007592-PA-SWISSP.txt","Kinesin-like protein KIF13A")</f>
        <v>Kinesin-like protein KIF13A</v>
      </c>
      <c r="BP421" s="2" t="str">
        <f>HYPERLINK("http://www.uniprot.org/uniprot/Q9EQW7","0.0")</f>
        <v>0.0</v>
      </c>
      <c r="BQ421" s="2" t="str">
        <f>HYPERLINK("http://www.uniprot.org/uniprot/Q9EQW7#expression","Q9EQW7")</f>
        <v>Q9EQW7</v>
      </c>
      <c r="BR421" s="2">
        <v>54</v>
      </c>
      <c r="BS421" s="2">
        <v>68</v>
      </c>
      <c r="BT421" s="2">
        <v>93</v>
      </c>
      <c r="BU421" s="2" t="s">
        <v>662</v>
      </c>
      <c r="BV421" s="9" t="str">
        <f>HYPERLINK(".\links\FLYBASE\AGAP007592-PA-FLYBASE.txt","FBpp0302988")</f>
        <v>FBpp0302988</v>
      </c>
      <c r="BW421" s="2" t="str">
        <f>HYPERLINK("http://flybase.org/reports/FBgn0019968#alliance_summary_container","0.0")</f>
        <v>0.0</v>
      </c>
      <c r="BX421" s="2">
        <v>1908</v>
      </c>
      <c r="BY421" s="2">
        <v>71</v>
      </c>
      <c r="BZ421" s="2">
        <v>81</v>
      </c>
      <c r="CA421" s="2">
        <v>86</v>
      </c>
      <c r="CB421" s="9" t="str">
        <f>HYPERLINK(".\links\CDD\AGAP007592-PA-CDD.txt","KISc_KIF1A_KIF1B, Kinesin motor domain, KIF1_like proteins")</f>
        <v>KISc_KIF1A_KIF1B, Kinesin motor domain, KIF1_like proteins</v>
      </c>
      <c r="CC421" s="15">
        <v>9.9999999999999998E-172</v>
      </c>
      <c r="CD421" s="2">
        <v>100</v>
      </c>
      <c r="CE421" s="2" t="s">
        <v>4479</v>
      </c>
      <c r="CF421" s="2" t="s">
        <v>4480</v>
      </c>
      <c r="CG421" s="9" t="str">
        <f>HYPERLINK(".\links\KOG\AGAP007592-PA-KOG.txt","Kinesin-like protein")</f>
        <v>Kinesin-like protein</v>
      </c>
      <c r="CH421" s="15">
        <v>0</v>
      </c>
      <c r="CI421" s="2">
        <v>108.5</v>
      </c>
      <c r="CJ421" s="2" t="s">
        <v>4481</v>
      </c>
      <c r="CK421" s="2" t="s">
        <v>131</v>
      </c>
      <c r="CL421" s="9" t="str">
        <f>HYPERLINK(".\links\PFAM\AGAP007592-PA-PFAM.txt","Kinesin, Kinesin motor domain")</f>
        <v>Kinesin, Kinesin motor domain</v>
      </c>
      <c r="CM421" s="15">
        <v>1E-127</v>
      </c>
      <c r="CN421" s="2">
        <v>104.6</v>
      </c>
      <c r="CO421" s="2" t="s">
        <v>4482</v>
      </c>
      <c r="CP421" s="9" t="str">
        <f>HYPERLINK(".\links\SMART\AGAP007592-PA-SMART.txt","KISc, Kinesin motor, catalytic domain")</f>
        <v>KISc, Kinesin motor, catalytic domain</v>
      </c>
      <c r="CQ421" s="15">
        <v>9.9999999999999993E-130</v>
      </c>
      <c r="CR421" s="2">
        <v>106</v>
      </c>
      <c r="CS421" s="2" t="s">
        <v>642</v>
      </c>
      <c r="CT421" s="2" t="s">
        <v>4477</v>
      </c>
      <c r="CU421" s="2" t="s">
        <v>4477</v>
      </c>
      <c r="CV421" s="2" t="s">
        <v>4477</v>
      </c>
      <c r="CW421" s="2" t="str">
        <f>HYPERLINK(".\links\pep\AGAP007592-PA-pep.txt","AGAP007592-PA")</f>
        <v>AGAP007592-PA</v>
      </c>
      <c r="CX421" s="2" t="s">
        <v>95</v>
      </c>
      <c r="CY421" s="2">
        <v>1875</v>
      </c>
      <c r="CZ421" s="2" t="s">
        <v>113</v>
      </c>
      <c r="DA421" s="2" t="s">
        <v>4483</v>
      </c>
      <c r="DB421" s="2">
        <v>0</v>
      </c>
      <c r="DC421" s="2">
        <v>7</v>
      </c>
      <c r="DD421" s="2" t="str">
        <f>HYPERLINK("https://www.kegg.jp/kegg-bin/search_pathway_text?map=aga&amp;keyword=AGAP007592&amp;mode=1&amp;viewImage=true","AGAP007592")</f>
        <v>AGAP007592</v>
      </c>
      <c r="DE421" s="2" t="s">
        <v>4473</v>
      </c>
      <c r="DF421" s="2" t="s">
        <v>4474</v>
      </c>
      <c r="DG421" s="2" t="s">
        <v>94</v>
      </c>
      <c r="DH421" s="2" t="str">
        <f>HYPERLINK("https://vectorbase.org/vectorbase/app/record/gene/AGAP007592","AGAP007592-RA")</f>
        <v>AGAP007592-RA</v>
      </c>
      <c r="DI421" s="2" t="s">
        <v>115</v>
      </c>
      <c r="DJ421" s="2">
        <v>11148</v>
      </c>
      <c r="DK421" s="2" t="str">
        <f>HYPERLINK(".\links\netoglyc\AGAP007592-PA-netoglyc.txt","6")</f>
        <v>6</v>
      </c>
      <c r="DL421" s="2">
        <v>15.6</v>
      </c>
      <c r="DM421" s="2">
        <v>6.1</v>
      </c>
      <c r="DN421" s="2">
        <v>4.5</v>
      </c>
      <c r="DO421" s="2" t="s">
        <v>104</v>
      </c>
      <c r="DP421" s="2" t="s">
        <v>4484</v>
      </c>
      <c r="DQ421" s="2" t="str">
        <f>HYPERLINK(".\links\Sigp\AGAP007592-PA-SigP.txt","CYT")</f>
        <v>CYT</v>
      </c>
      <c r="DR421" s="2" t="s">
        <v>102</v>
      </c>
      <c r="DS421" s="2">
        <v>208.41900000000001</v>
      </c>
      <c r="DT421" s="2">
        <v>5.34</v>
      </c>
      <c r="DU421" s="2" t="s">
        <v>102</v>
      </c>
      <c r="DV421" s="2" t="s">
        <v>102</v>
      </c>
      <c r="DW421" s="2" t="s">
        <v>2739</v>
      </c>
      <c r="DX421" s="2">
        <v>1875</v>
      </c>
      <c r="DY421" s="12">
        <v>0</v>
      </c>
      <c r="DZ421" s="2" t="s">
        <v>102</v>
      </c>
      <c r="EA421" s="2" t="s">
        <v>102</v>
      </c>
      <c r="EB421" s="2" t="s">
        <v>102</v>
      </c>
      <c r="EC421" s="2" t="str">
        <f>HYPERLINK(".\links\gpi\AGAP007592-PA-gpi.txt","N")</f>
        <v>N</v>
      </c>
      <c r="ED421" s="2">
        <v>0.13</v>
      </c>
      <c r="EF421" s="2">
        <v>20</v>
      </c>
      <c r="EG421" s="2" t="str">
        <f>HYPERLINK(".\links\pep\AGAP007592-PA-sulf.txt","11")</f>
        <v>11</v>
      </c>
      <c r="EH421" s="2" t="s">
        <v>102</v>
      </c>
      <c r="EI421" s="2">
        <v>15.5733333333333</v>
      </c>
      <c r="EJ421" s="2">
        <v>4.4800000000000004</v>
      </c>
      <c r="EK421" s="2">
        <v>6.1333333333333302</v>
      </c>
      <c r="EL421" s="2">
        <v>10.6133333333333</v>
      </c>
      <c r="EM421" s="2">
        <v>2</v>
      </c>
      <c r="EN421" s="2">
        <v>3</v>
      </c>
      <c r="EO421" s="2">
        <v>3</v>
      </c>
      <c r="EP421" s="2" t="s">
        <v>102</v>
      </c>
      <c r="EQ421" s="2" t="s">
        <v>102</v>
      </c>
      <c r="ER421" s="2" t="s">
        <v>102</v>
      </c>
      <c r="ES421" s="2" t="s">
        <v>102</v>
      </c>
      <c r="ET421" s="2" t="str">
        <f>HYPERLINK(".\links\REFSEQ-INVERTEBRATE\AGAP007592-PA-REFSEQ-INVERTEBRATE.txt","kinesin-like protein KIF13A isoform X4")</f>
        <v>kinesin-like protein KIF13A isoform X4</v>
      </c>
      <c r="EU421" s="2" t="str">
        <f>HYPERLINK("http://www.ncbi.nlm.nih.gov/sutils/blink.cgi?pid=XP_035911767.1","0.0")</f>
        <v>0.0</v>
      </c>
      <c r="EV421" s="2" t="str">
        <f>HYPERLINK("http://www.ncbi.nlm.nih.gov/protein/XP_035911767.1","XP_035911767.1")</f>
        <v>XP_035911767.1</v>
      </c>
      <c r="EW421" s="2">
        <v>94</v>
      </c>
      <c r="EX421" s="2">
        <v>96</v>
      </c>
      <c r="EY421" s="2">
        <v>100</v>
      </c>
      <c r="EZ421" s="2" t="s">
        <v>370</v>
      </c>
    </row>
    <row r="422" spans="1:156" x14ac:dyDescent="0.25">
      <c r="A422" s="2" t="s">
        <v>4485</v>
      </c>
      <c r="B422" s="2">
        <v>-0.34240535773769698</v>
      </c>
      <c r="C422" s="2">
        <f t="shared" si="6"/>
        <v>0.78872519956764764</v>
      </c>
      <c r="D422" s="2">
        <v>7.8795481163372303</v>
      </c>
      <c r="E422" s="2">
        <v>9.4580828881091694</v>
      </c>
      <c r="F422" s="2">
        <v>2.1022067051904201E-3</v>
      </c>
      <c r="G422" s="2">
        <v>4.4498173263083501E-2</v>
      </c>
      <c r="H422" s="2" t="s">
        <v>4486</v>
      </c>
      <c r="I422" s="2" t="s">
        <v>94</v>
      </c>
      <c r="J422" s="2" t="str">
        <f>HYPERLINK("https://vectorbase.org/vectorbase/app/record/gene/AGAP006038","AGAP006038-RA")</f>
        <v>AGAP006038-RA</v>
      </c>
      <c r="K422" s="2" t="str">
        <f>HYPERLINK(".\links\pep\AGAP006038-PA-pep.txt","AGAP006038-PA")</f>
        <v>AGAP006038-PA</v>
      </c>
      <c r="L422" s="12" t="s">
        <v>95</v>
      </c>
      <c r="M422" s="2">
        <v>1393</v>
      </c>
      <c r="N422" s="2">
        <v>0</v>
      </c>
      <c r="O422" s="2">
        <v>2</v>
      </c>
      <c r="P422" s="2" t="s">
        <v>4487</v>
      </c>
      <c r="Q422" s="9" t="s">
        <v>4488</v>
      </c>
      <c r="R422" s="2" t="s">
        <v>420</v>
      </c>
      <c r="S422" s="2" t="str">
        <f>HYPERLINK(".\links\KOG\AGAP006038-PA-KOG.txt","KOG")</f>
        <v>KOG</v>
      </c>
      <c r="T422" s="2">
        <v>2E-12</v>
      </c>
      <c r="U422" s="2">
        <v>40.6</v>
      </c>
      <c r="V422" s="2" t="s">
        <v>4489</v>
      </c>
      <c r="W422" s="10" t="s">
        <v>4490</v>
      </c>
      <c r="X422" s="2" t="s">
        <v>420</v>
      </c>
      <c r="Y422" s="2" t="str">
        <f>HYPERLINK(".\links\UNIPROTKB\AGAP006038-PA-UNIPROTKB.txt","UNIPROTKB")</f>
        <v>UNIPROTKB</v>
      </c>
      <c r="Z422" s="15">
        <v>2.9999999999999998E-18</v>
      </c>
      <c r="AA422" s="2">
        <v>45.3</v>
      </c>
      <c r="AB422" s="13" t="str">
        <f>HYPERLINK(".\links\pep\AGAP006038-PA-sulf.txt","1")</f>
        <v>1</v>
      </c>
      <c r="AC422" s="13" t="str">
        <f>HYPERLINK(".\links\Sigp\AGAP006038-PA-SigP.txt","CYT")</f>
        <v>CYT</v>
      </c>
      <c r="AD422" s="2" t="s">
        <v>102</v>
      </c>
      <c r="AE422" s="2">
        <v>156.19399999999999</v>
      </c>
      <c r="AF422" s="2">
        <v>10.77</v>
      </c>
      <c r="AG422" s="2" t="s">
        <v>102</v>
      </c>
      <c r="AH422" s="2" t="s">
        <v>102</v>
      </c>
      <c r="AI422" s="2" t="s">
        <v>211</v>
      </c>
      <c r="AJ422" s="13">
        <v>0</v>
      </c>
      <c r="AK422" s="2" t="s">
        <v>102</v>
      </c>
      <c r="AL422" s="2" t="s">
        <v>102</v>
      </c>
      <c r="AM422" s="2" t="s">
        <v>102</v>
      </c>
      <c r="AN422" s="13" t="str">
        <f>HYPERLINK(".\links\gpi\AGAP006038-PA-gpi.txt","N")</f>
        <v>N</v>
      </c>
      <c r="AO422" s="14" t="str">
        <f>HYPERLINK(".\links\netoglyc\AGAP006038-PA-netoglyc.txt","12")</f>
        <v>12</v>
      </c>
      <c r="AP422" s="13">
        <v>21.8</v>
      </c>
      <c r="AQ422" s="2">
        <v>5.2</v>
      </c>
      <c r="AR422" s="2">
        <v>5.7</v>
      </c>
      <c r="AS422" s="2">
        <v>0.2</v>
      </c>
      <c r="AT422" s="9" t="str">
        <f>HYPERLINK(".\links\NR-LIGHT\AGAP006038-PA-NR-LIGHT.txt","AGAP006038-PA")</f>
        <v>AGAP006038-PA</v>
      </c>
      <c r="AU422" s="2" t="str">
        <f>HYPERLINK("http://www.ncbi.nlm.nih.gov/sutils/blink.cgi?pid=XP_316086.4","0.0")</f>
        <v>0.0</v>
      </c>
      <c r="AV422" s="2" t="str">
        <f>HYPERLINK("http://www.ncbi.nlm.nih.gov/protein/XP_316086.4","XP_316086.4")</f>
        <v>XP_316086.4</v>
      </c>
      <c r="AW422" s="2">
        <v>97</v>
      </c>
      <c r="AX422" s="2">
        <v>98</v>
      </c>
      <c r="AY422" s="2">
        <v>102</v>
      </c>
      <c r="AZ422" s="2" t="s">
        <v>105</v>
      </c>
      <c r="BA422" s="9" t="str">
        <f>HYPERLINK(".\links\REFSEQ-INVERTEBRATE\AGAP006038-PA-REFSEQ-INVERTEBRATE.txt","AGAP006038-PA")</f>
        <v>AGAP006038-PA</v>
      </c>
      <c r="BB422" s="2" t="str">
        <f>HYPERLINK("http://www.ncbi.nlm.nih.gov/sutils/blink.cgi?pid=XP_316086.4","0.0")</f>
        <v>0.0</v>
      </c>
      <c r="BC422" s="2" t="str">
        <f>HYPERLINK("http://www.ncbi.nlm.nih.gov/protein/XP_316086.4","XP_316086.4")</f>
        <v>XP_316086.4</v>
      </c>
      <c r="BD422" s="2">
        <v>97</v>
      </c>
      <c r="BE422" s="2">
        <v>98</v>
      </c>
      <c r="BF422" s="2">
        <v>102</v>
      </c>
      <c r="BG422" s="2" t="s">
        <v>105</v>
      </c>
      <c r="BH422" s="9" t="str">
        <f>HYPERLINK(".\links\REFSEQ-PROTOZOA\AGAP006038-PA-REFSEQ-PROTOZOA.txt","hypothetical protein, conserved")</f>
        <v>hypothetical protein, conserved</v>
      </c>
      <c r="BI422" s="2" t="str">
        <f>HYPERLINK("http://www.ncbi.nlm.nih.gov/sutils/blink.cgi?pid=XP_013230148.1","5E-062")</f>
        <v>5E-062</v>
      </c>
      <c r="BJ422" s="2" t="str">
        <f>HYPERLINK("http://www.ncbi.nlm.nih.gov/protein/XP_013230148.1","XP_013230148.1")</f>
        <v>XP_013230148.1</v>
      </c>
      <c r="BK422" s="2">
        <v>24</v>
      </c>
      <c r="BL422" s="2">
        <v>40</v>
      </c>
      <c r="BM422" s="2">
        <v>63</v>
      </c>
      <c r="BN422" s="2" t="s">
        <v>4491</v>
      </c>
      <c r="BO422" s="9" t="str">
        <f>HYPERLINK(".\links\SWISSP\AGAP006038-PA-SWISSP.txt","Serine/arginine repetitive matrix protein 2")</f>
        <v>Serine/arginine repetitive matrix protein 2</v>
      </c>
      <c r="BP422" s="2" t="str">
        <f>HYPERLINK("http://www.uniprot.org/uniprot/Q9UQ35","4E-088")</f>
        <v>4E-088</v>
      </c>
      <c r="BQ422" s="2" t="str">
        <f>HYPERLINK("http://www.uniprot.org/uniprot/Q9UQ35#expression","Q9UQ35")</f>
        <v>Q9UQ35</v>
      </c>
      <c r="BR422" s="2">
        <v>25</v>
      </c>
      <c r="BS422" s="2">
        <v>39</v>
      </c>
      <c r="BT422" s="2">
        <v>55</v>
      </c>
      <c r="BU422" s="2" t="s">
        <v>127</v>
      </c>
      <c r="BV422" s="9" t="str">
        <f>HYPERLINK(".\links\FLYBASE\AGAP006038-PA-FLYBASE.txt","FBpp0301191")</f>
        <v>FBpp0301191</v>
      </c>
      <c r="BW422" s="2" t="str">
        <f>HYPERLINK("http://flybase.org/reports/FBgn0035253#alliance_summary_container","4E-79")</f>
        <v>4E-79</v>
      </c>
      <c r="BX422" s="2">
        <v>1062</v>
      </c>
      <c r="BY422" s="2">
        <v>63</v>
      </c>
      <c r="BZ422" s="2">
        <v>75</v>
      </c>
      <c r="CA422" s="2">
        <v>21</v>
      </c>
      <c r="CB422" s="9" t="str">
        <f>HYPERLINK(".\links\CDD\AGAP006038-PA-CDD.txt","PRK12678, transcription termination factor Rho")</f>
        <v>PRK12678, transcription termination factor Rho</v>
      </c>
      <c r="CC422" s="15">
        <v>2E-16</v>
      </c>
      <c r="CD422" s="2">
        <v>33.5</v>
      </c>
      <c r="CE422" s="2" t="s">
        <v>4492</v>
      </c>
      <c r="CF422" s="2" t="s">
        <v>4493</v>
      </c>
      <c r="CG422" s="9" t="str">
        <f>HYPERLINK(".\links\KOG\AGAP006038-PA-KOG.txt","U4/U6-associated splicing factor PRP4")</f>
        <v>U4/U6-associated splicing factor PRP4</v>
      </c>
      <c r="CH422" s="15">
        <v>2E-12</v>
      </c>
      <c r="CI422" s="2">
        <v>40.700000000000003</v>
      </c>
      <c r="CJ422" s="2" t="s">
        <v>3150</v>
      </c>
      <c r="CK422" s="2" t="s">
        <v>722</v>
      </c>
      <c r="CL422" s="9" t="str">
        <f>HYPERLINK(".\links\PFAM\AGAP006038-PA-PFAM.txt","cwf21, cwf21 domain")</f>
        <v>cwf21, cwf21 domain</v>
      </c>
      <c r="CM422" s="15">
        <v>1.0000000000000001E-9</v>
      </c>
      <c r="CN422" s="2">
        <v>97.7</v>
      </c>
      <c r="CO422" s="2" t="s">
        <v>4494</v>
      </c>
      <c r="CP422" s="9" t="str">
        <f>HYPERLINK(".\links\SMART\AGAP006038-PA-SMART.txt","Brr6_like_C_C, Di-sulfide bridge nucleocytoplasmic transport domain")</f>
        <v>Brr6_like_C_C, Di-sulfide bridge nucleocytoplasmic transport domain</v>
      </c>
      <c r="CQ422" s="15">
        <v>9.0999999999999998E-2</v>
      </c>
      <c r="CR422" s="2">
        <v>17.2</v>
      </c>
      <c r="CS422" s="2" t="s">
        <v>4495</v>
      </c>
      <c r="CT422" s="2" t="s">
        <v>4489</v>
      </c>
      <c r="CU422" s="2" t="s">
        <v>4489</v>
      </c>
      <c r="CV422" s="2" t="s">
        <v>4489</v>
      </c>
      <c r="CW422" s="2" t="str">
        <f>HYPERLINK(".\links\pep\AGAP006038-PA-pep.txt","AGAP006038-PA")</f>
        <v>AGAP006038-PA</v>
      </c>
      <c r="CX422" s="2" t="s">
        <v>95</v>
      </c>
      <c r="CY422" s="2">
        <v>1393</v>
      </c>
      <c r="CZ422" s="2" t="s">
        <v>113</v>
      </c>
      <c r="DA422" s="2" t="s">
        <v>4496</v>
      </c>
      <c r="DB422" s="2">
        <v>0</v>
      </c>
      <c r="DC422" s="2">
        <v>2</v>
      </c>
      <c r="DD422" s="2" t="str">
        <f>HYPERLINK("https://www.kegg.jp/kegg-bin/search_pathway_text?map=aga&amp;keyword=AGAP006038&amp;mode=1&amp;viewImage=true","AGAP006038")</f>
        <v>AGAP006038</v>
      </c>
      <c r="DE422" s="2" t="s">
        <v>4485</v>
      </c>
      <c r="DF422" s="2" t="s">
        <v>4486</v>
      </c>
      <c r="DG422" s="2" t="s">
        <v>94</v>
      </c>
      <c r="DH422" s="2" t="str">
        <f>HYPERLINK("https://vectorbase.org/vectorbase/app/record/gene/AGAP006038","AGAP006038-RA")</f>
        <v>AGAP006038-RA</v>
      </c>
      <c r="DI422" s="2" t="s">
        <v>90</v>
      </c>
      <c r="DJ422" s="2">
        <v>4832</v>
      </c>
      <c r="DK422" s="2" t="str">
        <f>HYPERLINK(".\links\netoglyc\AGAP006038-PA-netoglyc.txt","12")</f>
        <v>12</v>
      </c>
      <c r="DL422" s="2">
        <v>21.8</v>
      </c>
      <c r="DM422" s="2">
        <v>5.2</v>
      </c>
      <c r="DN422" s="2">
        <v>5.7</v>
      </c>
      <c r="DO422" s="2">
        <v>0.2</v>
      </c>
      <c r="DP422" s="2" t="s">
        <v>4497</v>
      </c>
      <c r="DQ422" s="2" t="str">
        <f>HYPERLINK(".\links\Sigp\AGAP006038-PA-SigP.txt","CYT")</f>
        <v>CYT</v>
      </c>
      <c r="DR422" s="2" t="s">
        <v>102</v>
      </c>
      <c r="DS422" s="2">
        <v>156.19399999999999</v>
      </c>
      <c r="DT422" s="2">
        <v>10.77</v>
      </c>
      <c r="DU422" s="2" t="s">
        <v>102</v>
      </c>
      <c r="DV422" s="2" t="s">
        <v>102</v>
      </c>
      <c r="DW422" s="2" t="s">
        <v>211</v>
      </c>
      <c r="DX422" s="2">
        <v>1393</v>
      </c>
      <c r="DY422" s="12">
        <v>0</v>
      </c>
      <c r="DZ422" s="2" t="s">
        <v>102</v>
      </c>
      <c r="EA422" s="2" t="s">
        <v>102</v>
      </c>
      <c r="EB422" s="2" t="s">
        <v>102</v>
      </c>
      <c r="EC422" s="2" t="str">
        <f>HYPERLINK(".\links\gpi\AGAP006038-PA-gpi.txt","Y-NoSP")</f>
        <v>Y-NoSP</v>
      </c>
      <c r="ED422" s="2">
        <v>0.56999999999999995</v>
      </c>
      <c r="EF422" s="2">
        <v>2</v>
      </c>
      <c r="EG422" s="2" t="str">
        <f>HYPERLINK(".\links\pep\AGAP006038-PA-sulf.txt","1")</f>
        <v>1</v>
      </c>
      <c r="EH422" s="2" t="s">
        <v>102</v>
      </c>
      <c r="EI422" s="2">
        <v>21.823402727925298</v>
      </c>
      <c r="EJ422" s="2">
        <v>5.6712132089016496</v>
      </c>
      <c r="EK422" s="2">
        <v>5.2404881550610201</v>
      </c>
      <c r="EL422" s="2">
        <v>10.911701363962701</v>
      </c>
      <c r="EM422" s="2" t="s">
        <v>102</v>
      </c>
      <c r="EN422" s="2">
        <v>1</v>
      </c>
      <c r="EO422" s="2">
        <v>2</v>
      </c>
      <c r="EP422" s="2" t="s">
        <v>102</v>
      </c>
      <c r="EQ422" s="2" t="s">
        <v>102</v>
      </c>
      <c r="ER422" s="2" t="s">
        <v>102</v>
      </c>
      <c r="ES422" s="2" t="s">
        <v>102</v>
      </c>
      <c r="ET422" s="2" t="str">
        <f>HYPERLINK(".\links\REFSEQ-INVERTEBRATE\AGAP006038-PA-REFSEQ-INVERTEBRATE.txt","AGAP006038-PA")</f>
        <v>AGAP006038-PA</v>
      </c>
      <c r="EU422" s="2" t="str">
        <f>HYPERLINK("http://www.ncbi.nlm.nih.gov/sutils/blink.cgi?pid=XP_316086.4","0.0")</f>
        <v>0.0</v>
      </c>
      <c r="EV422" s="2" t="str">
        <f>HYPERLINK("http://www.ncbi.nlm.nih.gov/protein/XP_316086.4","XP_316086.4")</f>
        <v>XP_316086.4</v>
      </c>
      <c r="EW422" s="2">
        <v>99</v>
      </c>
      <c r="EX422" s="2">
        <v>100</v>
      </c>
      <c r="EY422" s="2">
        <v>74</v>
      </c>
      <c r="EZ422" s="2" t="s">
        <v>105</v>
      </c>
    </row>
    <row r="423" spans="1:156" x14ac:dyDescent="0.25">
      <c r="A423" s="2" t="s">
        <v>4498</v>
      </c>
      <c r="B423" s="2">
        <v>-0.34580145246645999</v>
      </c>
      <c r="C423" s="2">
        <f t="shared" si="6"/>
        <v>0.78687072914748823</v>
      </c>
      <c r="D423" s="2">
        <v>5.7860469885197796</v>
      </c>
      <c r="E423" s="2">
        <v>10.4668163562161</v>
      </c>
      <c r="F423" s="2">
        <v>1.21537989178567E-3</v>
      </c>
      <c r="G423" s="2">
        <v>3.4920025753783702E-2</v>
      </c>
      <c r="H423" s="2" t="s">
        <v>4499</v>
      </c>
      <c r="I423" s="2" t="s">
        <v>94</v>
      </c>
      <c r="J423" s="2" t="str">
        <f>HYPERLINK("https://vectorbase.org/vectorbase/app/record/gene/AGAP001979","AGAP001979-RA")</f>
        <v>AGAP001979-RA</v>
      </c>
      <c r="K423" s="2" t="str">
        <f>HYPERLINK(".\links\pep\AGAP001979-PA-pep.txt","AGAP001979-PA")</f>
        <v>AGAP001979-PA</v>
      </c>
      <c r="L423" s="12" t="s">
        <v>95</v>
      </c>
      <c r="M423" s="2">
        <v>2072</v>
      </c>
      <c r="N423" s="2">
        <v>0</v>
      </c>
      <c r="O423" s="2">
        <v>4</v>
      </c>
      <c r="P423" s="2" t="s">
        <v>4500</v>
      </c>
      <c r="Q423" s="9" t="s">
        <v>4501</v>
      </c>
      <c r="R423" s="2" t="s">
        <v>495</v>
      </c>
      <c r="S423" s="2" t="str">
        <f>HYPERLINK(".\links\KOG\AGAP001979-PA-KOG.txt","KOG")</f>
        <v>KOG</v>
      </c>
      <c r="T423" s="2">
        <v>7.9999999999999997E-38</v>
      </c>
      <c r="U423" s="2">
        <v>104</v>
      </c>
      <c r="V423" s="2" t="s">
        <v>4502</v>
      </c>
      <c r="W423" s="10" t="s">
        <v>4503</v>
      </c>
      <c r="X423" s="2" t="s">
        <v>164</v>
      </c>
      <c r="Y423" s="2" t="str">
        <f>HYPERLINK(".\links\ARTHORPODA\AGAP001979-PA-ARTHORPODA.txt","ARTHORPODA")</f>
        <v>ARTHORPODA</v>
      </c>
      <c r="Z423" s="2">
        <v>0</v>
      </c>
      <c r="AA423" s="2">
        <v>61.5</v>
      </c>
      <c r="AB423" s="13" t="str">
        <f>HYPERLINK(".\links\pep\AGAP001979-PA-sulf.txt","2")</f>
        <v>2</v>
      </c>
      <c r="AC423" s="13" t="str">
        <f>HYPERLINK(".\links\Sigp\AGAP001979-PA-SigP.txt","CYT")</f>
        <v>CYT</v>
      </c>
      <c r="AD423" s="2" t="s">
        <v>102</v>
      </c>
      <c r="AE423" s="2">
        <v>220.761</v>
      </c>
      <c r="AF423" s="2">
        <v>4.29</v>
      </c>
      <c r="AG423" s="2" t="s">
        <v>102</v>
      </c>
      <c r="AH423" s="2" t="s">
        <v>102</v>
      </c>
      <c r="AI423" s="2" t="s">
        <v>4504</v>
      </c>
      <c r="AJ423" s="13" t="str">
        <f>HYPERLINK(".\links\tmhmm\AGAP001979-PA-tmhmm.txt","1")</f>
        <v>1</v>
      </c>
      <c r="AK423" s="2">
        <v>1.1000000000000001</v>
      </c>
      <c r="AL423" s="2">
        <v>88.4</v>
      </c>
      <c r="AM423" s="2">
        <v>10.5</v>
      </c>
      <c r="AN423" s="13" t="str">
        <f>HYPERLINK(".\links\gpi\AGAP001979-PA-gpi.txt","N")</f>
        <v>N</v>
      </c>
      <c r="AO423" s="14" t="str">
        <f>HYPERLINK(".\links\netoglyc\AGAP001979-PA-netoglyc.txt","145")</f>
        <v>145</v>
      </c>
      <c r="AP423" s="13">
        <v>22.9</v>
      </c>
      <c r="AQ423" s="2">
        <v>6</v>
      </c>
      <c r="AR423" s="2">
        <v>9</v>
      </c>
      <c r="AS423" s="2" t="s">
        <v>104</v>
      </c>
      <c r="AT423" s="9" t="str">
        <f>HYPERLINK(".\links\NR-LIGHT\AGAP001979-PA-NR-LIGHT.txt","AGAP001979-PA")</f>
        <v>AGAP001979-PA</v>
      </c>
      <c r="AU423" s="2" t="str">
        <f>HYPERLINK("http://www.ncbi.nlm.nih.gov/sutils/blink.cgi?pid=XP_321085.4","0.0")</f>
        <v>0.0</v>
      </c>
      <c r="AV423" s="2" t="str">
        <f>HYPERLINK("http://www.ncbi.nlm.nih.gov/protein/XP_321085.4","XP_321085.4")</f>
        <v>XP_321085.4</v>
      </c>
      <c r="AW423" s="2">
        <v>97</v>
      </c>
      <c r="AX423" s="2">
        <v>97</v>
      </c>
      <c r="AY423" s="2">
        <v>100</v>
      </c>
      <c r="AZ423" s="2" t="s">
        <v>105</v>
      </c>
      <c r="BA423" s="9" t="str">
        <f>HYPERLINK(".\links\REFSEQ-INVERTEBRATE\AGAP001979-PA-REFSEQ-INVERTEBRATE.txt","AGAP001979-PA")</f>
        <v>AGAP001979-PA</v>
      </c>
      <c r="BB423" s="2" t="str">
        <f>HYPERLINK("http://www.ncbi.nlm.nih.gov/sutils/blink.cgi?pid=XP_321085.4","0.0")</f>
        <v>0.0</v>
      </c>
      <c r="BC423" s="2" t="str">
        <f>HYPERLINK("http://www.ncbi.nlm.nih.gov/protein/XP_321085.4","XP_321085.4")</f>
        <v>XP_321085.4</v>
      </c>
      <c r="BD423" s="2">
        <v>97</v>
      </c>
      <c r="BE423" s="2">
        <v>97</v>
      </c>
      <c r="BF423" s="2">
        <v>100</v>
      </c>
      <c r="BG423" s="2" t="s">
        <v>105</v>
      </c>
      <c r="BH423" s="9" t="str">
        <f>HYPERLINK(".\links\REFSEQ-PROTOZOA\AGAP001979-PA-REFSEQ-PROTOZOA.txt","ubiquitin thiolesterase")</f>
        <v>ubiquitin thiolesterase</v>
      </c>
      <c r="BI423" s="2" t="str">
        <f>HYPERLINK("http://www.ncbi.nlm.nih.gov/sutils/blink.cgi?pid=XP_004333678.1","9E-066")</f>
        <v>9E-066</v>
      </c>
      <c r="BJ423" s="2" t="str">
        <f>HYPERLINK("http://www.ncbi.nlm.nih.gov/protein/XP_004333678.1","XP_004333678.1")</f>
        <v>XP_004333678.1</v>
      </c>
      <c r="BK423" s="2">
        <v>26</v>
      </c>
      <c r="BL423" s="2">
        <v>44</v>
      </c>
      <c r="BM423" s="2">
        <v>35</v>
      </c>
      <c r="BN423" s="2" t="s">
        <v>600</v>
      </c>
      <c r="BO423" s="9" t="str">
        <f>HYPERLINK(".\links\SWISSP\AGAP001979-PA-SWISSP.txt","Cell surface glycoprotein 1")</f>
        <v>Cell surface glycoprotein 1</v>
      </c>
      <c r="BP423" s="2" t="str">
        <f>HYPERLINK("http://www.uniprot.org/uniprot/Q06852","4E-082")</f>
        <v>4E-082</v>
      </c>
      <c r="BQ423" s="2" t="str">
        <f>HYPERLINK("http://www.uniprot.org/uniprot/Q06852#expression","Q06852")</f>
        <v>Q06852</v>
      </c>
      <c r="BR423" s="2">
        <v>34</v>
      </c>
      <c r="BS423" s="2">
        <v>46</v>
      </c>
      <c r="BT423" s="2">
        <v>24</v>
      </c>
      <c r="BU423" s="2" t="s">
        <v>4505</v>
      </c>
      <c r="BV423" s="9" t="str">
        <f>HYPERLINK(".\links\FLYBASE\AGAP001979-PA-FLYBASE.txt","FBpp0307926")</f>
        <v>FBpp0307926</v>
      </c>
      <c r="BW423" s="2" t="str">
        <f>HYPERLINK("http://flybase.org/reports/FBgn0033192#alliance_summary_container","3E-43")</f>
        <v>3E-43</v>
      </c>
      <c r="BX423" s="2">
        <v>1397</v>
      </c>
      <c r="BY423" s="2">
        <v>27</v>
      </c>
      <c r="BZ423" s="2">
        <v>44</v>
      </c>
      <c r="CA423" s="2">
        <v>32</v>
      </c>
      <c r="CB423" s="9" t="str">
        <f>HYPERLINK(".\links\CDD\AGAP001979-PA-CDD.txt","Tryp_SPc, Trypsin-like serine protease")</f>
        <v>Tryp_SPc, Trypsin-like serine protease</v>
      </c>
      <c r="CC423" s="15">
        <v>3.9999999999999998E-36</v>
      </c>
      <c r="CD423" s="2">
        <v>111.6</v>
      </c>
      <c r="CE423" s="2" t="s">
        <v>3427</v>
      </c>
      <c r="CF423" s="2" t="s">
        <v>4506</v>
      </c>
      <c r="CG423" s="9" t="str">
        <f>HYPERLINK(".\links\KOG\AGAP001979-PA-KOG.txt","Trypsin")</f>
        <v>Trypsin</v>
      </c>
      <c r="CH423" s="15">
        <v>7.9999999999999997E-38</v>
      </c>
      <c r="CI423" s="2">
        <v>104.3</v>
      </c>
      <c r="CJ423" s="2" t="s">
        <v>3429</v>
      </c>
      <c r="CK423" s="2" t="s">
        <v>267</v>
      </c>
      <c r="CL423" s="9" t="str">
        <f>HYPERLINK(".\links\PFAM\AGAP001979-PA-PFAM.txt","Trypsin, Trypsin")</f>
        <v>Trypsin, Trypsin</v>
      </c>
      <c r="CM423" s="15">
        <v>8.0000000000000003E-25</v>
      </c>
      <c r="CN423" s="2">
        <v>115</v>
      </c>
      <c r="CO423" s="2" t="s">
        <v>3430</v>
      </c>
      <c r="CP423" s="9" t="str">
        <f>HYPERLINK(".\links\SMART\AGAP001979-PA-SMART.txt","Tryp_SPc, Trypsin-like serine protease")</f>
        <v>Tryp_SPc, Trypsin-like serine protease</v>
      </c>
      <c r="CQ423" s="15">
        <v>9.9999999999999994E-37</v>
      </c>
      <c r="CR423" s="2">
        <v>112.2</v>
      </c>
      <c r="CS423" s="2" t="s">
        <v>3431</v>
      </c>
      <c r="CT423" s="2" t="s">
        <v>4502</v>
      </c>
      <c r="CU423" s="2" t="s">
        <v>4502</v>
      </c>
      <c r="CV423" s="2" t="s">
        <v>4502</v>
      </c>
      <c r="CW423" s="2" t="str">
        <f>HYPERLINK(".\links\pep\AGAP001979-PA-pep.txt","AGAP001979-PA")</f>
        <v>AGAP001979-PA</v>
      </c>
      <c r="CX423" s="2" t="s">
        <v>95</v>
      </c>
      <c r="CY423" s="2">
        <v>2072</v>
      </c>
      <c r="CZ423" s="2" t="s">
        <v>113</v>
      </c>
      <c r="DA423" s="2" t="s">
        <v>4507</v>
      </c>
      <c r="DB423" s="2">
        <v>0</v>
      </c>
      <c r="DC423" s="2">
        <v>4</v>
      </c>
      <c r="DD423" s="2" t="str">
        <f>HYPERLINK("https://www.kegg.jp/kegg-bin/search_pathway_text?map=aga&amp;keyword=AGAP001979&amp;mode=1&amp;viewImage=true","AGAP001979")</f>
        <v>AGAP001979</v>
      </c>
      <c r="DE423" s="2" t="s">
        <v>4498</v>
      </c>
      <c r="DF423" s="2" t="s">
        <v>4499</v>
      </c>
      <c r="DG423" s="2" t="s">
        <v>94</v>
      </c>
      <c r="DH423" s="2" t="str">
        <f>HYPERLINK("https://vectorbase.org/vectorbase/app/record/gene/AGAP001979","AGAP001979-RA")</f>
        <v>AGAP001979-RA</v>
      </c>
      <c r="DI423" s="2" t="s">
        <v>90</v>
      </c>
      <c r="DJ423" s="2">
        <v>7077</v>
      </c>
      <c r="DK423" s="2" t="str">
        <f>HYPERLINK(".\links\netoglyc\AGAP001979-PA-netoglyc.txt","145")</f>
        <v>145</v>
      </c>
      <c r="DL423" s="2">
        <v>22.9</v>
      </c>
      <c r="DM423" s="2">
        <v>6</v>
      </c>
      <c r="DN423" s="2">
        <v>9</v>
      </c>
      <c r="DO423" s="2" t="s">
        <v>104</v>
      </c>
      <c r="DP423" s="2" t="s">
        <v>4508</v>
      </c>
      <c r="DQ423" s="2" t="str">
        <f>HYPERLINK(".\links\Sigp\AGAP001979-PA-SigP.txt","CYT")</f>
        <v>CYT</v>
      </c>
      <c r="DR423" s="2" t="s">
        <v>102</v>
      </c>
      <c r="DS423" s="2">
        <v>220.761</v>
      </c>
      <c r="DT423" s="2">
        <v>4.29</v>
      </c>
      <c r="DU423" s="2" t="s">
        <v>102</v>
      </c>
      <c r="DV423" s="2" t="s">
        <v>102</v>
      </c>
      <c r="DW423" s="2" t="s">
        <v>4504</v>
      </c>
      <c r="DX423" s="2">
        <v>2072</v>
      </c>
      <c r="DY423" s="12" t="str">
        <f>HYPERLINK(".\links\tmhmm\AGAP001979-PA-tmhmm.txt","1")</f>
        <v>1</v>
      </c>
      <c r="DZ423" s="2">
        <v>1.1000000000000001</v>
      </c>
      <c r="EA423" s="2">
        <v>88.4</v>
      </c>
      <c r="EB423" s="2">
        <v>10.5</v>
      </c>
      <c r="EC423" s="2" t="str">
        <f>HYPERLINK(".\links\gpi\AGAP001979-PA-gpi.txt","Y-NoSP")</f>
        <v>Y-NoSP</v>
      </c>
      <c r="ED423" s="2">
        <v>0.36</v>
      </c>
      <c r="EF423" s="2">
        <v>50</v>
      </c>
      <c r="EG423" s="2" t="str">
        <f>HYPERLINK(".\links\pep\AGAP001979-PA-sulf.txt","2")</f>
        <v>2</v>
      </c>
      <c r="EH423" s="2" t="s">
        <v>102</v>
      </c>
      <c r="EI423" s="2">
        <v>22.876447876447902</v>
      </c>
      <c r="EJ423" s="2">
        <v>9.0250965250965294</v>
      </c>
      <c r="EK423" s="2">
        <v>6.0328185328185304</v>
      </c>
      <c r="EL423" s="2">
        <v>15.0579150579151</v>
      </c>
      <c r="EM423" s="2" t="s">
        <v>102</v>
      </c>
      <c r="EN423" s="2">
        <v>1</v>
      </c>
      <c r="EO423" s="2">
        <v>2</v>
      </c>
      <c r="EP423" s="2" t="s">
        <v>102</v>
      </c>
      <c r="EQ423" s="2" t="s">
        <v>102</v>
      </c>
      <c r="ER423" s="2" t="s">
        <v>102</v>
      </c>
      <c r="ES423" s="2" t="s">
        <v>102</v>
      </c>
      <c r="ET423" s="2" t="str">
        <f>HYPERLINK(".\links\REFSEQ-INVERTEBRATE\AGAP001979-PA-REFSEQ-INVERTEBRATE.txt","AGAP001979-PA")</f>
        <v>AGAP001979-PA</v>
      </c>
      <c r="EU423" s="2" t="str">
        <f>HYPERLINK("http://www.ncbi.nlm.nih.gov/sutils/blink.cgi?pid=XP_321085.4","0.0")</f>
        <v>0.0</v>
      </c>
      <c r="EV423" s="2" t="str">
        <f>HYPERLINK("http://www.ncbi.nlm.nih.gov/protein/XP_321085.4","XP_321085.4")</f>
        <v>XP_321085.4</v>
      </c>
      <c r="EW423" s="2">
        <v>100</v>
      </c>
      <c r="EX423" s="2">
        <v>100</v>
      </c>
      <c r="EY423" s="2">
        <v>61</v>
      </c>
      <c r="EZ423" s="2" t="s">
        <v>105</v>
      </c>
    </row>
    <row r="424" spans="1:156" x14ac:dyDescent="0.25">
      <c r="A424" s="2" t="s">
        <v>4509</v>
      </c>
      <c r="B424" s="2">
        <v>-0.346534756129313</v>
      </c>
      <c r="C424" s="2">
        <f t="shared" si="6"/>
        <v>0.78647087432605778</v>
      </c>
      <c r="D424" s="2">
        <v>7.5137472602967899</v>
      </c>
      <c r="E424" s="2">
        <v>12.376102246692501</v>
      </c>
      <c r="F424" s="2">
        <v>4.3486400733765298E-4</v>
      </c>
      <c r="G424" s="2">
        <v>2.39418144821931E-2</v>
      </c>
      <c r="H424" s="2" t="s">
        <v>4510</v>
      </c>
      <c r="I424" s="2" t="s">
        <v>94</v>
      </c>
      <c r="J424" s="2" t="str">
        <f>HYPERLINK("https://vectorbase.org/vectorbase/app/record/gene/AGAP007342","AGAP007342-RA")</f>
        <v>AGAP007342-RA</v>
      </c>
      <c r="K424" s="2" t="str">
        <f>HYPERLINK(".\links\pep\AGAP007342-PA-pep.txt","AGAP007342-PA")</f>
        <v>AGAP007342-PA</v>
      </c>
      <c r="L424" s="12" t="s">
        <v>95</v>
      </c>
      <c r="M424" s="2">
        <v>1327</v>
      </c>
      <c r="N424" s="2">
        <v>0</v>
      </c>
      <c r="O424" s="2">
        <v>1</v>
      </c>
      <c r="P424" s="2" t="s">
        <v>4511</v>
      </c>
      <c r="Q424" s="9" t="s">
        <v>3145</v>
      </c>
      <c r="R424" s="2" t="s">
        <v>355</v>
      </c>
      <c r="S424" s="2" t="str">
        <f>HYPERLINK(".\links\CDD\AGAP007342-PA-CDD.txt","CDD")</f>
        <v>CDD</v>
      </c>
      <c r="T424" s="2">
        <v>0</v>
      </c>
      <c r="U424" s="2">
        <v>99</v>
      </c>
      <c r="V424" s="2" t="s">
        <v>4512</v>
      </c>
      <c r="W424" s="10" t="s">
        <v>4513</v>
      </c>
      <c r="X424" s="2" t="s">
        <v>355</v>
      </c>
      <c r="Y424" s="2" t="str">
        <f>HYPERLINK(".\links\REFSEQVERTEBRATE95\AGAP007342-PA-REFSEQVERTEBRATE95.txt","REFSEQVERTEBRATE95")</f>
        <v>REFSEQVERTEBRATE95</v>
      </c>
      <c r="Z424" s="2">
        <v>0</v>
      </c>
      <c r="AA424" s="2">
        <v>63.2</v>
      </c>
      <c r="AB424" s="13" t="s">
        <v>102</v>
      </c>
      <c r="AC424" s="13" t="str">
        <f>HYPERLINK(".\links\Sigp\AGAP007342-PA-SigP.txt","CYT")</f>
        <v>CYT</v>
      </c>
      <c r="AD424" s="2" t="s">
        <v>102</v>
      </c>
      <c r="AE424" s="2">
        <v>142.34</v>
      </c>
      <c r="AF424" s="2">
        <v>8.98</v>
      </c>
      <c r="AG424" s="2" t="s">
        <v>102</v>
      </c>
      <c r="AH424" s="2" t="s">
        <v>102</v>
      </c>
      <c r="AI424" s="2" t="s">
        <v>482</v>
      </c>
      <c r="AJ424" s="13">
        <v>0</v>
      </c>
      <c r="AK424" s="2" t="s">
        <v>102</v>
      </c>
      <c r="AL424" s="2" t="s">
        <v>102</v>
      </c>
      <c r="AM424" s="2" t="s">
        <v>102</v>
      </c>
      <c r="AN424" s="13" t="str">
        <f>HYPERLINK(".\links\gpi\AGAP007342-PA-gpi.txt","N")</f>
        <v>N</v>
      </c>
      <c r="AO424" s="14" t="str">
        <f>HYPERLINK(".\links\netoglyc\AGAP007342-PA-netoglyc.txt","8")</f>
        <v>8</v>
      </c>
      <c r="AP424" s="13">
        <v>18.8</v>
      </c>
      <c r="AQ424" s="2">
        <v>9.9</v>
      </c>
      <c r="AR424" s="2">
        <v>6.8</v>
      </c>
      <c r="AS424" s="2" t="s">
        <v>104</v>
      </c>
      <c r="AT424" s="9" t="str">
        <f>HYPERLINK(".\links\NR-LIGHT\AGAP007342-PA-NR-LIGHT.txt","AGAP007342-PA")</f>
        <v>AGAP007342-PA</v>
      </c>
      <c r="AU424" s="2" t="str">
        <f>HYPERLINK("http://www.ncbi.nlm.nih.gov/sutils/blink.cgi?pid=XP_308469.4","0.0")</f>
        <v>0.0</v>
      </c>
      <c r="AV424" s="2" t="str">
        <f>HYPERLINK("http://www.ncbi.nlm.nih.gov/protein/XP_308469.4","XP_308469.4")</f>
        <v>XP_308469.4</v>
      </c>
      <c r="AW424" s="2">
        <v>72</v>
      </c>
      <c r="AX424" s="2">
        <v>75</v>
      </c>
      <c r="AY424" s="2">
        <v>111</v>
      </c>
      <c r="AZ424" s="2" t="s">
        <v>105</v>
      </c>
      <c r="BA424" s="9" t="str">
        <f>HYPERLINK(".\links\REFSEQ-INVERTEBRATE\AGAP007342-PA-REFSEQ-INVERTEBRATE.txt","AGAP007342-PA")</f>
        <v>AGAP007342-PA</v>
      </c>
      <c r="BB424" s="2" t="str">
        <f>HYPERLINK("http://www.ncbi.nlm.nih.gov/sutils/blink.cgi?pid=XP_308469.4","0.0")</f>
        <v>0.0</v>
      </c>
      <c r="BC424" s="2" t="str">
        <f>HYPERLINK("http://www.ncbi.nlm.nih.gov/protein/XP_308469.4","XP_308469.4")</f>
        <v>XP_308469.4</v>
      </c>
      <c r="BD424" s="2">
        <v>72</v>
      </c>
      <c r="BE424" s="2">
        <v>75</v>
      </c>
      <c r="BF424" s="2">
        <v>111</v>
      </c>
      <c r="BG424" s="2" t="s">
        <v>105</v>
      </c>
      <c r="BH424" s="9" t="str">
        <f>HYPERLINK(".\links\REFSEQ-PROTOZOA\AGAP007342-PA-REFSEQ-PROTOZOA.txt","serine/threonine-protein kinase ppk15")</f>
        <v>serine/threonine-protein kinase ppk15</v>
      </c>
      <c r="BI424" s="2" t="str">
        <f>HYPERLINK("http://www.ncbi.nlm.nih.gov/sutils/blink.cgi?pid=XP_004363845.2","1E-074")</f>
        <v>1E-074</v>
      </c>
      <c r="BJ424" s="2" t="str">
        <f>HYPERLINK("http://www.ncbi.nlm.nih.gov/protein/XP_004363845.2","XP_004363845.2")</f>
        <v>XP_004363845.2</v>
      </c>
      <c r="BK424" s="2">
        <v>43</v>
      </c>
      <c r="BL424" s="2">
        <v>61</v>
      </c>
      <c r="BM424" s="2">
        <v>23</v>
      </c>
      <c r="BN424" s="2" t="s">
        <v>106</v>
      </c>
      <c r="BO424" s="9" t="str">
        <f>HYPERLINK(".\links\SWISSP\AGAP007342-PA-SWISSP.txt","Homeodomain-interacting protein kinase 2")</f>
        <v>Homeodomain-interacting protein kinase 2</v>
      </c>
      <c r="BP424" s="2" t="str">
        <f>HYPERLINK("http://www.uniprot.org/uniprot/Q9WUM7","0.0")</f>
        <v>0.0</v>
      </c>
      <c r="BQ424" s="2" t="str">
        <f>HYPERLINK("http://www.uniprot.org/uniprot/Q9WUM7#expression","Q9WUM7")</f>
        <v>Q9WUM7</v>
      </c>
      <c r="BR424" s="2">
        <v>48</v>
      </c>
      <c r="BS424" s="2">
        <v>61</v>
      </c>
      <c r="BT424" s="2">
        <v>74</v>
      </c>
      <c r="BU424" s="2" t="s">
        <v>4514</v>
      </c>
      <c r="BV424" s="9" t="str">
        <f>HYPERLINK(".\links\FLYBASE\AGAP007342-PA-FLYBASE.txt","FBpp0072451")</f>
        <v>FBpp0072451</v>
      </c>
      <c r="BW424" s="2" t="str">
        <f>HYPERLINK("http://flybase.org/reports/FBgn0035142#alliance_summary_container","0.0")</f>
        <v>0.0</v>
      </c>
      <c r="BX424" s="2">
        <v>1340</v>
      </c>
      <c r="BY424" s="2">
        <v>81</v>
      </c>
      <c r="BZ424" s="2">
        <v>87</v>
      </c>
      <c r="CA424" s="2">
        <v>51</v>
      </c>
      <c r="CB424" s="9" t="str">
        <f>HYPERLINK(".\links\CDD\AGAP007342-PA-CDD.txt","STKc_HIPK, Catalytic domain of the Serine/Threonine Kinase, Homeodomain-Interacting Protein Kinase")</f>
        <v>STKc_HIPK, Catalytic domain of the Serine/Threonine Kinase, Homeodomain-Interacting Protein Kinase</v>
      </c>
      <c r="CC424" s="15">
        <v>0</v>
      </c>
      <c r="CD424" s="2">
        <v>99.7</v>
      </c>
      <c r="CE424" s="2" t="s">
        <v>4515</v>
      </c>
      <c r="CF424" s="2" t="s">
        <v>4516</v>
      </c>
      <c r="CG424" s="9" t="str">
        <f>HYPERLINK(".\links\KOG\AGAP007342-PA-KOG.txt","Dual-specificity tyrosine-phosphorylation regulated kinase")</f>
        <v>Dual-specificity tyrosine-phosphorylation regulated kinase</v>
      </c>
      <c r="CH424" s="15">
        <v>9.9999999999999997E-148</v>
      </c>
      <c r="CI424" s="2">
        <v>69.5</v>
      </c>
      <c r="CJ424" s="2" t="s">
        <v>4517</v>
      </c>
      <c r="CK424" s="2" t="s">
        <v>191</v>
      </c>
      <c r="CL424" s="9" t="str">
        <f>HYPERLINK(".\links\PFAM\AGAP007342-PA-PFAM.txt","Pkinase, Protein kinase domain")</f>
        <v>Pkinase, Protein kinase domain</v>
      </c>
      <c r="CM424" s="15">
        <v>9.9999999999999995E-45</v>
      </c>
      <c r="CN424" s="2">
        <v>94.9</v>
      </c>
      <c r="CO424" s="2" t="s">
        <v>1574</v>
      </c>
      <c r="CP424" s="9" t="str">
        <f>HYPERLINK(".\links\SMART\AGAP007342-PA-SMART.txt","S_TKc, Serine/Threonine protein kinases, catalytic domain")</f>
        <v>S_TKc, Serine/Threonine protein kinases, catalytic domain</v>
      </c>
      <c r="CQ424" s="15">
        <v>2.0000000000000001E-61</v>
      </c>
      <c r="CR424" s="2">
        <v>130.69999999999999</v>
      </c>
      <c r="CS424" s="2" t="s">
        <v>1575</v>
      </c>
      <c r="CT424" s="2" t="s">
        <v>4512</v>
      </c>
      <c r="CU424" s="2" t="s">
        <v>4512</v>
      </c>
      <c r="CV424" s="2" t="s">
        <v>4512</v>
      </c>
      <c r="CW424" s="2" t="str">
        <f>HYPERLINK(".\links\pep\AGAP007342-PA-pep.txt","AGAP007342-PA")</f>
        <v>AGAP007342-PA</v>
      </c>
      <c r="CX424" s="2" t="s">
        <v>95</v>
      </c>
      <c r="CY424" s="2">
        <v>1327</v>
      </c>
      <c r="CZ424" s="2" t="s">
        <v>113</v>
      </c>
      <c r="DA424" s="2" t="s">
        <v>4518</v>
      </c>
      <c r="DB424" s="2">
        <v>0</v>
      </c>
      <c r="DC424" s="2">
        <v>1</v>
      </c>
      <c r="DD424" s="2" t="str">
        <f>HYPERLINK("https://www.kegg.jp/kegg-bin/search_pathway_text?map=aga&amp;keyword=AGAP007342&amp;mode=1&amp;viewImage=true","AGAP007342")</f>
        <v>AGAP007342</v>
      </c>
      <c r="DE424" s="2" t="s">
        <v>4509</v>
      </c>
      <c r="DF424" s="2" t="s">
        <v>4510</v>
      </c>
      <c r="DG424" s="2" t="s">
        <v>94</v>
      </c>
      <c r="DH424" s="2" t="str">
        <f>HYPERLINK("https://vectorbase.org/vectorbase/app/record/gene/AGAP007342","AGAP007342-RA")</f>
        <v>AGAP007342-RA</v>
      </c>
      <c r="DI424" s="2" t="s">
        <v>118</v>
      </c>
      <c r="DJ424" s="2">
        <v>11095</v>
      </c>
      <c r="DK424" s="2" t="str">
        <f>HYPERLINK(".\links\netoglyc\AGAP007342-PA-netoglyc.txt","8")</f>
        <v>8</v>
      </c>
      <c r="DL424" s="2">
        <v>18.8</v>
      </c>
      <c r="DM424" s="2">
        <v>9.9</v>
      </c>
      <c r="DN424" s="2">
        <v>6.8</v>
      </c>
      <c r="DO424" s="2" t="s">
        <v>104</v>
      </c>
      <c r="DP424" s="2" t="s">
        <v>4519</v>
      </c>
      <c r="DQ424" s="2" t="str">
        <f>HYPERLINK(".\links\Sigp\AGAP007342-PA-SigP.txt","CYT")</f>
        <v>CYT</v>
      </c>
      <c r="DR424" s="2" t="s">
        <v>102</v>
      </c>
      <c r="DS424" s="2">
        <v>142.24</v>
      </c>
      <c r="DT424" s="2">
        <v>8.98</v>
      </c>
      <c r="DU424" s="2" t="s">
        <v>102</v>
      </c>
      <c r="DV424" s="2" t="s">
        <v>102</v>
      </c>
      <c r="DW424" s="2" t="s">
        <v>482</v>
      </c>
      <c r="DX424" s="2">
        <v>1327</v>
      </c>
      <c r="DY424" s="12">
        <v>0</v>
      </c>
      <c r="DZ424" s="2" t="s">
        <v>102</v>
      </c>
      <c r="EA424" s="2" t="s">
        <v>102</v>
      </c>
      <c r="EB424" s="2" t="s">
        <v>102</v>
      </c>
      <c r="EC424" s="2" t="str">
        <f>HYPERLINK(".\links\gpi\AGAP007342-PA-gpi.txt","Y-NoSP")</f>
        <v>Y-NoSP</v>
      </c>
      <c r="ED424" s="2">
        <v>0.38</v>
      </c>
      <c r="EF424" s="2">
        <v>18</v>
      </c>
      <c r="EG424" s="2" t="s">
        <v>102</v>
      </c>
      <c r="EH424" s="2" t="s">
        <v>102</v>
      </c>
      <c r="EI424" s="2">
        <v>18.764129615674499</v>
      </c>
      <c r="EJ424" s="2">
        <v>6.7822155237377499</v>
      </c>
      <c r="EK424" s="2">
        <v>9.9472494348153706</v>
      </c>
      <c r="EL424" s="2">
        <v>16.729464958553098</v>
      </c>
      <c r="EM424" s="2">
        <v>1</v>
      </c>
      <c r="EN424" s="2">
        <v>2</v>
      </c>
      <c r="EO424" s="2">
        <v>3</v>
      </c>
      <c r="EP424" s="2" t="s">
        <v>102</v>
      </c>
      <c r="EQ424" s="2" t="s">
        <v>102</v>
      </c>
      <c r="ER424" s="2" t="s">
        <v>102</v>
      </c>
      <c r="ES424" s="2" t="s">
        <v>102</v>
      </c>
      <c r="ET424" s="2" t="str">
        <f>HYPERLINK(".\links\REFSEQ-INVERTEBRATE\AGAP007342-PA-REFSEQ-INVERTEBRATE.txt","hornerin isoform X1")</f>
        <v>hornerin isoform X1</v>
      </c>
      <c r="EU424" s="2" t="str">
        <f>HYPERLINK("http://www.ncbi.nlm.nih.gov/sutils/blink.cgi?pid=XP_035907410.1","0.0")</f>
        <v>0.0</v>
      </c>
      <c r="EV424" s="2" t="str">
        <f>HYPERLINK("http://www.ncbi.nlm.nih.gov/protein/XP_035907410.1","XP_035907410.1")</f>
        <v>XP_035907410.1</v>
      </c>
      <c r="EW424" s="2">
        <v>99</v>
      </c>
      <c r="EX424" s="2">
        <v>99</v>
      </c>
      <c r="EY424" s="2">
        <v>50</v>
      </c>
      <c r="EZ424" s="2" t="s">
        <v>370</v>
      </c>
    </row>
    <row r="425" spans="1:156" x14ac:dyDescent="0.25">
      <c r="A425" s="2" t="s">
        <v>4520</v>
      </c>
      <c r="B425" s="2">
        <v>-0.34744323479003297</v>
      </c>
      <c r="C425" s="2">
        <f t="shared" si="6"/>
        <v>0.78597578210462671</v>
      </c>
      <c r="D425" s="2">
        <v>5.9002620183613796</v>
      </c>
      <c r="E425" s="2">
        <v>11.643325360185599</v>
      </c>
      <c r="F425" s="2">
        <v>6.4433314215298196E-4</v>
      </c>
      <c r="G425" s="2">
        <v>2.79382257888133E-2</v>
      </c>
      <c r="H425" s="2" t="s">
        <v>93</v>
      </c>
      <c r="I425" s="2" t="s">
        <v>94</v>
      </c>
      <c r="J425" s="2" t="str">
        <f>HYPERLINK("https://vectorbase.org/vectorbase/app/record/gene/AGAP006454","AGAP006454-RA")</f>
        <v>AGAP006454-RA</v>
      </c>
      <c r="K425" s="2" t="str">
        <f>HYPERLINK(".\links\pep\AGAP006454-PA-pep.txt","AGAP006454-PA")</f>
        <v>AGAP006454-PA</v>
      </c>
      <c r="L425" s="12" t="s">
        <v>95</v>
      </c>
      <c r="M425" s="2">
        <v>887</v>
      </c>
      <c r="N425" s="2">
        <v>0</v>
      </c>
      <c r="O425" s="2">
        <v>2</v>
      </c>
      <c r="P425" s="2" t="s">
        <v>102</v>
      </c>
      <c r="Q425" s="9" t="s">
        <v>4521</v>
      </c>
      <c r="R425" s="2" t="s">
        <v>196</v>
      </c>
      <c r="S425" s="2" t="str">
        <f>HYPERLINK(".\links\REFSEQ-INVERTEBRATE\AGAP006454-PA-REFSEQ-INVERTEBRATE.txt","REFSEQ-INVERTEBRATE")</f>
        <v>REFSEQ-INVERTEBRATE</v>
      </c>
      <c r="T425" s="2">
        <v>0</v>
      </c>
      <c r="U425" s="2">
        <v>100</v>
      </c>
      <c r="V425" s="2" t="s">
        <v>4522</v>
      </c>
      <c r="W425" s="10" t="s">
        <v>4523</v>
      </c>
      <c r="X425" s="2" t="s">
        <v>420</v>
      </c>
      <c r="Y425" s="2" t="str">
        <f>HYPERLINK(".\links\REFSEQ-INVERTEBRATE\AGAP006454-PA-REFSEQ-INVERTEBRATE.txt","REFSEQ-INVERTEBRATE")</f>
        <v>REFSEQ-INVERTEBRATE</v>
      </c>
      <c r="Z425" s="15">
        <v>0</v>
      </c>
      <c r="AA425" s="2">
        <v>67.400000000000006</v>
      </c>
      <c r="AB425" s="13" t="s">
        <v>102</v>
      </c>
      <c r="AC425" s="13" t="str">
        <f>HYPERLINK(".\links\Sigp\AGAP006454-PA-SigP.txt","CYT")</f>
        <v>CYT</v>
      </c>
      <c r="AD425" s="2" t="s">
        <v>102</v>
      </c>
      <c r="AE425" s="2">
        <v>94.185000000000002</v>
      </c>
      <c r="AF425" s="2">
        <v>6.63</v>
      </c>
      <c r="AG425" s="2" t="s">
        <v>102</v>
      </c>
      <c r="AH425" s="2" t="s">
        <v>102</v>
      </c>
      <c r="AI425" s="2" t="s">
        <v>4524</v>
      </c>
      <c r="AJ425" s="13">
        <v>0</v>
      </c>
      <c r="AK425" s="2" t="s">
        <v>102</v>
      </c>
      <c r="AL425" s="2" t="s">
        <v>102</v>
      </c>
      <c r="AM425" s="2" t="s">
        <v>102</v>
      </c>
      <c r="AN425" s="13" t="str">
        <f>HYPERLINK(".\links\gpi\AGAP006454-PA-gpi.txt","N")</f>
        <v>N</v>
      </c>
      <c r="AO425" s="14" t="str">
        <f>HYPERLINK(".\links\netoglyc\AGAP006454-PA-netoglyc.txt","10")</f>
        <v>10</v>
      </c>
      <c r="AP425" s="13">
        <v>15.6</v>
      </c>
      <c r="AQ425" s="2">
        <v>8.1</v>
      </c>
      <c r="AR425" s="2">
        <v>4.8</v>
      </c>
      <c r="AS425" s="2" t="s">
        <v>104</v>
      </c>
      <c r="AT425" s="9" t="str">
        <f>HYPERLINK(".\links\NR-LIGHT\AGAP006454-PA-NR-LIGHT.txt","AGAP006454-PA")</f>
        <v>AGAP006454-PA</v>
      </c>
      <c r="AU425" s="2" t="str">
        <f>HYPERLINK("http://www.ncbi.nlm.nih.gov/sutils/blink.cgi?pid=XP_316495.4","0.0")</f>
        <v>0.0</v>
      </c>
      <c r="AV425" s="2" t="str">
        <f>HYPERLINK("http://www.ncbi.nlm.nih.gov/protein/XP_316495.4","XP_316495.4")</f>
        <v>XP_316495.4</v>
      </c>
      <c r="AW425" s="2">
        <v>100</v>
      </c>
      <c r="AX425" s="2">
        <v>100</v>
      </c>
      <c r="AY425" s="2">
        <v>100</v>
      </c>
      <c r="AZ425" s="2" t="s">
        <v>105</v>
      </c>
      <c r="BA425" s="9" t="str">
        <f>HYPERLINK(".\links\REFSEQ-INVERTEBRATE\AGAP006454-PA-REFSEQ-INVERTEBRATE.txt","AGAP006454-PA")</f>
        <v>AGAP006454-PA</v>
      </c>
      <c r="BB425" s="2" t="str">
        <f>HYPERLINK("http://www.ncbi.nlm.nih.gov/sutils/blink.cgi?pid=XP_316495.4","0.0")</f>
        <v>0.0</v>
      </c>
      <c r="BC425" s="2" t="str">
        <f>HYPERLINK("http://www.ncbi.nlm.nih.gov/protein/XP_316495.4","XP_316495.4")</f>
        <v>XP_316495.4</v>
      </c>
      <c r="BD425" s="2">
        <v>100</v>
      </c>
      <c r="BE425" s="2">
        <v>100</v>
      </c>
      <c r="BF425" s="2">
        <v>100</v>
      </c>
      <c r="BG425" s="2" t="s">
        <v>105</v>
      </c>
      <c r="BH425" s="9" t="str">
        <f>HYPERLINK(".\links\REFSEQ-PROTOZOA\AGAP006454-PA-REFSEQ-PROTOZOA.txt","hypothetical protein EMH_0005490")</f>
        <v>hypothetical protein EMH_0005490</v>
      </c>
      <c r="BI425" s="2" t="str">
        <f>HYPERLINK("http://www.ncbi.nlm.nih.gov/sutils/blink.cgi?pid=XP_013352669.1","6E-050")</f>
        <v>6E-050</v>
      </c>
      <c r="BJ425" s="2" t="str">
        <f>HYPERLINK("http://www.ncbi.nlm.nih.gov/protein/XP_013352669.1","XP_013352669.1")</f>
        <v>XP_013352669.1</v>
      </c>
      <c r="BK425" s="2">
        <v>27</v>
      </c>
      <c r="BL425" s="2">
        <v>37</v>
      </c>
      <c r="BM425" s="2">
        <v>54</v>
      </c>
      <c r="BN425" s="2" t="s">
        <v>568</v>
      </c>
      <c r="BO425" s="9" t="str">
        <f>HYPERLINK(".\links\SWISSP\AGAP006454-PA-SWISSP.txt","Longitudinals lacking protein, isoforms J/P/Q/S/Z")</f>
        <v>Longitudinals lacking protein, isoforms J/P/Q/S/Z</v>
      </c>
      <c r="BP425" s="2" t="str">
        <f>HYPERLINK("http://www.uniprot.org/uniprot/Q9V5M6","7E-047")</f>
        <v>7E-047</v>
      </c>
      <c r="BQ425" s="2" t="str">
        <f>HYPERLINK("http://www.uniprot.org/uniprot/Q9V5M6#expression","Q9V5M6")</f>
        <v>Q9V5M6</v>
      </c>
      <c r="BR425" s="2">
        <v>27</v>
      </c>
      <c r="BS425" s="2">
        <v>42</v>
      </c>
      <c r="BT425" s="2">
        <v>67</v>
      </c>
      <c r="BU425" s="2" t="s">
        <v>107</v>
      </c>
      <c r="BV425" s="9" t="str">
        <f>HYPERLINK(".\links\FLYBASE\AGAP006454-PA-FLYBASE.txt","FBpp0292320")</f>
        <v>FBpp0292320</v>
      </c>
      <c r="BW425" s="2" t="str">
        <f>HYPERLINK("http://flybase.org/reports/FBgn0003870#alliance_summary_container","1E-44")</f>
        <v>1E-44</v>
      </c>
      <c r="BX425" s="2">
        <v>643</v>
      </c>
      <c r="BY425" s="2">
        <v>60</v>
      </c>
      <c r="BZ425" s="2">
        <v>78</v>
      </c>
      <c r="CA425" s="2">
        <v>19</v>
      </c>
      <c r="CB425" s="9" t="str">
        <f>HYPERLINK(".\links\CDD\AGAP006454-PA-CDD.txt","BTB, BTB/POZ domain")</f>
        <v>BTB, BTB/POZ domain</v>
      </c>
      <c r="CC425" s="15">
        <v>5.0000000000000002E-26</v>
      </c>
      <c r="CD425" s="2">
        <v>92.5</v>
      </c>
      <c r="CE425" s="2" t="s">
        <v>364</v>
      </c>
      <c r="CF425" s="2" t="s">
        <v>4525</v>
      </c>
      <c r="CG425" s="9" t="str">
        <f>HYPERLINK(".\links\KOG\AGAP006454-PA-KOG.txt","involved in regulatory/signal transduction processes")</f>
        <v>involved in regulatory/signal transduction processes</v>
      </c>
      <c r="CH425" s="15">
        <v>2.9999999999999999E-19</v>
      </c>
      <c r="CI425" s="2">
        <v>22.4</v>
      </c>
      <c r="CJ425" s="2" t="s">
        <v>366</v>
      </c>
      <c r="CK425" s="2" t="s">
        <v>367</v>
      </c>
      <c r="CL425" s="9" t="str">
        <f>HYPERLINK(".\links\PFAM\AGAP006454-PA-PFAM.txt","BTB, BTB/POZ domain")</f>
        <v>BTB, BTB/POZ domain</v>
      </c>
      <c r="CM425" s="15">
        <v>1E-26</v>
      </c>
      <c r="CN425" s="2">
        <v>92.5</v>
      </c>
      <c r="CO425" s="2" t="s">
        <v>364</v>
      </c>
      <c r="CP425" s="9" t="str">
        <f>HYPERLINK(".\links\SMART\AGAP006454-PA-SMART.txt","predicts BTB/POZ domains without the beta1- and alpha1-secondary structures")</f>
        <v>predicts BTB/POZ domains without the beta1- and alpha1-secondary structures</v>
      </c>
      <c r="CQ425" s="15">
        <v>1E-27</v>
      </c>
      <c r="CR425" s="2">
        <v>90.7</v>
      </c>
      <c r="CS425" s="2" t="s">
        <v>368</v>
      </c>
      <c r="CT425" s="2" t="s">
        <v>4522</v>
      </c>
      <c r="CU425" s="2" t="s">
        <v>4522</v>
      </c>
      <c r="CV425" s="2" t="s">
        <v>4522</v>
      </c>
      <c r="CW425" s="2" t="str">
        <f>HYPERLINK(".\links\pep\AGAP006454-PA-pep.txt","AGAP006454-PA")</f>
        <v>AGAP006454-PA</v>
      </c>
      <c r="CX425" s="2" t="s">
        <v>95</v>
      </c>
      <c r="CY425" s="2">
        <v>887</v>
      </c>
      <c r="CZ425" s="2" t="s">
        <v>113</v>
      </c>
      <c r="DA425" s="2" t="s">
        <v>4526</v>
      </c>
      <c r="DB425" s="2">
        <v>0</v>
      </c>
      <c r="DC425" s="2">
        <v>2</v>
      </c>
      <c r="DD425" s="2" t="str">
        <f>HYPERLINK("https://www.kegg.jp/kegg-bin/search_pathway_text?map=aga&amp;keyword=AGAP006454&amp;mode=1&amp;viewImage=true","AGAP006454")</f>
        <v>AGAP006454</v>
      </c>
      <c r="DE425" s="2" t="s">
        <v>4520</v>
      </c>
      <c r="DF425" s="2" t="s">
        <v>93</v>
      </c>
      <c r="DG425" s="2" t="s">
        <v>94</v>
      </c>
      <c r="DH425" s="2" t="str">
        <f>HYPERLINK("https://vectorbase.org/vectorbase/app/record/gene/AGAP006454","AGAP006454-RA")</f>
        <v>AGAP006454-RA</v>
      </c>
      <c r="DI425" s="2" t="s">
        <v>118</v>
      </c>
      <c r="DJ425" s="2">
        <v>5835</v>
      </c>
      <c r="DK425" s="2" t="str">
        <f>HYPERLINK(".\links\netoglyc\AGAP006454-PA-netoglyc.txt","10")</f>
        <v>10</v>
      </c>
      <c r="DL425" s="2">
        <v>15.6</v>
      </c>
      <c r="DM425" s="2">
        <v>8.1</v>
      </c>
      <c r="DN425" s="2">
        <v>4.8</v>
      </c>
      <c r="DO425" s="2" t="s">
        <v>104</v>
      </c>
      <c r="DP425" s="2" t="s">
        <v>4527</v>
      </c>
      <c r="DQ425" s="2" t="str">
        <f>HYPERLINK(".\links\Sigp\AGAP006454-PA-SigP.txt","CYT")</f>
        <v>CYT</v>
      </c>
      <c r="DR425" s="2" t="s">
        <v>102</v>
      </c>
      <c r="DS425" s="2">
        <v>94.183999999999997</v>
      </c>
      <c r="DT425" s="2">
        <v>6.63</v>
      </c>
      <c r="DU425" s="2" t="s">
        <v>102</v>
      </c>
      <c r="DV425" s="2" t="s">
        <v>102</v>
      </c>
      <c r="DW425" s="2" t="s">
        <v>4524</v>
      </c>
      <c r="DX425" s="2">
        <v>887</v>
      </c>
      <c r="DY425" s="12">
        <v>0</v>
      </c>
      <c r="DZ425" s="2" t="s">
        <v>102</v>
      </c>
      <c r="EA425" s="2" t="s">
        <v>102</v>
      </c>
      <c r="EB425" s="2" t="s">
        <v>102</v>
      </c>
      <c r="EC425" s="2" t="str">
        <f>HYPERLINK(".\links\gpi\AGAP006454-PA-gpi.txt","N")</f>
        <v>N</v>
      </c>
      <c r="ED425" s="2">
        <v>0.5</v>
      </c>
      <c r="EE425" s="2" t="s">
        <v>4528</v>
      </c>
      <c r="EF425" s="2">
        <v>6</v>
      </c>
      <c r="EG425" s="2" t="s">
        <v>102</v>
      </c>
      <c r="EH425" s="2" t="s">
        <v>102</v>
      </c>
      <c r="EI425" s="2">
        <v>15.5580608793687</v>
      </c>
      <c r="EJ425" s="2">
        <v>4.8478015783539998</v>
      </c>
      <c r="EK425" s="2">
        <v>8.1172491544532104</v>
      </c>
      <c r="EL425" s="2">
        <v>12.9650507328072</v>
      </c>
      <c r="EM425" s="2">
        <v>1</v>
      </c>
      <c r="EN425" s="2">
        <v>1</v>
      </c>
      <c r="EO425" s="2">
        <v>3</v>
      </c>
      <c r="EP425" s="2" t="s">
        <v>102</v>
      </c>
      <c r="EQ425" s="2" t="s">
        <v>102</v>
      </c>
      <c r="ER425" s="2" t="s">
        <v>102</v>
      </c>
      <c r="ES425" s="2" t="s">
        <v>102</v>
      </c>
      <c r="ET425" s="2" t="str">
        <f>HYPERLINK(".\links\REFSEQ-INVERTEBRATE\AGAP006454-PA-REFSEQ-INVERTEBRATE.txt","AGAP006454-PA")</f>
        <v>AGAP006454-PA</v>
      </c>
      <c r="EU425" s="2" t="str">
        <f>HYPERLINK("http://www.ncbi.nlm.nih.gov/sutils/blink.cgi?pid=XP_316495.4","0.0")</f>
        <v>0.0</v>
      </c>
      <c r="EV425" s="2" t="str">
        <f>HYPERLINK("http://www.ncbi.nlm.nih.gov/protein/XP_316495.4","XP_316495.4")</f>
        <v>XP_316495.4</v>
      </c>
      <c r="EW425" s="2">
        <v>100</v>
      </c>
      <c r="EX425" s="2">
        <v>100</v>
      </c>
      <c r="EY425" s="2">
        <v>100</v>
      </c>
      <c r="EZ425" s="2" t="s">
        <v>105</v>
      </c>
    </row>
    <row r="426" spans="1:156" x14ac:dyDescent="0.25">
      <c r="A426" s="2" t="s">
        <v>4529</v>
      </c>
      <c r="B426" s="2">
        <v>-0.34848133294226902</v>
      </c>
      <c r="C426" s="2">
        <f t="shared" si="6"/>
        <v>0.78541043287640977</v>
      </c>
      <c r="D426" s="2">
        <v>7.0533122188851598</v>
      </c>
      <c r="E426" s="2">
        <v>9.2700812218390496</v>
      </c>
      <c r="F426" s="2">
        <v>2.3292737344768298E-3</v>
      </c>
      <c r="G426" s="2">
        <v>4.58876742400747E-2</v>
      </c>
      <c r="H426" s="2" t="s">
        <v>93</v>
      </c>
      <c r="I426" s="2" t="s">
        <v>94</v>
      </c>
      <c r="J426" s="2" t="str">
        <f>HYPERLINK("https://vectorbase.org/vectorbase/app/record/gene/AGAP000961","AGAP000961-RA")</f>
        <v>AGAP000961-RA</v>
      </c>
      <c r="K426" s="2" t="str">
        <f>HYPERLINK(".\links\pep\AGAP000961-PA-pep.txt","AGAP000961-PA")</f>
        <v>AGAP000961-PA</v>
      </c>
      <c r="L426" s="12" t="s">
        <v>95</v>
      </c>
      <c r="M426" s="2">
        <v>864</v>
      </c>
      <c r="N426" s="2">
        <v>0</v>
      </c>
      <c r="O426" s="2">
        <v>0</v>
      </c>
      <c r="P426" s="2" t="s">
        <v>102</v>
      </c>
      <c r="Q426" s="9" t="s">
        <v>4530</v>
      </c>
      <c r="R426" s="2" t="s">
        <v>196</v>
      </c>
      <c r="S426" s="2" t="str">
        <f>HYPERLINK(".\links\REFSEQ-INVERTEBRATE\AGAP000961-PA-REFSEQ-INVERTEBRATE.txt","REFSEQ-INVERTEBRATE")</f>
        <v>REFSEQ-INVERTEBRATE</v>
      </c>
      <c r="T426" s="2">
        <v>0</v>
      </c>
      <c r="U426" s="2">
        <v>100</v>
      </c>
      <c r="V426" s="2" t="s">
        <v>4531</v>
      </c>
      <c r="W426" s="10" t="s">
        <v>4532</v>
      </c>
      <c r="X426" s="2" t="s">
        <v>355</v>
      </c>
      <c r="Y426" s="2" t="str">
        <f>HYPERLINK(".\links\CDD\AGAP000961-PA-CDD.txt","CDD")</f>
        <v>CDD</v>
      </c>
      <c r="Z426" s="15">
        <v>1.9999999999999999E-20</v>
      </c>
      <c r="AA426" s="2">
        <v>96.9</v>
      </c>
      <c r="AB426" s="13" t="str">
        <f>HYPERLINK(".\links\pep\AGAP000961-PA-sulf.txt","1")</f>
        <v>1</v>
      </c>
      <c r="AC426" s="13" t="str">
        <f>HYPERLINK(".\links\Sigp\AGAP000961-PA-SigP.txt","CYT")</f>
        <v>CYT</v>
      </c>
      <c r="AD426" s="2" t="s">
        <v>102</v>
      </c>
      <c r="AE426" s="2">
        <v>88.171000000000006</v>
      </c>
      <c r="AF426" s="2">
        <v>6.36</v>
      </c>
      <c r="AG426" s="2" t="s">
        <v>102</v>
      </c>
      <c r="AH426" s="2" t="s">
        <v>102</v>
      </c>
      <c r="AI426" s="2" t="s">
        <v>4533</v>
      </c>
      <c r="AJ426" s="13">
        <v>0</v>
      </c>
      <c r="AK426" s="2" t="s">
        <v>102</v>
      </c>
      <c r="AL426" s="2" t="s">
        <v>102</v>
      </c>
      <c r="AM426" s="2" t="s">
        <v>102</v>
      </c>
      <c r="AN426" s="13" t="str">
        <f>HYPERLINK(".\links\gpi\AGAP000961-PA-gpi.txt","N")</f>
        <v>N</v>
      </c>
      <c r="AO426" s="14" t="str">
        <f>HYPERLINK(".\links\netoglyc\AGAP000961-PA-netoglyc.txt","15")</f>
        <v>15</v>
      </c>
      <c r="AP426" s="13">
        <v>18.2</v>
      </c>
      <c r="AQ426" s="2">
        <v>12.6</v>
      </c>
      <c r="AR426" s="2">
        <v>7.3</v>
      </c>
      <c r="AS426" s="2">
        <v>0.7</v>
      </c>
      <c r="AT426" s="9" t="str">
        <f>HYPERLINK(".\links\NR-LIGHT\AGAP000961-PA-NR-LIGHT.txt","AGAP000961-PA")</f>
        <v>AGAP000961-PA</v>
      </c>
      <c r="AU426" s="2" t="str">
        <f>HYPERLINK("http://www.ncbi.nlm.nih.gov/sutils/blink.cgi?pid=XP_001688167.2","0.0")</f>
        <v>0.0</v>
      </c>
      <c r="AV426" s="2" t="str">
        <f>HYPERLINK("http://www.ncbi.nlm.nih.gov/protein/XP_001688167.2","XP_001688167.2")</f>
        <v>XP_001688167.2</v>
      </c>
      <c r="AW426" s="2">
        <v>100</v>
      </c>
      <c r="AX426" s="2">
        <v>100</v>
      </c>
      <c r="AY426" s="2">
        <v>100</v>
      </c>
      <c r="AZ426" s="2" t="s">
        <v>105</v>
      </c>
      <c r="BA426" s="9" t="str">
        <f>HYPERLINK(".\links\REFSEQ-INVERTEBRATE\AGAP000961-PA-REFSEQ-INVERTEBRATE.txt","AGAP000961-PA")</f>
        <v>AGAP000961-PA</v>
      </c>
      <c r="BB426" s="2" t="str">
        <f>HYPERLINK("http://www.ncbi.nlm.nih.gov/sutils/blink.cgi?pid=XP_001688167.2","0.0")</f>
        <v>0.0</v>
      </c>
      <c r="BC426" s="2" t="str">
        <f>HYPERLINK("http://www.ncbi.nlm.nih.gov/protein/XP_001688167.2","XP_001688167.2")</f>
        <v>XP_001688167.2</v>
      </c>
      <c r="BD426" s="2">
        <v>100</v>
      </c>
      <c r="BE426" s="2">
        <v>100</v>
      </c>
      <c r="BF426" s="2">
        <v>100</v>
      </c>
      <c r="BG426" s="2" t="s">
        <v>105</v>
      </c>
      <c r="BH426" s="9" t="str">
        <f>HYPERLINK(".\links\REFSEQ-PROTOZOA\AGAP000961-PA-REFSEQ-PROTOZOA.txt","hypothetical protein DFA_01589")</f>
        <v>hypothetical protein DFA_01589</v>
      </c>
      <c r="BI426" s="2" t="str">
        <f>HYPERLINK("http://www.ncbi.nlm.nih.gov/sutils/blink.cgi?pid=XP_004359553.1","5E-012")</f>
        <v>5E-012</v>
      </c>
      <c r="BJ426" s="2" t="str">
        <f>HYPERLINK("http://www.ncbi.nlm.nih.gov/protein/XP_004359553.1","XP_004359553.1")</f>
        <v>XP_004359553.1</v>
      </c>
      <c r="BK426" s="2">
        <v>31</v>
      </c>
      <c r="BL426" s="2">
        <v>46</v>
      </c>
      <c r="BM426" s="2">
        <v>22</v>
      </c>
      <c r="BN426" s="2" t="s">
        <v>212</v>
      </c>
      <c r="BO426" s="9" t="str">
        <f>HYPERLINK(".\links\SWISSP\AGAP000961-PA-SWISSP.txt","Caskin-2")</f>
        <v>Caskin-2</v>
      </c>
      <c r="BP426" s="2" t="str">
        <f>HYPERLINK("http://www.uniprot.org/uniprot/Q8VHK1","3E-037")</f>
        <v>3E-037</v>
      </c>
      <c r="BQ426" s="2" t="str">
        <f>HYPERLINK("http://www.uniprot.org/uniprot/Q8VHK1#expression","Q8VHK1")</f>
        <v>Q8VHK1</v>
      </c>
      <c r="BR426" s="2">
        <v>35</v>
      </c>
      <c r="BS426" s="2">
        <v>48</v>
      </c>
      <c r="BT426" s="2">
        <v>29</v>
      </c>
      <c r="BU426" s="2" t="s">
        <v>662</v>
      </c>
      <c r="BV426" s="9" t="str">
        <f>HYPERLINK(".\links\FLYBASE\AGAP000961-PA-FLYBASE.txt","FBpp0309008")</f>
        <v>FBpp0309008</v>
      </c>
      <c r="BW426" s="2" t="str">
        <f>HYPERLINK("http://flybase.org/reports/FBgn0033987#alliance_summary_container","4E-76")</f>
        <v>4E-76</v>
      </c>
      <c r="BX426" s="2">
        <v>845</v>
      </c>
      <c r="BY426" s="2">
        <v>63</v>
      </c>
      <c r="BZ426" s="2">
        <v>72</v>
      </c>
      <c r="CA426" s="2">
        <v>29</v>
      </c>
      <c r="CB426" s="9" t="str">
        <f>HYPERLINK(".\links\CDD\AGAP000961-PA-CDD.txt","SAM_caskin1,2_repeat2, SAM domain of caskin protein repeat 2")</f>
        <v>SAM_caskin1,2_repeat2, SAM domain of caskin protein repeat 2</v>
      </c>
      <c r="CC426" s="15">
        <v>3.0000000000000003E-29</v>
      </c>
      <c r="CD426" s="2">
        <v>98.6</v>
      </c>
      <c r="CE426" s="2" t="s">
        <v>4534</v>
      </c>
      <c r="CF426" s="2" t="s">
        <v>4535</v>
      </c>
      <c r="CG426" s="9" t="str">
        <f>HYPERLINK(".\links\KOG\AGAP000961-PA-KOG.txt","Uncharacterized SAM domain protein")</f>
        <v>Uncharacterized SAM domain protein</v>
      </c>
      <c r="CH426" s="15">
        <v>9.0000000000000002E-35</v>
      </c>
      <c r="CI426" s="2">
        <v>71.7</v>
      </c>
      <c r="CJ426" s="2" t="s">
        <v>4536</v>
      </c>
      <c r="CK426" s="2" t="s">
        <v>191</v>
      </c>
      <c r="CL426" s="9" t="str">
        <f>HYPERLINK(".\links\PFAM\AGAP000961-PA-PFAM.txt","SAM_1, SAM domain (Sterile alpha motif)")</f>
        <v>SAM_1, SAM domain (Sterile alpha motif)</v>
      </c>
      <c r="CM426" s="15">
        <v>4.0000000000000003E-15</v>
      </c>
      <c r="CN426" s="2">
        <v>95.2</v>
      </c>
      <c r="CO426" s="2" t="s">
        <v>4537</v>
      </c>
      <c r="CP426" s="9" t="str">
        <f>HYPERLINK(".\links\SMART\AGAP000961-PA-SMART.txt","SAM, Sterile alpha motif")</f>
        <v>SAM, Sterile alpha motif</v>
      </c>
      <c r="CQ426" s="15">
        <v>2.0000000000000002E-15</v>
      </c>
      <c r="CR426" s="2">
        <v>91.2</v>
      </c>
      <c r="CS426" s="2" t="s">
        <v>4538</v>
      </c>
      <c r="CT426" s="2" t="s">
        <v>4531</v>
      </c>
      <c r="CU426" s="2" t="s">
        <v>4531</v>
      </c>
      <c r="CV426" s="2" t="s">
        <v>4531</v>
      </c>
      <c r="CW426" s="2" t="str">
        <f>HYPERLINK(".\links\pep\AGAP000961-PA-pep.txt","AGAP000961-PA")</f>
        <v>AGAP000961-PA</v>
      </c>
      <c r="CX426" s="2" t="s">
        <v>95</v>
      </c>
      <c r="CY426" s="2">
        <v>864</v>
      </c>
      <c r="CZ426" s="2" t="s">
        <v>113</v>
      </c>
      <c r="DA426" s="2" t="s">
        <v>4539</v>
      </c>
      <c r="DB426" s="2">
        <v>0</v>
      </c>
      <c r="DC426" s="2">
        <v>0</v>
      </c>
      <c r="DD426" s="2" t="str">
        <f>HYPERLINK("https://www.kegg.jp/kegg-bin/search_pathway_text?map=aga&amp;keyword=AGAP000961&amp;mode=1&amp;viewImage=true","AGAP000961")</f>
        <v>AGAP000961</v>
      </c>
      <c r="DE426" s="2" t="s">
        <v>4529</v>
      </c>
      <c r="DF426" s="2" t="s">
        <v>93</v>
      </c>
      <c r="DG426" s="2" t="s">
        <v>94</v>
      </c>
      <c r="DH426" s="2" t="str">
        <f>HYPERLINK("https://vectorbase.org/vectorbase/app/record/gene/AGAP000961","AGAP000961-RA")</f>
        <v>AGAP000961-RA</v>
      </c>
      <c r="DI426" s="2" t="s">
        <v>135</v>
      </c>
      <c r="DJ426" s="2">
        <v>8111</v>
      </c>
      <c r="DK426" s="2" t="str">
        <f>HYPERLINK(".\links\netoglyc\AGAP000961-PA-netoglyc.txt","15")</f>
        <v>15</v>
      </c>
      <c r="DL426" s="2">
        <v>18.2</v>
      </c>
      <c r="DM426" s="2">
        <v>12.6</v>
      </c>
      <c r="DN426" s="2">
        <v>7.3</v>
      </c>
      <c r="DO426" s="2">
        <v>0.7</v>
      </c>
      <c r="DP426" s="2" t="s">
        <v>4540</v>
      </c>
      <c r="DQ426" s="2" t="str">
        <f>HYPERLINK(".\links\Sigp\AGAP000961-PA-SigP.txt","CYT")</f>
        <v>CYT</v>
      </c>
      <c r="DR426" s="2" t="s">
        <v>102</v>
      </c>
      <c r="DS426" s="2">
        <v>88.171000000000006</v>
      </c>
      <c r="DT426" s="2">
        <v>6.36</v>
      </c>
      <c r="DU426" s="2" t="s">
        <v>102</v>
      </c>
      <c r="DV426" s="2" t="s">
        <v>102</v>
      </c>
      <c r="DW426" s="2" t="s">
        <v>4533</v>
      </c>
      <c r="DX426" s="2">
        <v>864</v>
      </c>
      <c r="DY426" s="12">
        <v>0</v>
      </c>
      <c r="DZ426" s="2" t="s">
        <v>102</v>
      </c>
      <c r="EA426" s="2" t="s">
        <v>102</v>
      </c>
      <c r="EB426" s="2" t="s">
        <v>102</v>
      </c>
      <c r="EC426" s="2" t="str">
        <f>HYPERLINK(".\links\gpi\AGAP000961-PA-gpi.txt","Y-NoSP")</f>
        <v>Y-NoSP</v>
      </c>
      <c r="ED426" s="2">
        <v>0.34</v>
      </c>
      <c r="EF426" s="2">
        <v>8</v>
      </c>
      <c r="EG426" s="2" t="str">
        <f>HYPERLINK(".\links\pep\AGAP000961-PA-sulf.txt","1")</f>
        <v>1</v>
      </c>
      <c r="EH426" s="2" t="s">
        <v>102</v>
      </c>
      <c r="EI426" s="2">
        <v>18.171296296296301</v>
      </c>
      <c r="EJ426" s="2">
        <v>7.2916666666666696</v>
      </c>
      <c r="EK426" s="2">
        <v>12.6157407407407</v>
      </c>
      <c r="EL426" s="2">
        <v>19.907407407407401</v>
      </c>
      <c r="EM426" s="2">
        <v>5</v>
      </c>
      <c r="EN426" s="2" t="s">
        <v>102</v>
      </c>
      <c r="EO426" s="2">
        <v>8</v>
      </c>
      <c r="EP426" s="2" t="s">
        <v>102</v>
      </c>
      <c r="EQ426" s="2" t="s">
        <v>102</v>
      </c>
      <c r="ER426" s="2" t="s">
        <v>102</v>
      </c>
      <c r="ES426" s="2" t="s">
        <v>102</v>
      </c>
      <c r="ET426" s="2" t="str">
        <f>HYPERLINK(".\links\REFSEQ-INVERTEBRATE\AGAP000961-PA-REFSEQ-INVERTEBRATE.txt","AGAP000961-PA")</f>
        <v>AGAP000961-PA</v>
      </c>
      <c r="EU426" s="2" t="str">
        <f>HYPERLINK("http://www.ncbi.nlm.nih.gov/sutils/blink.cgi?pid=XP_001688167.2","0.0")</f>
        <v>0.0</v>
      </c>
      <c r="EV426" s="2" t="str">
        <f>HYPERLINK("http://www.ncbi.nlm.nih.gov/protein/XP_001688167.2","XP_001688167.2")</f>
        <v>XP_001688167.2</v>
      </c>
      <c r="EW426" s="2">
        <v>100</v>
      </c>
      <c r="EX426" s="2">
        <v>100</v>
      </c>
      <c r="EY426" s="2">
        <v>100</v>
      </c>
      <c r="EZ426" s="2" t="s">
        <v>105</v>
      </c>
    </row>
    <row r="427" spans="1:156" x14ac:dyDescent="0.25">
      <c r="A427" s="2" t="s">
        <v>4541</v>
      </c>
      <c r="B427" s="2">
        <v>-0.34850967899428198</v>
      </c>
      <c r="C427" s="2">
        <f t="shared" si="6"/>
        <v>0.78539500129479478</v>
      </c>
      <c r="D427" s="2">
        <v>6.3354307693007303</v>
      </c>
      <c r="E427" s="2">
        <v>12.0115204515164</v>
      </c>
      <c r="F427" s="2">
        <v>5.2872706137920195E-4</v>
      </c>
      <c r="G427" s="2">
        <v>2.6293505281983199E-2</v>
      </c>
      <c r="H427" s="2" t="s">
        <v>93</v>
      </c>
      <c r="I427" s="2" t="s">
        <v>94</v>
      </c>
      <c r="J427" s="2" t="str">
        <f>HYPERLINK("https://vectorbase.org/vectorbase/app/record/gene/AGAP013324","AGAP013324-RA")</f>
        <v>AGAP013324-RA</v>
      </c>
      <c r="K427" s="2" t="str">
        <f>HYPERLINK(".\links\pep\AGAP013324-PA-pep.txt","AGAP013324-PA")</f>
        <v>AGAP013324-PA</v>
      </c>
      <c r="L427" s="12" t="s">
        <v>95</v>
      </c>
      <c r="M427" s="2">
        <v>826</v>
      </c>
      <c r="N427" s="2">
        <v>0</v>
      </c>
      <c r="O427" s="2">
        <v>7</v>
      </c>
      <c r="P427" s="2" t="s">
        <v>4542</v>
      </c>
      <c r="Q427" s="9" t="s">
        <v>4543</v>
      </c>
      <c r="R427" s="2" t="s">
        <v>164</v>
      </c>
      <c r="S427" s="2" t="str">
        <f>HYPERLINK(".\links\REFSEQ-INVERTEBRATE\AGAP013324-PA-REFSEQ-INVERTEBRATE.txt","REFSEQ-INVERTEBRATE")</f>
        <v>REFSEQ-INVERTEBRATE</v>
      </c>
      <c r="T427" s="2">
        <v>0</v>
      </c>
      <c r="U427" s="2">
        <v>100.6</v>
      </c>
      <c r="V427" s="2" t="s">
        <v>4544</v>
      </c>
      <c r="W427" s="10" t="s">
        <v>4545</v>
      </c>
      <c r="X427" s="2" t="s">
        <v>164</v>
      </c>
      <c r="Y427" s="2" t="str">
        <f>HYPERLINK(".\links\REFSEQ-INVERTEBRATE\AGAP013324-PA-REFSEQ-INVERTEBRATE.txt","REFSEQ-INVERTEBRATE")</f>
        <v>REFSEQ-INVERTEBRATE</v>
      </c>
      <c r="Z427" s="2">
        <v>0</v>
      </c>
      <c r="AA427" s="2">
        <v>58.5</v>
      </c>
      <c r="AB427" s="13" t="str">
        <f>HYPERLINK(".\links\pep\AGAP013324-PA-sulf.txt","2")</f>
        <v>2</v>
      </c>
      <c r="AC427" s="13" t="str">
        <f>HYPERLINK(".\links\Sigp\AGAP013324-PA-SigP.txt","CYT")</f>
        <v>CYT</v>
      </c>
      <c r="AD427" s="2" t="s">
        <v>102</v>
      </c>
      <c r="AE427" s="2">
        <v>88.903999999999996</v>
      </c>
      <c r="AF427" s="2">
        <v>8.58</v>
      </c>
      <c r="AG427" s="2" t="s">
        <v>102</v>
      </c>
      <c r="AH427" s="2" t="s">
        <v>102</v>
      </c>
      <c r="AI427" s="2" t="s">
        <v>4546</v>
      </c>
      <c r="AJ427" s="13" t="str">
        <f>HYPERLINK(".\links\tmhmm\AGAP013324-PA-tmhmm.txt","5")</f>
        <v>5</v>
      </c>
      <c r="AK427" s="2">
        <v>13</v>
      </c>
      <c r="AL427" s="2">
        <v>42</v>
      </c>
      <c r="AM427" s="2">
        <v>45</v>
      </c>
      <c r="AN427" s="13" t="str">
        <f>HYPERLINK(".\links\gpi\AGAP013324-PA-gpi.txt","N")</f>
        <v>N</v>
      </c>
      <c r="AO427" s="14" t="str">
        <f>HYPERLINK(".\links\netoglyc\AGAP013324-PA-netoglyc.txt","8")</f>
        <v>8</v>
      </c>
      <c r="AP427" s="13">
        <v>19.2</v>
      </c>
      <c r="AQ427" s="2">
        <v>7.3</v>
      </c>
      <c r="AR427" s="2">
        <v>5.2</v>
      </c>
      <c r="AS427" s="2" t="s">
        <v>104</v>
      </c>
      <c r="AT427" s="9" t="str">
        <f>HYPERLINK(".\links\NR-LIGHT\AGAP013324-PA-NR-LIGHT.txt","AGAP013324-PA")</f>
        <v>AGAP013324-PA</v>
      </c>
      <c r="AU427" s="2" t="str">
        <f>HYPERLINK("http://www.ncbi.nlm.nih.gov/sutils/blink.cgi?pid=XP_003436692.1","0.0")</f>
        <v>0.0</v>
      </c>
      <c r="AV427" s="2" t="str">
        <f>HYPERLINK("http://www.ncbi.nlm.nih.gov/protein/XP_003436692.1","XP_003436692.1")</f>
        <v>XP_003436692.1</v>
      </c>
      <c r="AW427" s="2">
        <v>100</v>
      </c>
      <c r="AX427" s="2">
        <v>100</v>
      </c>
      <c r="AY427" s="2">
        <v>100</v>
      </c>
      <c r="AZ427" s="2" t="s">
        <v>105</v>
      </c>
      <c r="BA427" s="9" t="str">
        <f>HYPERLINK(".\links\REFSEQ-INVERTEBRATE\AGAP013324-PA-REFSEQ-INVERTEBRATE.txt","AGAP013324-PA")</f>
        <v>AGAP013324-PA</v>
      </c>
      <c r="BB427" s="2" t="str">
        <f>HYPERLINK("http://www.ncbi.nlm.nih.gov/sutils/blink.cgi?pid=XP_003436692.1","0.0")</f>
        <v>0.0</v>
      </c>
      <c r="BC427" s="2" t="str">
        <f>HYPERLINK("http://www.ncbi.nlm.nih.gov/protein/XP_003436692.1","XP_003436692.1")</f>
        <v>XP_003436692.1</v>
      </c>
      <c r="BD427" s="2">
        <v>100</v>
      </c>
      <c r="BE427" s="2">
        <v>100</v>
      </c>
      <c r="BF427" s="2">
        <v>100</v>
      </c>
      <c r="BG427" s="2" t="s">
        <v>105</v>
      </c>
      <c r="BH427" s="9" t="str">
        <f>HYPERLINK(".\links\REFSEQ-PROTOZOA\AGAP013324-PA-REFSEQ-PROTOZOA.txt","hypothetical protein EMH_0025720")</f>
        <v>hypothetical protein EMH_0025720</v>
      </c>
      <c r="BI427" s="2" t="str">
        <f>HYPERLINK("http://www.ncbi.nlm.nih.gov/sutils/blink.cgi?pid=XP_013357939.1","2E-011")</f>
        <v>2E-011</v>
      </c>
      <c r="BJ427" s="2" t="str">
        <f>HYPERLINK("http://www.ncbi.nlm.nih.gov/protein/XP_013357939.1","XP_013357939.1")</f>
        <v>XP_013357939.1</v>
      </c>
      <c r="BK427" s="2">
        <v>34</v>
      </c>
      <c r="BL427" s="2">
        <v>46</v>
      </c>
      <c r="BM427" s="2">
        <v>20</v>
      </c>
      <c r="BN427" s="2" t="s">
        <v>568</v>
      </c>
      <c r="BO427" s="9" t="str">
        <f>HYPERLINK(".\links\SWISSP\AGAP013324-PA-SWISSP.txt","Putative tyramine receptor 2")</f>
        <v>Putative tyramine receptor 2</v>
      </c>
      <c r="BP427" s="2" t="str">
        <f>HYPERLINK("http://www.uniprot.org/uniprot/Q25322","2E-030")</f>
        <v>2E-030</v>
      </c>
      <c r="BQ427" s="2" t="str">
        <f>HYPERLINK("http://www.uniprot.org/uniprot/Q25322#expression","Q25322")</f>
        <v>Q25322</v>
      </c>
      <c r="BR427" s="2">
        <v>27</v>
      </c>
      <c r="BS427" s="2">
        <v>44</v>
      </c>
      <c r="BT427" s="2">
        <v>76</v>
      </c>
      <c r="BU427" s="2" t="s">
        <v>4547</v>
      </c>
      <c r="BV427" s="9" t="str">
        <f>HYPERLINK(".\links\FLYBASE\AGAP013324-PA-FLYBASE.txt","FBpp0311989")</f>
        <v>FBpp0311989</v>
      </c>
      <c r="BW427" s="2" t="str">
        <f>HYPERLINK("http://flybase.org/reports/FBgn0038542#alliance_summary_container","9E-89")</f>
        <v>9E-89</v>
      </c>
      <c r="BX427" s="2">
        <v>631</v>
      </c>
      <c r="BY427" s="2">
        <v>54</v>
      </c>
      <c r="BZ427" s="2">
        <v>66</v>
      </c>
      <c r="CA427" s="2">
        <v>45</v>
      </c>
      <c r="CB427" s="9" t="str">
        <f>HYPERLINK(".\links\CDD\AGAP013324-PA-CDD.txt","7tmA_tyramine_R-like, tyramine receptors and similar proteins, member of the class A family of seven-transmembrane G protein-coupled receptors")</f>
        <v>7tmA_tyramine_R-like, tyramine receptors and similar proteins, member of the class A family of seven-transmembrane G protein-coupled receptors</v>
      </c>
      <c r="CC427" s="15">
        <v>7.0000000000000001E-63</v>
      </c>
      <c r="CD427" s="2">
        <v>82</v>
      </c>
      <c r="CE427" s="2" t="s">
        <v>4548</v>
      </c>
      <c r="CF427" s="2" t="s">
        <v>4549</v>
      </c>
      <c r="CG427" s="9" t="str">
        <f>HYPERLINK(".\links\KOG\AGAP013324-PA-KOG.txt","Muscarinic acetylcholine receptor")</f>
        <v>Muscarinic acetylcholine receptor</v>
      </c>
      <c r="CH427" s="15">
        <v>4.9999999999999996E-25</v>
      </c>
      <c r="CI427" s="2">
        <v>20.7</v>
      </c>
      <c r="CJ427" s="2" t="s">
        <v>4550</v>
      </c>
      <c r="CK427" s="2" t="s">
        <v>173</v>
      </c>
      <c r="CL427" s="9" t="str">
        <f>HYPERLINK(".\links\PFAM\AGAP013324-PA-PFAM.txt","7tm_1, 7 transmembrane receptor (rhodopsin family)")</f>
        <v>7tm_1, 7 transmembrane receptor (rhodopsin family)</v>
      </c>
      <c r="CM427" s="15">
        <v>6.0000000000000001E-28</v>
      </c>
      <c r="CN427" s="2">
        <v>33.1</v>
      </c>
      <c r="CO427" s="2" t="s">
        <v>310</v>
      </c>
      <c r="CP427" s="9" t="str">
        <f>HYPERLINK(".\links\SMART\AGAP013324-PA-SMART.txt","CPSF73-100_C, This is the C-terminal conserved region of the pre-mRNA 3'-end-processing of the polyadenylation factor CPSF-73/CPSF-100 proteins")</f>
        <v>CPSF73-100_C, This is the C-terminal conserved region of the pre-mRNA 3'-end-processing of the polyadenylation factor CPSF-73/CPSF-100 proteins</v>
      </c>
      <c r="CQ427" s="15">
        <v>0.36</v>
      </c>
      <c r="CR427" s="2">
        <v>7.1</v>
      </c>
      <c r="CS427" s="2" t="s">
        <v>2755</v>
      </c>
      <c r="CT427" s="2" t="s">
        <v>4544</v>
      </c>
      <c r="CU427" s="2" t="s">
        <v>4544</v>
      </c>
      <c r="CV427" s="2" t="s">
        <v>4544</v>
      </c>
      <c r="CW427" s="2" t="str">
        <f>HYPERLINK(".\links\pep\AGAP013324-PA-pep.txt","AGAP013324-PA")</f>
        <v>AGAP013324-PA</v>
      </c>
      <c r="CX427" s="2" t="s">
        <v>95</v>
      </c>
      <c r="CY427" s="2">
        <v>480</v>
      </c>
      <c r="CZ427" s="2" t="s">
        <v>113</v>
      </c>
      <c r="DA427" s="2" t="s">
        <v>4551</v>
      </c>
      <c r="DB427" s="2">
        <v>0</v>
      </c>
      <c r="DC427" s="2">
        <v>2</v>
      </c>
      <c r="DD427" s="2" t="str">
        <f>HYPERLINK("https://www.kegg.jp/kegg-bin/search_pathway_text?map=aga&amp;keyword=AGAP013324&amp;mode=1&amp;viewImage=true","AGAP013324")</f>
        <v>AGAP013324</v>
      </c>
      <c r="DE427" s="2" t="s">
        <v>4541</v>
      </c>
      <c r="DF427" s="2" t="s">
        <v>93</v>
      </c>
      <c r="DG427" s="2" t="s">
        <v>94</v>
      </c>
      <c r="DH427" s="2" t="str">
        <f>HYPERLINK("https://vectorbase.org/vectorbase/app/record/gene/AGAP013324","AGAP013324-RA")</f>
        <v>AGAP013324-RA</v>
      </c>
      <c r="DI427" s="2" t="s">
        <v>118</v>
      </c>
      <c r="DJ427" s="2">
        <v>3683</v>
      </c>
      <c r="DK427" s="2" t="str">
        <f>HYPERLINK(".\links\netoglyc\AGAP013324-PA-netoglyc.txt","9")</f>
        <v>9</v>
      </c>
      <c r="DL427" s="2">
        <v>19</v>
      </c>
      <c r="DM427" s="2">
        <v>8.1</v>
      </c>
      <c r="DN427" s="2">
        <v>5.2</v>
      </c>
      <c r="DO427" s="2" t="s">
        <v>104</v>
      </c>
      <c r="DP427" s="2" t="s">
        <v>102</v>
      </c>
      <c r="DQ427" s="2" t="str">
        <f>HYPERLINK(".\links\Sigp\AGAP013324-PA-SigP.txt","CYT")</f>
        <v>CYT</v>
      </c>
      <c r="DR427" s="2" t="s">
        <v>102</v>
      </c>
      <c r="DS427" s="2">
        <v>52.588000000000001</v>
      </c>
      <c r="DT427" s="2">
        <v>9.34</v>
      </c>
      <c r="DU427" s="2" t="s">
        <v>102</v>
      </c>
      <c r="DV427" s="2" t="s">
        <v>102</v>
      </c>
      <c r="DW427" s="2" t="s">
        <v>4552</v>
      </c>
      <c r="DX427" s="2">
        <v>480</v>
      </c>
      <c r="DY427" s="12" t="str">
        <f>HYPERLINK(".\links\tmhmm\AGAP013324-PA-tmhmm.txt","3")</f>
        <v>3</v>
      </c>
      <c r="DZ427" s="2">
        <v>13.1</v>
      </c>
      <c r="EA427" s="2">
        <v>12.1</v>
      </c>
      <c r="EB427" s="2">
        <v>74.8</v>
      </c>
      <c r="EC427" s="2" t="str">
        <f>HYPERLINK(".\links\gpi\AGAP013324-PA-gpi.txt","N")</f>
        <v>N</v>
      </c>
      <c r="ED427" s="2">
        <v>0.28000000000000003</v>
      </c>
      <c r="EF427" s="2">
        <v>4</v>
      </c>
      <c r="EG427" s="2" t="str">
        <f>HYPERLINK(".\links\pep\AGAP013324-PA-sulf.txt","1")</f>
        <v>1</v>
      </c>
      <c r="EH427" s="2" t="s">
        <v>102</v>
      </c>
      <c r="EI427" s="2">
        <v>18.9583333333333</v>
      </c>
      <c r="EJ427" s="2">
        <v>5.2083333333333304</v>
      </c>
      <c r="EK427" s="2">
        <v>8.125</v>
      </c>
      <c r="EL427" s="2">
        <v>13.3333333333333</v>
      </c>
      <c r="EM427" s="2">
        <v>1</v>
      </c>
      <c r="EN427" s="2" t="s">
        <v>102</v>
      </c>
      <c r="EO427" s="2">
        <v>2</v>
      </c>
      <c r="EP427" s="2" t="s">
        <v>102</v>
      </c>
      <c r="EQ427" s="2" t="s">
        <v>102</v>
      </c>
      <c r="ER427" s="2" t="s">
        <v>102</v>
      </c>
      <c r="ES427" s="2" t="s">
        <v>102</v>
      </c>
      <c r="ET427" s="2" t="str">
        <f>HYPERLINK(".\links\REFSEQ-INVERTEBRATE\AGAP013324-PA-REFSEQ-INVERTEBRATE.txt","AGAP013324-PA")</f>
        <v>AGAP013324-PA</v>
      </c>
      <c r="EU427" s="2" t="str">
        <f>HYPERLINK("http://www.ncbi.nlm.nih.gov/sutils/blink.cgi?pid=XP_003436692.1","0.0")</f>
        <v>0.0</v>
      </c>
      <c r="EV427" s="2" t="str">
        <f>HYPERLINK("http://www.ncbi.nlm.nih.gov/protein/XP_003436692.1","XP_003436692.1")</f>
        <v>XP_003436692.1</v>
      </c>
      <c r="EW427" s="2">
        <v>100</v>
      </c>
      <c r="EX427" s="2">
        <v>100</v>
      </c>
      <c r="EY427" s="2">
        <v>58</v>
      </c>
      <c r="EZ427" s="2" t="s">
        <v>105</v>
      </c>
    </row>
    <row r="428" spans="1:156" x14ac:dyDescent="0.25">
      <c r="A428" s="2" t="s">
        <v>4553</v>
      </c>
      <c r="B428" s="2">
        <v>-0.34872366752315698</v>
      </c>
      <c r="C428" s="2">
        <f t="shared" si="6"/>
        <v>0.78527851579192631</v>
      </c>
      <c r="D428" s="2">
        <v>6.6021031223497202</v>
      </c>
      <c r="E428" s="2">
        <v>14.226334377528699</v>
      </c>
      <c r="F428" s="2">
        <v>1.62086275376449E-4</v>
      </c>
      <c r="G428" s="2">
        <v>1.40119319634641E-2</v>
      </c>
      <c r="H428" s="2" t="s">
        <v>4554</v>
      </c>
      <c r="I428" s="2" t="s">
        <v>102</v>
      </c>
      <c r="J428" s="2" t="str">
        <f>HYPERLINK("https://vectorbase.org/vectorbase/app/record/gene/AGAP008802","AGAP008802-RA")</f>
        <v>AGAP008802-RA</v>
      </c>
      <c r="K428" s="2" t="str">
        <f>HYPERLINK(".\links\pep\AGAP008802-PA-pep.txt","AGAP008802-PA")</f>
        <v>AGAP008802-PA</v>
      </c>
      <c r="L428" s="12" t="s">
        <v>95</v>
      </c>
      <c r="M428" s="2">
        <v>415</v>
      </c>
      <c r="N428" s="2">
        <v>0</v>
      </c>
      <c r="O428" s="2">
        <v>1</v>
      </c>
      <c r="P428" s="2" t="s">
        <v>4555</v>
      </c>
      <c r="Q428" s="9" t="s">
        <v>4556</v>
      </c>
      <c r="R428" s="2" t="s">
        <v>2281</v>
      </c>
      <c r="S428" s="2" t="str">
        <f>HYPERLINK(".\links\KOG\AGAP008802-PA-KOG.txt","KOG")</f>
        <v>KOG</v>
      </c>
      <c r="T428" s="2">
        <v>0</v>
      </c>
      <c r="U428" s="2">
        <v>99.7</v>
      </c>
      <c r="V428" s="2" t="s">
        <v>4557</v>
      </c>
      <c r="W428" s="10" t="s">
        <v>4558</v>
      </c>
      <c r="X428" s="2" t="s">
        <v>355</v>
      </c>
      <c r="Y428" s="2" t="str">
        <f>HYPERLINK(".\links\UNIPROTKB\AGAP008802-PA-UNIPROTKB.txt","UNIPROTKB")</f>
        <v>UNIPROTKB</v>
      </c>
      <c r="Z428" s="2">
        <v>0</v>
      </c>
      <c r="AA428" s="2">
        <v>98</v>
      </c>
      <c r="AB428" s="13" t="str">
        <f>HYPERLINK(".\links\pep\AGAP008802-PA-sulf.txt","1")</f>
        <v>1</v>
      </c>
      <c r="AC428" s="13" t="str">
        <f>HYPERLINK(".\links\Sigp\AGAP008802-PA-SigP.txt","CYT")</f>
        <v>CYT</v>
      </c>
      <c r="AD428" s="2" t="s">
        <v>102</v>
      </c>
      <c r="AE428" s="2">
        <v>43.859000000000002</v>
      </c>
      <c r="AF428" s="2">
        <v>7.02</v>
      </c>
      <c r="AG428" s="2" t="s">
        <v>102</v>
      </c>
      <c r="AH428" s="2" t="s">
        <v>102</v>
      </c>
      <c r="AI428" s="2" t="s">
        <v>611</v>
      </c>
      <c r="AJ428" s="13">
        <v>0</v>
      </c>
      <c r="AK428" s="2" t="s">
        <v>102</v>
      </c>
      <c r="AL428" s="2" t="s">
        <v>102</v>
      </c>
      <c r="AM428" s="2" t="s">
        <v>102</v>
      </c>
      <c r="AN428" s="13" t="str">
        <f>HYPERLINK(".\links\gpi\AGAP008802-PA-gpi.txt","N")</f>
        <v>N</v>
      </c>
      <c r="AO428" s="14" t="str">
        <f>HYPERLINK(".\links\netoglyc\AGAP008802-PA-netoglyc.txt","0")</f>
        <v>0</v>
      </c>
      <c r="AP428" s="13">
        <v>9.6</v>
      </c>
      <c r="AQ428" s="2">
        <v>10.6</v>
      </c>
      <c r="AR428" s="2">
        <v>3.9</v>
      </c>
      <c r="AS428" s="2" t="s">
        <v>104</v>
      </c>
      <c r="AT428" s="9" t="str">
        <f>HYPERLINK(".\links\NR-LIGHT\AGAP008802-PA-NR-LIGHT.txt","AGAP008802-PA")</f>
        <v>AGAP008802-PA</v>
      </c>
      <c r="AU428" s="2" t="str">
        <f>HYPERLINK("http://www.ncbi.nlm.nih.gov/sutils/blink.cgi?pid=XP_314928.2","0.0")</f>
        <v>0.0</v>
      </c>
      <c r="AV428" s="2" t="str">
        <f>HYPERLINK("http://www.ncbi.nlm.nih.gov/protein/XP_314928.2","XP_314928.2")</f>
        <v>XP_314928.2</v>
      </c>
      <c r="AW428" s="2">
        <v>100</v>
      </c>
      <c r="AX428" s="2">
        <v>100</v>
      </c>
      <c r="AY428" s="2">
        <v>100</v>
      </c>
      <c r="AZ428" s="2" t="s">
        <v>105</v>
      </c>
      <c r="BA428" s="9" t="str">
        <f>HYPERLINK(".\links\REFSEQ-INVERTEBRATE\AGAP008802-PA-REFSEQ-INVERTEBRATE.txt","AGAP008802-PA")</f>
        <v>AGAP008802-PA</v>
      </c>
      <c r="BB428" s="2" t="str">
        <f>HYPERLINK("http://www.ncbi.nlm.nih.gov/sutils/blink.cgi?pid=XP_314928.2","0.0")</f>
        <v>0.0</v>
      </c>
      <c r="BC428" s="2" t="str">
        <f>HYPERLINK("http://www.ncbi.nlm.nih.gov/protein/XP_314928.2","XP_314928.2")</f>
        <v>XP_314928.2</v>
      </c>
      <c r="BD428" s="2">
        <v>100</v>
      </c>
      <c r="BE428" s="2">
        <v>100</v>
      </c>
      <c r="BF428" s="2">
        <v>100</v>
      </c>
      <c r="BG428" s="2" t="s">
        <v>105</v>
      </c>
      <c r="BH428" s="9" t="str">
        <f>HYPERLINK(".\links\REFSEQ-PROTOZOA\AGAP008802-PA-REFSEQ-PROTOZOA.txt","phosphoglycerate kinase")</f>
        <v>phosphoglycerate kinase</v>
      </c>
      <c r="BI428" s="2" t="str">
        <f>HYPERLINK("http://www.ncbi.nlm.nih.gov/sutils/blink.cgi?pid=XP_009535968.1","1E-160")</f>
        <v>1E-160</v>
      </c>
      <c r="BJ428" s="2" t="str">
        <f>HYPERLINK("http://www.ncbi.nlm.nih.gov/protein/XP_009535968.1","XP_009535968.1")</f>
        <v>XP_009535968.1</v>
      </c>
      <c r="BK428" s="2">
        <v>69</v>
      </c>
      <c r="BL428" s="2">
        <v>82</v>
      </c>
      <c r="BM428" s="2">
        <v>100</v>
      </c>
      <c r="BN428" s="2" t="s">
        <v>718</v>
      </c>
      <c r="BO428" s="9" t="str">
        <f>HYPERLINK(".\links\SWISSP\AGAP008802-PA-SWISSP.txt","Phosphoglycerate kinase")</f>
        <v>Phosphoglycerate kinase</v>
      </c>
      <c r="BP428" s="2" t="str">
        <f>HYPERLINK("http://www.uniprot.org/uniprot/Q01604","0.0")</f>
        <v>0.0</v>
      </c>
      <c r="BQ428" s="2" t="str">
        <f>HYPERLINK("http://www.uniprot.org/uniprot/Q01604#expression","Q01604")</f>
        <v>Q01604</v>
      </c>
      <c r="BR428" s="2">
        <v>87</v>
      </c>
      <c r="BS428" s="2">
        <v>92</v>
      </c>
      <c r="BT428" s="2">
        <v>100</v>
      </c>
      <c r="BU428" s="2" t="s">
        <v>107</v>
      </c>
      <c r="BV428" s="9" t="str">
        <f>HYPERLINK(".\links\FLYBASE\AGAP008802-PA-FLYBASE.txt","FBpp0306279")</f>
        <v>FBpp0306279</v>
      </c>
      <c r="BW428" s="2" t="str">
        <f>HYPERLINK("http://flybase.org/reports/FBgn0250906#alliance_summary_container","0.0")</f>
        <v>0.0</v>
      </c>
      <c r="BX428" s="2">
        <v>415</v>
      </c>
      <c r="BY428" s="2">
        <v>87</v>
      </c>
      <c r="BZ428" s="2">
        <v>92</v>
      </c>
      <c r="CA428" s="2">
        <v>100</v>
      </c>
      <c r="CB428" s="9" t="str">
        <f>HYPERLINK(".\links\CDD\AGAP008802-PA-CDD.txt","PTZ00005, phosphoglycerate kinase")</f>
        <v>PTZ00005, phosphoglycerate kinase</v>
      </c>
      <c r="CC428" s="15">
        <v>0</v>
      </c>
      <c r="CD428" s="2">
        <v>99.8</v>
      </c>
      <c r="CE428" s="2" t="s">
        <v>4559</v>
      </c>
      <c r="CF428" s="2" t="s">
        <v>4560</v>
      </c>
      <c r="CG428" s="9" t="str">
        <f>HYPERLINK(".\links\KOG\AGAP008802-PA-KOG.txt","3-phosphoglycerate kinase")</f>
        <v>3-phosphoglycerate kinase</v>
      </c>
      <c r="CH428" s="15">
        <v>0</v>
      </c>
      <c r="CI428" s="2">
        <v>99.8</v>
      </c>
      <c r="CJ428" s="2" t="s">
        <v>4561</v>
      </c>
      <c r="CK428" s="2" t="s">
        <v>2307</v>
      </c>
      <c r="CL428" s="9" t="str">
        <f>HYPERLINK(".\links\PFAM\AGAP008802-PA-PFAM.txt","PGK, Phosphoglycerate kinase")</f>
        <v>PGK, Phosphoglycerate kinase</v>
      </c>
      <c r="CM428" s="15">
        <v>9.9999999999999992E-164</v>
      </c>
      <c r="CN428" s="2">
        <v>105.9</v>
      </c>
      <c r="CO428" s="2" t="s">
        <v>4562</v>
      </c>
      <c r="CP428" s="9" t="str">
        <f>HYPERLINK(".\links\SMART\AGAP008802-PA-SMART.txt","Tim44, Tim44 is an essential component of the machinery that mediates the translocation of nuclear-encoded proteins across the mitochondrial inner membrane")</f>
        <v>Tim44, Tim44 is an essential component of the machinery that mediates the translocation of nuclear-encoded proteins across the mitochondrial inner membrane</v>
      </c>
      <c r="CQ428" s="15">
        <v>0.15</v>
      </c>
      <c r="CR428" s="2">
        <v>21.1</v>
      </c>
      <c r="CS428" s="2" t="s">
        <v>4563</v>
      </c>
      <c r="CT428" s="2" t="s">
        <v>4557</v>
      </c>
      <c r="CU428" s="2" t="s">
        <v>4557</v>
      </c>
      <c r="CV428" s="2" t="s">
        <v>4557</v>
      </c>
      <c r="CW428" s="2" t="str">
        <f>HYPERLINK(".\links\pep\AGAP008802-PA-pep.txt","AGAP008802-PA")</f>
        <v>AGAP008802-PA</v>
      </c>
      <c r="CX428" s="2" t="s">
        <v>95</v>
      </c>
      <c r="CY428" s="2">
        <v>415</v>
      </c>
      <c r="CZ428" s="2" t="s">
        <v>113</v>
      </c>
      <c r="DA428" s="2">
        <v>0</v>
      </c>
      <c r="DB428" s="2">
        <v>1</v>
      </c>
      <c r="DD428" s="2" t="str">
        <f>HYPERLINK("https://www.kegg.jp/kegg-bin/search_pathway_text?map=aga&amp;keyword=AGAP008802&amp;mode=1&amp;viewImage=true","AGAP008802")</f>
        <v>AGAP008802</v>
      </c>
      <c r="DE428" s="2" t="s">
        <v>4553</v>
      </c>
      <c r="DF428" s="2" t="s">
        <v>4554</v>
      </c>
      <c r="DG428" s="2" t="s">
        <v>102</v>
      </c>
      <c r="DH428" s="2" t="str">
        <f>HYPERLINK("https://vectorbase.org/vectorbase/app/record/gene/AGAP008802","AGAP008802-RA")</f>
        <v>AGAP008802-RA</v>
      </c>
      <c r="DI428" s="2" t="s">
        <v>115</v>
      </c>
      <c r="DJ428" s="2">
        <v>1556</v>
      </c>
      <c r="DK428" s="2" t="str">
        <f>HYPERLINK(".\links\netoglyc\AGAP008802-PA-netoglyc.txt","0")</f>
        <v>0</v>
      </c>
      <c r="DL428" s="2">
        <v>9.6</v>
      </c>
      <c r="DM428" s="2">
        <v>10.6</v>
      </c>
      <c r="DN428" s="2">
        <v>3.9</v>
      </c>
      <c r="DO428" s="2" t="s">
        <v>104</v>
      </c>
      <c r="DP428" s="2" t="s">
        <v>102</v>
      </c>
      <c r="DQ428" s="2" t="str">
        <f>HYPERLINK(".\links\Sigp\AGAP008802-PA-SigP.txt","CYT")</f>
        <v>CYT</v>
      </c>
      <c r="DR428" s="2" t="s">
        <v>102</v>
      </c>
      <c r="DS428" s="2">
        <v>43.856000000000002</v>
      </c>
      <c r="DT428" s="2">
        <v>7.02</v>
      </c>
      <c r="DU428" s="2" t="s">
        <v>102</v>
      </c>
      <c r="DV428" s="2" t="s">
        <v>102</v>
      </c>
      <c r="DW428" s="2" t="s">
        <v>611</v>
      </c>
      <c r="DX428" s="2">
        <v>415</v>
      </c>
      <c r="DY428" s="12">
        <v>0</v>
      </c>
      <c r="DZ428" s="2" t="s">
        <v>102</v>
      </c>
      <c r="EA428" s="2" t="s">
        <v>102</v>
      </c>
      <c r="EB428" s="2" t="s">
        <v>102</v>
      </c>
      <c r="EC428" s="2" t="str">
        <f>HYPERLINK(".\links\gpi\AGAP008802-PA-gpi.txt","Y-NoSP")</f>
        <v>Y-NoSP</v>
      </c>
      <c r="ED428" s="2">
        <v>0.34</v>
      </c>
      <c r="EF428" s="2">
        <v>4</v>
      </c>
      <c r="EG428" s="2" t="str">
        <f>HYPERLINK(".\links\pep\AGAP008802-PA-sulf.txt","1")</f>
        <v>1</v>
      </c>
      <c r="EH428" s="2" t="s">
        <v>102</v>
      </c>
      <c r="EI428" s="2">
        <v>9.6385542168674707</v>
      </c>
      <c r="EJ428" s="2">
        <v>3.8554216867469902</v>
      </c>
      <c r="EK428" s="2">
        <v>10.602409638554199</v>
      </c>
      <c r="EL428" s="2">
        <v>14.4578313253012</v>
      </c>
      <c r="EM428" s="2">
        <v>3</v>
      </c>
      <c r="EN428" s="2">
        <v>3</v>
      </c>
      <c r="EO428" s="2">
        <v>5</v>
      </c>
      <c r="EP428" s="2" t="s">
        <v>102</v>
      </c>
      <c r="EQ428" s="2" t="s">
        <v>102</v>
      </c>
      <c r="ER428" s="2" t="s">
        <v>102</v>
      </c>
      <c r="ES428" s="2" t="s">
        <v>102</v>
      </c>
      <c r="ET428" s="2" t="str">
        <f>HYPERLINK(".\links\REFSEQ-INVERTEBRATE\AGAP008802-PA-REFSEQ-INVERTEBRATE.txt","AGAP008802-PA")</f>
        <v>AGAP008802-PA</v>
      </c>
      <c r="EU428" s="2" t="str">
        <f>HYPERLINK("http://www.ncbi.nlm.nih.gov/sutils/blink.cgi?pid=XP_314928.2","0.0")</f>
        <v>0.0</v>
      </c>
      <c r="EV428" s="2" t="str">
        <f>HYPERLINK("http://www.ncbi.nlm.nih.gov/protein/XP_314928.2","XP_314928.2")</f>
        <v>XP_314928.2</v>
      </c>
      <c r="EW428" s="2">
        <v>100</v>
      </c>
      <c r="EX428" s="2">
        <v>100</v>
      </c>
      <c r="EY428" s="2">
        <v>100</v>
      </c>
      <c r="EZ428" s="2" t="s">
        <v>105</v>
      </c>
    </row>
    <row r="429" spans="1:156" x14ac:dyDescent="0.25">
      <c r="A429" s="2" t="s">
        <v>4564</v>
      </c>
      <c r="B429" s="2">
        <v>-0.349097702370192</v>
      </c>
      <c r="C429" s="2">
        <f t="shared" si="6"/>
        <v>0.78507494993136473</v>
      </c>
      <c r="D429" s="2">
        <v>6.8891395250871899</v>
      </c>
      <c r="E429" s="2">
        <v>9.5587162901886504</v>
      </c>
      <c r="F429" s="2">
        <v>1.9900222350084E-3</v>
      </c>
      <c r="G429" s="2">
        <v>4.3484853937932999E-2</v>
      </c>
      <c r="H429" s="2" t="s">
        <v>93</v>
      </c>
      <c r="I429" s="2" t="s">
        <v>94</v>
      </c>
      <c r="J429" s="2" t="str">
        <f>HYPERLINK("https://vectorbase.org/vectorbase/app/record/gene/AGAP008379","AGAP008379-RA")</f>
        <v>AGAP008379-RA</v>
      </c>
      <c r="K429" s="2" t="str">
        <f>HYPERLINK(".\links\pep\AGAP008379-PA-pep.txt","AGAP008379-PA")</f>
        <v>AGAP008379-PA</v>
      </c>
      <c r="L429" s="12" t="s">
        <v>95</v>
      </c>
      <c r="M429" s="2">
        <v>1526</v>
      </c>
      <c r="N429" s="2">
        <v>0</v>
      </c>
      <c r="O429" s="2">
        <v>4</v>
      </c>
      <c r="P429" s="2" t="s">
        <v>102</v>
      </c>
      <c r="Q429" s="9" t="s">
        <v>4565</v>
      </c>
      <c r="R429" s="2" t="s">
        <v>196</v>
      </c>
      <c r="S429" s="2" t="str">
        <f>HYPERLINK(".\links\REFSEQ-INVERTEBRATE\AGAP008379-PA-REFSEQ-INVERTEBRATE.txt","REFSEQ-INVERTEBRATE")</f>
        <v>REFSEQ-INVERTEBRATE</v>
      </c>
      <c r="T429" s="2">
        <v>0</v>
      </c>
      <c r="U429" s="2">
        <v>103.9</v>
      </c>
      <c r="V429" s="2" t="s">
        <v>4566</v>
      </c>
      <c r="W429" s="10" t="s">
        <v>4567</v>
      </c>
      <c r="X429" s="2" t="s">
        <v>196</v>
      </c>
      <c r="Y429" s="2" t="str">
        <f>HYPERLINK(".\links\REFSEQVERTEBRATE95\AGAP008379-PA-REFSEQVERTEBRATE95.txt","REFSEQVERTEBRATE95")</f>
        <v>REFSEQVERTEBRATE95</v>
      </c>
      <c r="Z429" s="2">
        <v>0</v>
      </c>
      <c r="AA429" s="2" t="s">
        <v>125</v>
      </c>
      <c r="AB429" s="13" t="str">
        <f>HYPERLINK(".\links\pep\AGAP008379-PA-sulf.txt","1")</f>
        <v>1</v>
      </c>
      <c r="AC429" s="13" t="str">
        <f>HYPERLINK(".\links\Sigp\AGAP008379-PA-SigP.txt","CYT")</f>
        <v>CYT</v>
      </c>
      <c r="AD429" s="2" t="s">
        <v>102</v>
      </c>
      <c r="AE429" s="2">
        <v>167.33699999999999</v>
      </c>
      <c r="AF429" s="2">
        <v>5.99</v>
      </c>
      <c r="AG429" s="2" t="s">
        <v>102</v>
      </c>
      <c r="AH429" s="2" t="s">
        <v>102</v>
      </c>
      <c r="AI429" s="2" t="s">
        <v>611</v>
      </c>
      <c r="AJ429" s="13">
        <v>0</v>
      </c>
      <c r="AK429" s="2" t="s">
        <v>102</v>
      </c>
      <c r="AL429" s="2" t="s">
        <v>102</v>
      </c>
      <c r="AM429" s="2" t="s">
        <v>102</v>
      </c>
      <c r="AN429" s="13" t="str">
        <f>HYPERLINK(".\links\gpi\AGAP008379-PA-gpi.txt","N")</f>
        <v>N</v>
      </c>
      <c r="AO429" s="14" t="str">
        <f>HYPERLINK(".\links\netoglyc\AGAP008379-PA-netoglyc.txt","11")</f>
        <v>11</v>
      </c>
      <c r="AP429" s="13">
        <v>18</v>
      </c>
      <c r="AQ429" s="2">
        <v>5.6</v>
      </c>
      <c r="AR429" s="2">
        <v>6</v>
      </c>
      <c r="AS429" s="2" t="s">
        <v>104</v>
      </c>
      <c r="AT429" s="9" t="str">
        <f>HYPERLINK(".\links\NR-LIGHT\AGAP008379-PA-NR-LIGHT.txt","hypothetical protein ZHAS_00017580")</f>
        <v>hypothetical protein ZHAS_00017580</v>
      </c>
      <c r="AU429" s="2" t="str">
        <f>HYPERLINK("http://www.ncbi.nlm.nih.gov/sutils/blink.cgi?pid=KFB49571.1","0.0")</f>
        <v>0.0</v>
      </c>
      <c r="AV429" s="2" t="str">
        <f>HYPERLINK("http://www.ncbi.nlm.nih.gov/protein/KFB49571.1","KFB49571.1")</f>
        <v>KFB49571.1</v>
      </c>
      <c r="AW429" s="2">
        <v>84</v>
      </c>
      <c r="AX429" s="2">
        <v>87</v>
      </c>
      <c r="AY429" s="2">
        <v>96</v>
      </c>
      <c r="AZ429" s="2" t="s">
        <v>1522</v>
      </c>
      <c r="BA429" s="9" t="str">
        <f>HYPERLINK(".\links\REFSEQ-INVERTEBRATE\AGAP008379-PA-REFSEQ-INVERTEBRATE.txt","UHRF1-binding protein 1-like")</f>
        <v>UHRF1-binding protein 1-like</v>
      </c>
      <c r="BB429" s="2" t="str">
        <f>HYPERLINK("http://www.ncbi.nlm.nih.gov/sutils/blink.cgi?pid=XP_019549786.1","0.0")</f>
        <v>0.0</v>
      </c>
      <c r="BC429" s="2" t="str">
        <f>HYPERLINK("http://www.ncbi.nlm.nih.gov/protein/XP_019549786.1","XP_019549786.1")</f>
        <v>XP_019549786.1</v>
      </c>
      <c r="BD429" s="2">
        <v>75</v>
      </c>
      <c r="BE429" s="2">
        <v>82</v>
      </c>
      <c r="BF429" s="2">
        <v>104</v>
      </c>
      <c r="BG429" s="2" t="s">
        <v>361</v>
      </c>
      <c r="BH429" s="9" t="str">
        <f>HYPERLINK(".\links\REFSEQ-PROTOZOA\AGAP008379-PA-REFSEQ-PROTOZOA.txt","hypothetical protein CAOG_06583")</f>
        <v>hypothetical protein CAOG_06583</v>
      </c>
      <c r="BI429" s="2" t="str">
        <f>HYPERLINK("http://www.ncbi.nlm.nih.gov/sutils/blink.cgi?pid=XP_004345332.1","9E-033")</f>
        <v>9E-033</v>
      </c>
      <c r="BJ429" s="2" t="str">
        <f>HYPERLINK("http://www.ncbi.nlm.nih.gov/protein/XP_004345332.1","XP_004345332.1")</f>
        <v>XP_004345332.1</v>
      </c>
      <c r="BK429" s="2">
        <v>25</v>
      </c>
      <c r="BL429" s="2">
        <v>43</v>
      </c>
      <c r="BM429" s="2">
        <v>30</v>
      </c>
      <c r="BN429" s="2" t="s">
        <v>106</v>
      </c>
      <c r="BO429" s="9" t="str">
        <f>HYPERLINK(".\links\SWISSP\AGAP008379-PA-SWISSP.txt","UHRF1-binding protein 1-like")</f>
        <v>UHRF1-binding protein 1-like</v>
      </c>
      <c r="BP429" s="2" t="str">
        <f>HYPERLINK("http://www.uniprot.org/uniprot/Q6NRZ1","1E-139")</f>
        <v>1E-139</v>
      </c>
      <c r="BQ429" s="2" t="str">
        <f>HYPERLINK("http://www.uniprot.org/uniprot/Q6NRZ1#expression","Q6NRZ1")</f>
        <v>Q6NRZ1</v>
      </c>
      <c r="BR429" s="2">
        <v>26</v>
      </c>
      <c r="BS429" s="2">
        <v>45</v>
      </c>
      <c r="BT429" s="2">
        <v>111</v>
      </c>
      <c r="BU429" s="2" t="s">
        <v>625</v>
      </c>
      <c r="BV429" s="9" t="str">
        <f>HYPERLINK(".\links\FLYBASE\AGAP008379-PA-FLYBASE.txt","FBpp0303011")</f>
        <v>FBpp0303011</v>
      </c>
      <c r="BW429" s="2" t="str">
        <f>HYPERLINK("http://flybase.org/reports/FBgn0083962#alliance_summary_container","0.0")</f>
        <v>0.0</v>
      </c>
      <c r="BX429" s="2">
        <v>1514</v>
      </c>
      <c r="BY429" s="2">
        <v>64</v>
      </c>
      <c r="BZ429" s="2">
        <v>76</v>
      </c>
      <c r="CA429" s="2">
        <v>56</v>
      </c>
      <c r="CB429" s="9" t="str">
        <f>HYPERLINK(".\links\CDD\AGAP008379-PA-CDD.txt","Chorein_N, N-terminal region of Chorein or VPS13")</f>
        <v>Chorein_N, N-terminal region of Chorein or VPS13</v>
      </c>
      <c r="CC429" s="15">
        <v>1E-13</v>
      </c>
      <c r="CD429" s="2">
        <v>84.5</v>
      </c>
      <c r="CE429" s="2" t="s">
        <v>4568</v>
      </c>
      <c r="CF429" s="2" t="s">
        <v>4569</v>
      </c>
      <c r="CG429" s="9" t="str">
        <f>HYPERLINK(".\links\KOG\AGAP008379-PA-KOG.txt","Uncharacterized conserved protein")</f>
        <v>Uncharacterized conserved protein</v>
      </c>
      <c r="CH429" s="15">
        <v>3.9999999999999996E-93</v>
      </c>
      <c r="CI429" s="2">
        <v>38.1</v>
      </c>
      <c r="CJ429" s="2" t="s">
        <v>4570</v>
      </c>
      <c r="CK429" s="2" t="s">
        <v>284</v>
      </c>
      <c r="CL429" s="9" t="str">
        <f>HYPERLINK(".\links\PFAM\AGAP008379-PA-PFAM.txt","Chorein_N, N-terminal region of Chorein or VPS13")</f>
        <v>Chorein_N, N-terminal region of Chorein or VPS13</v>
      </c>
      <c r="CM429" s="15">
        <v>2.9999999999999998E-14</v>
      </c>
      <c r="CN429" s="2">
        <v>84.5</v>
      </c>
      <c r="CO429" s="2" t="s">
        <v>4568</v>
      </c>
      <c r="CP429" s="9" t="str">
        <f>HYPERLINK(".\links\SMART\AGAP008379-PA-SMART.txt","vertebrate formins have been assigned functions within the nucleus")</f>
        <v>vertebrate formins have been assigned functions within the nucleus</v>
      </c>
      <c r="CQ429" s="15">
        <v>0.28999999999999998</v>
      </c>
      <c r="CR429" s="2">
        <v>25.3</v>
      </c>
      <c r="CS429" s="2" t="s">
        <v>465</v>
      </c>
      <c r="CT429" s="2" t="s">
        <v>4566</v>
      </c>
      <c r="CU429" s="2" t="s">
        <v>4566</v>
      </c>
      <c r="CV429" s="2" t="s">
        <v>4566</v>
      </c>
      <c r="CW429" s="2" t="str">
        <f>HYPERLINK(".\links\pep\AGAP008379-PA-pep.txt","AGAP008379-PA")</f>
        <v>AGAP008379-PA</v>
      </c>
      <c r="CX429" s="2" t="s">
        <v>95</v>
      </c>
      <c r="CY429" s="2">
        <v>1526</v>
      </c>
      <c r="CZ429" s="2" t="s">
        <v>113</v>
      </c>
      <c r="DA429" s="2" t="s">
        <v>4571</v>
      </c>
      <c r="DB429" s="2">
        <v>0</v>
      </c>
      <c r="DC429" s="2">
        <v>4</v>
      </c>
      <c r="DD429" s="2" t="str">
        <f>HYPERLINK("https://www.kegg.jp/kegg-bin/search_pathway_text?map=aga&amp;keyword=AGAP008379&amp;mode=1&amp;viewImage=true","AGAP008379")</f>
        <v>AGAP008379</v>
      </c>
      <c r="DE429" s="2" t="s">
        <v>4564</v>
      </c>
      <c r="DF429" s="2" t="s">
        <v>93</v>
      </c>
      <c r="DG429" s="2" t="s">
        <v>94</v>
      </c>
      <c r="DH429" s="2" t="str">
        <f>HYPERLINK("https://vectorbase.org/vectorbase/app/record/gene/AGAP008379","AGAP008379-RA")</f>
        <v>AGAP008379-RA</v>
      </c>
      <c r="DI429" s="2" t="s">
        <v>135</v>
      </c>
      <c r="DJ429" s="2">
        <v>8202</v>
      </c>
      <c r="DK429" s="2" t="str">
        <f>HYPERLINK(".\links\netoglyc\AGAP008379-PA-netoglyc.txt","11")</f>
        <v>11</v>
      </c>
      <c r="DL429" s="2">
        <v>18</v>
      </c>
      <c r="DM429" s="2">
        <v>5.6</v>
      </c>
      <c r="DN429" s="2">
        <v>6</v>
      </c>
      <c r="DO429" s="2" t="s">
        <v>104</v>
      </c>
      <c r="DP429" s="2" t="s">
        <v>102</v>
      </c>
      <c r="DQ429" s="2" t="str">
        <f>HYPERLINK(".\links\Sigp\AGAP008379-PA-SigP.txt","CYT")</f>
        <v>CYT</v>
      </c>
      <c r="DR429" s="2" t="s">
        <v>102</v>
      </c>
      <c r="DS429" s="2">
        <v>167.33699999999999</v>
      </c>
      <c r="DT429" s="2">
        <v>5.99</v>
      </c>
      <c r="DU429" s="2" t="s">
        <v>102</v>
      </c>
      <c r="DV429" s="2" t="s">
        <v>102</v>
      </c>
      <c r="DW429" s="2" t="s">
        <v>611</v>
      </c>
      <c r="DX429" s="2">
        <v>1526</v>
      </c>
      <c r="DY429" s="12">
        <v>0</v>
      </c>
      <c r="DZ429" s="2" t="s">
        <v>102</v>
      </c>
      <c r="EA429" s="2" t="s">
        <v>102</v>
      </c>
      <c r="EB429" s="2" t="s">
        <v>102</v>
      </c>
      <c r="EC429" s="2" t="str">
        <f>HYPERLINK(".\links\gpi\AGAP008379-PA-gpi.txt","N")</f>
        <v>N</v>
      </c>
      <c r="ED429" s="2">
        <v>0.15</v>
      </c>
      <c r="EF429" s="2">
        <v>19</v>
      </c>
      <c r="EG429" s="2" t="str">
        <f>HYPERLINK(".\links\pep\AGAP008379-PA-sulf.txt","1")</f>
        <v>1</v>
      </c>
      <c r="EH429" s="2" t="s">
        <v>102</v>
      </c>
      <c r="EI429" s="2">
        <v>18.020969855832199</v>
      </c>
      <c r="EJ429" s="2">
        <v>5.96330275229358</v>
      </c>
      <c r="EK429" s="2">
        <v>5.6356487549148104</v>
      </c>
      <c r="EL429" s="2">
        <v>11.598951507208399</v>
      </c>
      <c r="EM429" s="2" t="s">
        <v>102</v>
      </c>
      <c r="EN429" s="2">
        <v>1</v>
      </c>
      <c r="EO429" s="2">
        <v>2</v>
      </c>
      <c r="EP429" s="2" t="s">
        <v>102</v>
      </c>
      <c r="EQ429" s="2" t="s">
        <v>102</v>
      </c>
      <c r="ER429" s="2" t="s">
        <v>102</v>
      </c>
      <c r="ES429" s="2" t="s">
        <v>102</v>
      </c>
      <c r="ET429" s="2" t="str">
        <f>HYPERLINK(".\links\REFSEQ-INVERTEBRATE\AGAP008379-PA-REFSEQ-INVERTEBRATE.txt","UHRF1-binding protein 1-like isoform X3")</f>
        <v>UHRF1-binding protein 1-like isoform X3</v>
      </c>
      <c r="EU429" s="2" t="str">
        <f>HYPERLINK("http://www.ncbi.nlm.nih.gov/sutils/blink.cgi?pid=XP_035917616.1","0.0")</f>
        <v>0.0</v>
      </c>
      <c r="EV429" s="2" t="str">
        <f>HYPERLINK("http://www.ncbi.nlm.nih.gov/protein/XP_035917616.1","XP_035917616.1")</f>
        <v>XP_035917616.1</v>
      </c>
      <c r="EW429" s="2">
        <v>90</v>
      </c>
      <c r="EX429" s="2">
        <v>93</v>
      </c>
      <c r="EY429" s="2">
        <v>101</v>
      </c>
      <c r="EZ429" s="2" t="s">
        <v>370</v>
      </c>
    </row>
    <row r="430" spans="1:156" x14ac:dyDescent="0.25">
      <c r="A430" s="2" t="s">
        <v>4572</v>
      </c>
      <c r="B430" s="2">
        <v>-0.34941486015451301</v>
      </c>
      <c r="C430" s="2">
        <f t="shared" si="6"/>
        <v>0.78490238036004445</v>
      </c>
      <c r="D430" s="2">
        <v>6.59235380870998</v>
      </c>
      <c r="E430" s="2">
        <v>9.9622764922812301</v>
      </c>
      <c r="F430" s="2">
        <v>1.59780362916418E-3</v>
      </c>
      <c r="G430" s="2">
        <v>3.9012040862794299E-2</v>
      </c>
      <c r="H430" s="2" t="s">
        <v>93</v>
      </c>
      <c r="I430" s="2" t="s">
        <v>94</v>
      </c>
      <c r="J430" s="2" t="str">
        <f>HYPERLINK("https://vectorbase.org/vectorbase/app/record/gene/AGAP002915","AGAP002915-RA")</f>
        <v>AGAP002915-RA</v>
      </c>
      <c r="K430" s="2" t="str">
        <f>HYPERLINK(".\links\pep\AGAP002915-PA-pep.txt","AGAP002915-PA")</f>
        <v>AGAP002915-PA</v>
      </c>
      <c r="L430" s="12" t="s">
        <v>95</v>
      </c>
      <c r="M430" s="2">
        <v>1455</v>
      </c>
      <c r="N430" s="2">
        <v>0</v>
      </c>
      <c r="O430" s="2">
        <v>6</v>
      </c>
      <c r="P430" s="2" t="s">
        <v>102</v>
      </c>
      <c r="Q430" s="9" t="s">
        <v>4573</v>
      </c>
      <c r="R430" s="2" t="s">
        <v>931</v>
      </c>
      <c r="S430" s="2" t="str">
        <f>HYPERLINK(".\links\REFSEQ-INVERTEBRATE\AGAP002915-PA-REFSEQ-INVERTEBRATE.txt","REFSEQ-INVERTEBRATE")</f>
        <v>REFSEQ-INVERTEBRATE</v>
      </c>
      <c r="T430" s="2">
        <v>0</v>
      </c>
      <c r="U430" s="2">
        <v>93.8</v>
      </c>
      <c r="V430" s="2" t="s">
        <v>4574</v>
      </c>
      <c r="W430" s="10" t="s">
        <v>4575</v>
      </c>
      <c r="X430" s="2" t="s">
        <v>931</v>
      </c>
      <c r="Y430" s="2" t="str">
        <f>HYPERLINK(".\links\REFSEQ-PROTOZOA\AGAP002915-PA-REFSEQ-PROTOZOA.txt","REFSEQ-PROTOZOA")</f>
        <v>REFSEQ-PROTOZOA</v>
      </c>
      <c r="Z430" s="2">
        <v>0</v>
      </c>
      <c r="AA430" s="2">
        <v>72.5</v>
      </c>
      <c r="AB430" s="13" t="str">
        <f>HYPERLINK(".\links\pep\AGAP002915-PA-sulf.txt","3")</f>
        <v>3</v>
      </c>
      <c r="AC430" s="13" t="str">
        <f>HYPERLINK(".\links\Sigp\AGAP002915-PA-SigP.txt","CYT")</f>
        <v>CYT</v>
      </c>
      <c r="AD430" s="2" t="s">
        <v>102</v>
      </c>
      <c r="AE430" s="2">
        <v>158.327</v>
      </c>
      <c r="AF430" s="2">
        <v>5.82</v>
      </c>
      <c r="AG430" s="2" t="s">
        <v>102</v>
      </c>
      <c r="AH430" s="2" t="s">
        <v>102</v>
      </c>
      <c r="AI430" s="2" t="s">
        <v>4576</v>
      </c>
      <c r="AJ430" s="13" t="str">
        <f>HYPERLINK(".\links\tmhmm\AGAP002915-PA-tmhmm.txt","1")</f>
        <v>1</v>
      </c>
      <c r="AK430" s="2">
        <v>1.5</v>
      </c>
      <c r="AL430" s="2">
        <v>90.3</v>
      </c>
      <c r="AM430" s="2">
        <v>8.1999999999999993</v>
      </c>
      <c r="AN430" s="13" t="str">
        <f>HYPERLINK(".\links\gpi\AGAP002915-PA-gpi.txt","N")</f>
        <v>N</v>
      </c>
      <c r="AO430" s="14" t="str">
        <f>HYPERLINK(".\links\netoglyc\AGAP002915-PA-netoglyc.txt","0")</f>
        <v>0</v>
      </c>
      <c r="AP430" s="13">
        <v>13.4</v>
      </c>
      <c r="AQ430" s="2">
        <v>9.6</v>
      </c>
      <c r="AR430" s="2">
        <v>5.6</v>
      </c>
      <c r="AS430" s="2">
        <v>0.2</v>
      </c>
      <c r="AT430" s="9" t="str">
        <f>HYPERLINK(".\links\NR-LIGHT\AGAP002915-PA-NR-LIGHT.txt","AGAP002915-PA")</f>
        <v>AGAP002915-PA</v>
      </c>
      <c r="AU430" s="2" t="str">
        <f>HYPERLINK("http://www.ncbi.nlm.nih.gov/sutils/blink.cgi?pid=XP_311989.5","0.0")</f>
        <v>0.0</v>
      </c>
      <c r="AV430" s="2" t="str">
        <f>HYPERLINK("http://www.ncbi.nlm.nih.gov/protein/XP_311989.5","XP_311989.5")</f>
        <v>XP_311989.5</v>
      </c>
      <c r="AW430" s="2">
        <v>95</v>
      </c>
      <c r="AX430" s="2">
        <v>95</v>
      </c>
      <c r="AY430" s="2">
        <v>101</v>
      </c>
      <c r="AZ430" s="2" t="s">
        <v>105</v>
      </c>
      <c r="BA430" s="9" t="str">
        <f>HYPERLINK(".\links\REFSEQ-INVERTEBRATE\AGAP002915-PA-REFSEQ-INVERTEBRATE.txt","AGAP002915-PA")</f>
        <v>AGAP002915-PA</v>
      </c>
      <c r="BB430" s="2" t="str">
        <f>HYPERLINK("http://www.ncbi.nlm.nih.gov/sutils/blink.cgi?pid=XP_311989.5","0.0")</f>
        <v>0.0</v>
      </c>
      <c r="BC430" s="2" t="str">
        <f>HYPERLINK("http://www.ncbi.nlm.nih.gov/protein/XP_311989.5","XP_311989.5")</f>
        <v>XP_311989.5</v>
      </c>
      <c r="BD430" s="2">
        <v>95</v>
      </c>
      <c r="BE430" s="2">
        <v>95</v>
      </c>
      <c r="BF430" s="2">
        <v>101</v>
      </c>
      <c r="BG430" s="2" t="s">
        <v>105</v>
      </c>
      <c r="BH430" s="9" t="str">
        <f>HYPERLINK(".\links\REFSEQ-PROTOZOA\AGAP002915-PA-REFSEQ-PROTOZOA.txt","hypothetical protein, partial")</f>
        <v>hypothetical protein, partial</v>
      </c>
      <c r="BI430" s="2" t="str">
        <f>HYPERLINK("http://www.ncbi.nlm.nih.gov/sutils/blink.cgi?pid=XP_001743348.1","1E-172")</f>
        <v>1E-172</v>
      </c>
      <c r="BJ430" s="2" t="str">
        <f>HYPERLINK("http://www.ncbi.nlm.nih.gov/protein/XP_001743348.1","XP_001743348.1")</f>
        <v>XP_001743348.1</v>
      </c>
      <c r="BK430" s="2">
        <v>36</v>
      </c>
      <c r="BL430" s="2">
        <v>46</v>
      </c>
      <c r="BM430" s="2">
        <v>110</v>
      </c>
      <c r="BN430" s="2" t="s">
        <v>248</v>
      </c>
      <c r="BO430" s="9" t="str">
        <f>HYPERLINK(".\links\SWISSP\AGAP002915-PA-SWISSP.txt","Furin-like protease 2")</f>
        <v>Furin-like protease 2</v>
      </c>
      <c r="BP430" s="2" t="str">
        <f>HYPERLINK("http://www.uniprot.org/uniprot/P30432","0.0")</f>
        <v>0.0</v>
      </c>
      <c r="BQ430" s="2" t="str">
        <f>HYPERLINK("http://www.uniprot.org/uniprot/P30432#expression","P30432")</f>
        <v>P30432</v>
      </c>
      <c r="BR430" s="2">
        <v>60</v>
      </c>
      <c r="BS430" s="2">
        <v>68</v>
      </c>
      <c r="BT430" s="2">
        <v>88</v>
      </c>
      <c r="BU430" s="2" t="s">
        <v>107</v>
      </c>
      <c r="BV430" s="9" t="str">
        <f>HYPERLINK(".\links\FLYBASE\AGAP002915-PA-FLYBASE.txt","FBpp0074041")</f>
        <v>FBpp0074041</v>
      </c>
      <c r="BW430" s="2" t="str">
        <f>HYPERLINK("http://flybase.org/reports/FBgn0004598#alliance_summary_container","0.0")</f>
        <v>0.0</v>
      </c>
      <c r="BX430" s="2">
        <v>1679</v>
      </c>
      <c r="BY430" s="2">
        <v>62</v>
      </c>
      <c r="BZ430" s="2">
        <v>70</v>
      </c>
      <c r="CA430" s="2">
        <v>84</v>
      </c>
      <c r="CB430" s="9" t="str">
        <f>HYPERLINK(".\links\CDD\AGAP002915-PA-CDD.txt","Peptidases_S8_Protein_convertases_Kexins_Furin-like, Peptidase S8 family domain in Protein convertases")</f>
        <v>Peptidases_S8_Protein_convertases_Kexins_Furin-like, Peptidase S8 family domain in Protein convertases</v>
      </c>
      <c r="CC430" s="15">
        <v>9.9999999999999998E-141</v>
      </c>
      <c r="CD430" s="2">
        <v>101.3</v>
      </c>
      <c r="CE430" s="2" t="s">
        <v>4577</v>
      </c>
      <c r="CF430" s="2" t="s">
        <v>4578</v>
      </c>
      <c r="CG430" s="9" t="str">
        <f>HYPERLINK(".\links\KOG\AGAP002915-PA-KOG.txt","Subtilisin-like proprotein convertase")</f>
        <v>Subtilisin-like proprotein convertase</v>
      </c>
      <c r="CH430" s="15">
        <v>1E-153</v>
      </c>
      <c r="CI430" s="2">
        <v>97.3</v>
      </c>
      <c r="CJ430" s="2" t="s">
        <v>4579</v>
      </c>
      <c r="CK430" s="2" t="s">
        <v>111</v>
      </c>
      <c r="CL430" s="9" t="str">
        <f>HYPERLINK(".\links\PFAM\AGAP002915-PA-PFAM.txt","Peptidase_S8, Subtilase family")</f>
        <v>Peptidase_S8, Subtilase family</v>
      </c>
      <c r="CM430" s="15">
        <v>9.0000000000000006E-58</v>
      </c>
      <c r="CN430" s="2">
        <v>108.1</v>
      </c>
      <c r="CO430" s="2" t="s">
        <v>4580</v>
      </c>
      <c r="CP430" s="9" t="str">
        <f>HYPERLINK(".\links\SMART\AGAP002915-PA-SMART.txt","FU, Furin-like repeats")</f>
        <v>FU, Furin-like repeats</v>
      </c>
      <c r="CQ430" s="15">
        <v>5.0000000000000003E-10</v>
      </c>
      <c r="CR430" s="2">
        <v>100</v>
      </c>
      <c r="CS430" s="2" t="s">
        <v>4581</v>
      </c>
      <c r="CT430" s="2" t="s">
        <v>4574</v>
      </c>
      <c r="CU430" s="2" t="s">
        <v>4574</v>
      </c>
      <c r="CV430" s="2" t="s">
        <v>4574</v>
      </c>
      <c r="CW430" s="2" t="str">
        <f>HYPERLINK(".\links\pep\AGAP002915-PA-pep.txt","AGAP002915-PA")</f>
        <v>AGAP002915-PA</v>
      </c>
      <c r="CX430" s="2" t="s">
        <v>95</v>
      </c>
      <c r="CY430" s="2">
        <v>1455</v>
      </c>
      <c r="CZ430" s="2" t="s">
        <v>113</v>
      </c>
      <c r="DA430" s="2" t="s">
        <v>4582</v>
      </c>
      <c r="DB430" s="2">
        <v>0</v>
      </c>
      <c r="DC430" s="2">
        <v>6</v>
      </c>
      <c r="DD430" s="2" t="str">
        <f>HYPERLINK("https://www.kegg.jp/kegg-bin/search_pathway_text?map=aga&amp;keyword=AGAP002915&amp;mode=1&amp;viewImage=true","AGAP002915")</f>
        <v>AGAP002915</v>
      </c>
      <c r="DE430" s="2" t="s">
        <v>4572</v>
      </c>
      <c r="DF430" s="2" t="s">
        <v>93</v>
      </c>
      <c r="DG430" s="2" t="s">
        <v>94</v>
      </c>
      <c r="DH430" s="2" t="str">
        <f>HYPERLINK("https://vectorbase.org/vectorbase/app/record/gene/AGAP002915","AGAP002915-RA")</f>
        <v>AGAP002915-RA</v>
      </c>
      <c r="DI430" s="2" t="s">
        <v>90</v>
      </c>
      <c r="DJ430" s="2">
        <v>7682</v>
      </c>
      <c r="DK430" s="2" t="str">
        <f>HYPERLINK(".\links\netoglyc\AGAP002915-PA-netoglyc.txt","0")</f>
        <v>0</v>
      </c>
      <c r="DL430" s="2">
        <v>13.4</v>
      </c>
      <c r="DM430" s="2">
        <v>9.6</v>
      </c>
      <c r="DN430" s="2">
        <v>5.6</v>
      </c>
      <c r="DO430" s="2">
        <v>0.2</v>
      </c>
      <c r="DP430" s="2" t="s">
        <v>4583</v>
      </c>
      <c r="DQ430" s="2" t="str">
        <f>HYPERLINK(".\links\Sigp\AGAP002915-PA-SigP.txt","CYT")</f>
        <v>CYT</v>
      </c>
      <c r="DR430" s="2" t="s">
        <v>102</v>
      </c>
      <c r="DS430" s="2">
        <v>158.327</v>
      </c>
      <c r="DT430" s="2">
        <v>5.82</v>
      </c>
      <c r="DU430" s="2" t="s">
        <v>102</v>
      </c>
      <c r="DV430" s="2" t="s">
        <v>102</v>
      </c>
      <c r="DW430" s="2" t="s">
        <v>4576</v>
      </c>
      <c r="DX430" s="2">
        <v>1455</v>
      </c>
      <c r="DY430" s="12" t="str">
        <f>HYPERLINK(".\links\tmhmm\AGAP002915-PA-tmhmm.txt","1")</f>
        <v>1</v>
      </c>
      <c r="DZ430" s="2">
        <v>1.5</v>
      </c>
      <c r="EA430" s="2">
        <v>90.3</v>
      </c>
      <c r="EB430" s="2">
        <v>8.1999999999999993</v>
      </c>
      <c r="EC430" s="2" t="str">
        <f>HYPERLINK(".\links\gpi\AGAP002915-PA-gpi.txt","Y-NoSP")</f>
        <v>Y-NoSP</v>
      </c>
      <c r="ED430" s="2">
        <v>0.23</v>
      </c>
      <c r="EE430" s="2" t="s">
        <v>4584</v>
      </c>
      <c r="EF430" s="2">
        <v>83</v>
      </c>
      <c r="EG430" s="2" t="str">
        <f>HYPERLINK(".\links\pep\AGAP002915-PA-sulf.txt","3")</f>
        <v>3</v>
      </c>
      <c r="EH430" s="2" t="s">
        <v>102</v>
      </c>
      <c r="EI430" s="2">
        <v>13.4020618556701</v>
      </c>
      <c r="EJ430" s="2">
        <v>5.6357388316151198</v>
      </c>
      <c r="EK430" s="2">
        <v>9.6219931271477694</v>
      </c>
      <c r="EL430" s="2">
        <v>15.2577319587629</v>
      </c>
      <c r="EM430" s="2">
        <v>2</v>
      </c>
      <c r="EN430" s="2">
        <v>5</v>
      </c>
      <c r="EO430" s="2">
        <v>8</v>
      </c>
      <c r="EP430" s="2" t="s">
        <v>102</v>
      </c>
      <c r="EQ430" s="2" t="s">
        <v>102</v>
      </c>
      <c r="ER430" s="2" t="s">
        <v>102</v>
      </c>
      <c r="ES430" s="2" t="s">
        <v>102</v>
      </c>
      <c r="ET430" s="2" t="str">
        <f>HYPERLINK(".\links\REFSEQ-INVERTEBRATE\AGAP002915-PA-REFSEQ-INVERTEBRATE.txt","AGAP002915-PA")</f>
        <v>AGAP002915-PA</v>
      </c>
      <c r="EU430" s="2" t="str">
        <f>HYPERLINK("http://www.ncbi.nlm.nih.gov/sutils/blink.cgi?pid=XP_311989.5","0.0")</f>
        <v>0.0</v>
      </c>
      <c r="EV430" s="2" t="str">
        <f>HYPERLINK("http://www.ncbi.nlm.nih.gov/protein/XP_311989.5","XP_311989.5")</f>
        <v>XP_311989.5</v>
      </c>
      <c r="EW430" s="2">
        <v>95</v>
      </c>
      <c r="EX430" s="2">
        <v>95</v>
      </c>
      <c r="EY430" s="2">
        <v>101</v>
      </c>
      <c r="EZ430" s="2" t="s">
        <v>105</v>
      </c>
    </row>
    <row r="431" spans="1:156" x14ac:dyDescent="0.25">
      <c r="A431" s="2" t="s">
        <v>4585</v>
      </c>
      <c r="B431" s="2">
        <v>-0.34954782750233698</v>
      </c>
      <c r="C431" s="2">
        <f t="shared" si="6"/>
        <v>0.78483004242618193</v>
      </c>
      <c r="D431" s="2">
        <v>5.8998237703507499</v>
      </c>
      <c r="E431" s="2">
        <v>9.5360928452403009</v>
      </c>
      <c r="F431" s="2">
        <v>2.01470174067376E-3</v>
      </c>
      <c r="G431" s="2">
        <v>4.38297696563794E-2</v>
      </c>
      <c r="H431" s="2" t="s">
        <v>93</v>
      </c>
      <c r="I431" s="2" t="s">
        <v>94</v>
      </c>
      <c r="J431" s="2" t="str">
        <f>HYPERLINK("https://vectorbase.org/vectorbase/app/record/gene/AGAP007530","AGAP007530-RB")</f>
        <v>AGAP007530-RB</v>
      </c>
      <c r="K431" s="2" t="str">
        <f>HYPERLINK(".\links\pep\AGAP007530-PB-pep.txt","AGAP007530-PB")</f>
        <v>AGAP007530-PB</v>
      </c>
      <c r="L431" s="12" t="s">
        <v>95</v>
      </c>
      <c r="M431" s="2">
        <v>1172</v>
      </c>
      <c r="N431" s="2">
        <v>0</v>
      </c>
      <c r="O431" s="2">
        <v>2</v>
      </c>
      <c r="P431" s="2" t="s">
        <v>102</v>
      </c>
      <c r="Q431" s="9" t="s">
        <v>4586</v>
      </c>
      <c r="R431" s="2" t="s">
        <v>931</v>
      </c>
      <c r="S431" s="2" t="str">
        <f>HYPERLINK(".\links\CDD\AGAP007530-PB-CDD.txt","CDD")</f>
        <v>CDD</v>
      </c>
      <c r="T431" s="2">
        <v>2.9999999999999998E-63</v>
      </c>
      <c r="U431" s="2">
        <v>50.9</v>
      </c>
      <c r="V431" s="2" t="s">
        <v>4587</v>
      </c>
      <c r="W431" s="10" t="s">
        <v>4588</v>
      </c>
      <c r="X431" s="2" t="s">
        <v>931</v>
      </c>
      <c r="Y431" s="2" t="str">
        <f>HYPERLINK(".\links\ARTHORPODA\AGAP007530-PB-ARTHORPODA.txt","ARTHORPODA")</f>
        <v>ARTHORPODA</v>
      </c>
      <c r="Z431" s="2">
        <v>0</v>
      </c>
      <c r="AA431" s="2">
        <v>78.2</v>
      </c>
      <c r="AB431" s="13" t="str">
        <f>HYPERLINK(".\links\pep\AGAP007530-PB-sulf.txt","1")</f>
        <v>1</v>
      </c>
      <c r="AC431" s="13" t="str">
        <f>HYPERLINK(".\links\Sigp\AGAP007530-PB-SigP.txt","CYT")</f>
        <v>CYT</v>
      </c>
      <c r="AD431" s="2" t="s">
        <v>102</v>
      </c>
      <c r="AE431" s="2">
        <v>125.88</v>
      </c>
      <c r="AF431" s="2">
        <v>8.83</v>
      </c>
      <c r="AG431" s="2" t="s">
        <v>102</v>
      </c>
      <c r="AH431" s="2" t="s">
        <v>102</v>
      </c>
      <c r="AI431" s="2" t="s">
        <v>4589</v>
      </c>
      <c r="AJ431" s="13">
        <v>0</v>
      </c>
      <c r="AK431" s="2" t="s">
        <v>102</v>
      </c>
      <c r="AL431" s="2" t="s">
        <v>102</v>
      </c>
      <c r="AM431" s="2" t="s">
        <v>102</v>
      </c>
      <c r="AN431" s="13" t="str">
        <f>HYPERLINK(".\links\gpi\AGAP007530-PB-gpi.txt","N")</f>
        <v>N</v>
      </c>
      <c r="AO431" s="14" t="str">
        <f>HYPERLINK(".\links\netoglyc\AGAP007530-PB-netoglyc.txt","14")</f>
        <v>14</v>
      </c>
      <c r="AP431" s="13">
        <v>16.7</v>
      </c>
      <c r="AQ431" s="2">
        <v>9.9</v>
      </c>
      <c r="AR431" s="2">
        <v>5.7</v>
      </c>
      <c r="AS431" s="2" t="s">
        <v>104</v>
      </c>
      <c r="AT431" s="9" t="str">
        <f>HYPERLINK(".\links\NR-LIGHT\AGAP007530-PB-NR-LIGHT.txt","AGAP007530-PA")</f>
        <v>AGAP007530-PA</v>
      </c>
      <c r="AU431" s="2" t="str">
        <f>HYPERLINK("http://www.ncbi.nlm.nih.gov/sutils/blink.cgi?pid=XP_308351.4","0.0")</f>
        <v>0.0</v>
      </c>
      <c r="AV431" s="2" t="str">
        <f>HYPERLINK("http://www.ncbi.nlm.nih.gov/protein/XP_308351.4","XP_308351.4")</f>
        <v>XP_308351.4</v>
      </c>
      <c r="AW431" s="2">
        <v>87</v>
      </c>
      <c r="AX431" s="2">
        <v>89</v>
      </c>
      <c r="AY431" s="2">
        <v>108</v>
      </c>
      <c r="AZ431" s="2" t="s">
        <v>105</v>
      </c>
      <c r="BA431" s="9" t="str">
        <f>HYPERLINK(".\links\REFSEQ-INVERTEBRATE\AGAP007530-PB-REFSEQ-INVERTEBRATE.txt","AGAP007530-PA")</f>
        <v>AGAP007530-PA</v>
      </c>
      <c r="BB431" s="2" t="str">
        <f>HYPERLINK("http://www.ncbi.nlm.nih.gov/sutils/blink.cgi?pid=XP_308351.4","0.0")</f>
        <v>0.0</v>
      </c>
      <c r="BC431" s="2" t="str">
        <f>HYPERLINK("http://www.ncbi.nlm.nih.gov/protein/XP_308351.4","XP_308351.4")</f>
        <v>XP_308351.4</v>
      </c>
      <c r="BD431" s="2">
        <v>87</v>
      </c>
      <c r="BE431" s="2">
        <v>89</v>
      </c>
      <c r="BF431" s="2">
        <v>108</v>
      </c>
      <c r="BG431" s="2" t="s">
        <v>105</v>
      </c>
      <c r="BH431" s="9" t="str">
        <f>HYPERLINK(".\links\REFSEQ-PROTOZOA\AGAP007530-PB-REFSEQ-PROTOZOA.txt","hypothetical protein")</f>
        <v>hypothetical protein</v>
      </c>
      <c r="BI431" s="2" t="str">
        <f>HYPERLINK("http://www.ncbi.nlm.nih.gov/sutils/blink.cgi?pid=XP_001747190.1","1E-039")</f>
        <v>1E-039</v>
      </c>
      <c r="BJ431" s="2" t="str">
        <f>HYPERLINK("http://www.ncbi.nlm.nih.gov/protein/XP_001747190.1","XP_001747190.1")</f>
        <v>XP_001747190.1</v>
      </c>
      <c r="BK431" s="2">
        <v>48</v>
      </c>
      <c r="BL431" s="2">
        <v>63</v>
      </c>
      <c r="BM431" s="2">
        <v>26</v>
      </c>
      <c r="BN431" s="2" t="s">
        <v>248</v>
      </c>
      <c r="BO431" s="9" t="str">
        <f>HYPERLINK(".\links\SWISSP\AGAP007530-PB-SWISSP.txt","Cytosolic carboxypeptidase-like protein 5")</f>
        <v>Cytosolic carboxypeptidase-like protein 5</v>
      </c>
      <c r="BP431" s="2" t="str">
        <f>HYPERLINK("http://www.uniprot.org/uniprot/B0JZV4","7E-045")</f>
        <v>7E-045</v>
      </c>
      <c r="BQ431" s="2" t="str">
        <f>HYPERLINK("http://www.uniprot.org/uniprot/B0JZV4#expression","B0JZV4")</f>
        <v>B0JZV4</v>
      </c>
      <c r="BR431" s="2">
        <v>54</v>
      </c>
      <c r="BS431" s="2">
        <v>68</v>
      </c>
      <c r="BT431" s="2">
        <v>18</v>
      </c>
      <c r="BU431" s="2" t="s">
        <v>459</v>
      </c>
      <c r="BV431" s="9" t="str">
        <f>HYPERLINK(".\links\FLYBASE\AGAP007530-PB-FLYBASE.txt","FBpp0309520")</f>
        <v>FBpp0309520</v>
      </c>
      <c r="BW431" s="2" t="str">
        <f>HYPERLINK("http://flybase.org/reports/FBgn0265726#alliance_summary_container","4E-17")</f>
        <v>4E-17</v>
      </c>
      <c r="BX431" s="2">
        <v>1890</v>
      </c>
      <c r="BY431" s="2">
        <v>40</v>
      </c>
      <c r="BZ431" s="2">
        <v>63</v>
      </c>
      <c r="CA431" s="2">
        <v>5</v>
      </c>
      <c r="CB431" s="9" t="str">
        <f>HYPERLINK(".\links\CDD\AGAP007530-PB-CDD.txt","M14_AGBL5_like, Peptidase M14-like domain of ATP/GTP binding protein (AGBL)-5 and related proteins")</f>
        <v>M14_AGBL5_like, Peptidase M14-like domain of ATP/GTP binding protein (AGBL)-5 and related proteins</v>
      </c>
      <c r="CC431" s="15">
        <v>2.9999999999999998E-63</v>
      </c>
      <c r="CD431" s="2">
        <v>51</v>
      </c>
      <c r="CE431" s="2" t="s">
        <v>4590</v>
      </c>
      <c r="CF431" s="2" t="s">
        <v>4591</v>
      </c>
      <c r="CG431" s="9" t="str">
        <f>HYPERLINK(".\links\KOG\AGAP007530-PB-KOG.txt","Zinc carboxypeptidase")</f>
        <v>Zinc carboxypeptidase</v>
      </c>
      <c r="CH431" s="15">
        <v>1E-26</v>
      </c>
      <c r="CI431" s="2">
        <v>24.3</v>
      </c>
      <c r="CJ431" s="2" t="s">
        <v>4592</v>
      </c>
      <c r="CK431" s="2" t="s">
        <v>267</v>
      </c>
      <c r="CL431" s="9" t="str">
        <f>HYPERLINK(".\links\PFAM\AGAP007530-PB-PFAM.txt","SelP_N, Selenoprotein P, N terminal region")</f>
        <v>SelP_N, Selenoprotein P, N terminal region</v>
      </c>
      <c r="CM431" s="15">
        <v>2.9999999999999999E-7</v>
      </c>
      <c r="CN431" s="2">
        <v>14.2</v>
      </c>
      <c r="CO431" s="2" t="s">
        <v>4593</v>
      </c>
      <c r="CP431" s="9" t="str">
        <f>HYPERLINK(".\links\SMART\AGAP007530-PB-SMART.txt","Zn_pept, Zn_pept domain")</f>
        <v>Zn_pept, Zn_pept domain</v>
      </c>
      <c r="CQ431" s="15">
        <v>5.0000000000000001E-9</v>
      </c>
      <c r="CR431" s="2">
        <v>44.8</v>
      </c>
      <c r="CS431" s="2" t="s">
        <v>4594</v>
      </c>
      <c r="CT431" s="2" t="s">
        <v>4587</v>
      </c>
      <c r="CU431" s="2" t="s">
        <v>4587</v>
      </c>
      <c r="CV431" s="2" t="s">
        <v>4587</v>
      </c>
      <c r="CW431" s="2" t="str">
        <f>HYPERLINK(".\links\pep\AGAP007530-PB-pep.txt","AGAP007530-PB")</f>
        <v>AGAP007530-PB</v>
      </c>
      <c r="CX431" s="2" t="s">
        <v>95</v>
      </c>
      <c r="CY431" s="2">
        <v>1172</v>
      </c>
      <c r="CZ431" s="2" t="s">
        <v>113</v>
      </c>
      <c r="DA431" s="2" t="s">
        <v>4595</v>
      </c>
      <c r="DB431" s="2">
        <v>0</v>
      </c>
      <c r="DC431" s="2">
        <v>2</v>
      </c>
      <c r="DD431" s="2" t="str">
        <f>HYPERLINK("https://www.kegg.jp/kegg-bin/search_pathway_text?map=aga&amp;keyword=AGAP007530&amp;mode=1&amp;viewImage=true","AGAP007530")</f>
        <v>AGAP007530</v>
      </c>
      <c r="DE431" s="2" t="s">
        <v>4585</v>
      </c>
      <c r="DF431" s="2" t="s">
        <v>93</v>
      </c>
      <c r="DG431" s="2" t="s">
        <v>94</v>
      </c>
      <c r="DH431" s="2" t="str">
        <f>HYPERLINK("https://vectorbase.org/vectorbase/app/record/gene/AGAP007530","AGAP007530-RB")</f>
        <v>AGAP007530-RB</v>
      </c>
      <c r="DI431" s="2" t="s">
        <v>135</v>
      </c>
      <c r="DJ431" s="2">
        <v>4668</v>
      </c>
      <c r="DK431" s="2" t="str">
        <f>HYPERLINK(".\links\netoglyc\AGAP007530-PB-netoglyc.txt","14")</f>
        <v>14</v>
      </c>
      <c r="DL431" s="2">
        <v>16.7</v>
      </c>
      <c r="DM431" s="2">
        <v>9.9</v>
      </c>
      <c r="DN431" s="2">
        <v>5.7</v>
      </c>
      <c r="DO431" s="2" t="s">
        <v>104</v>
      </c>
      <c r="DP431" s="2" t="s">
        <v>102</v>
      </c>
      <c r="DQ431" s="2" t="str">
        <f>HYPERLINK(".\links\Sigp\AGAP007530-PB-SigP.txt","CYT")</f>
        <v>CYT</v>
      </c>
      <c r="DR431" s="2" t="s">
        <v>102</v>
      </c>
      <c r="DS431" s="2">
        <v>125.88</v>
      </c>
      <c r="DT431" s="2">
        <v>8.83</v>
      </c>
      <c r="DU431" s="2" t="s">
        <v>102</v>
      </c>
      <c r="DV431" s="2" t="s">
        <v>102</v>
      </c>
      <c r="DW431" s="2" t="s">
        <v>4589</v>
      </c>
      <c r="DX431" s="2">
        <v>1172</v>
      </c>
      <c r="DY431" s="12">
        <v>0</v>
      </c>
      <c r="DZ431" s="2" t="s">
        <v>102</v>
      </c>
      <c r="EA431" s="2" t="s">
        <v>102</v>
      </c>
      <c r="EB431" s="2" t="s">
        <v>102</v>
      </c>
      <c r="EC431" s="2" t="str">
        <f>HYPERLINK(".\links\gpi\AGAP007530-PB-gpi.txt","Y-NoSP")</f>
        <v>Y-NoSP</v>
      </c>
      <c r="ED431" s="2">
        <v>0.18</v>
      </c>
      <c r="EF431" s="2">
        <v>12</v>
      </c>
      <c r="EG431" s="2" t="str">
        <f>HYPERLINK(".\links\pep\AGAP007530-PB-sulf.txt","1")</f>
        <v>1</v>
      </c>
      <c r="EH431" s="2" t="s">
        <v>102</v>
      </c>
      <c r="EI431" s="2">
        <v>16.723549488054601</v>
      </c>
      <c r="EJ431" s="2">
        <v>5.7167235494880497</v>
      </c>
      <c r="EK431" s="2">
        <v>9.8976109215017107</v>
      </c>
      <c r="EL431" s="2">
        <v>15.6143344709898</v>
      </c>
      <c r="EM431" s="2">
        <v>3</v>
      </c>
      <c r="EN431" s="2">
        <v>5</v>
      </c>
      <c r="EO431" s="2">
        <v>5</v>
      </c>
      <c r="EP431" s="2" t="s">
        <v>102</v>
      </c>
      <c r="EQ431" s="2" t="s">
        <v>102</v>
      </c>
      <c r="ER431" s="2" t="s">
        <v>102</v>
      </c>
      <c r="ES431" s="2" t="s">
        <v>102</v>
      </c>
      <c r="ET431" s="2" t="str">
        <f>HYPERLINK(".\links\REFSEQ-INVERTEBRATE\AGAP007530-PB-REFSEQ-INVERTEBRATE.txt","uncharacterized protein LOC118512160 isoform X2")</f>
        <v>uncharacterized protein LOC118512160 isoform X2</v>
      </c>
      <c r="EU431" s="2" t="str">
        <f>HYPERLINK("http://www.ncbi.nlm.nih.gov/sutils/blink.cgi?pid=XP_035912106.1","0.0")</f>
        <v>0.0</v>
      </c>
      <c r="EV431" s="2" t="str">
        <f>HYPERLINK("http://www.ncbi.nlm.nih.gov/protein/XP_035912106.1","XP_035912106.1")</f>
        <v>XP_035912106.1</v>
      </c>
      <c r="EW431" s="2">
        <v>78</v>
      </c>
      <c r="EX431" s="2">
        <v>83</v>
      </c>
      <c r="EY431" s="2">
        <v>75</v>
      </c>
      <c r="EZ431" s="2" t="s">
        <v>370</v>
      </c>
    </row>
    <row r="432" spans="1:156" x14ac:dyDescent="0.25">
      <c r="A432" s="2" t="s">
        <v>4596</v>
      </c>
      <c r="B432" s="2">
        <v>-0.35084439181911697</v>
      </c>
      <c r="C432" s="2">
        <f t="shared" si="6"/>
        <v>0.78412502474740886</v>
      </c>
      <c r="D432" s="2">
        <v>6.4577371255957896</v>
      </c>
      <c r="E432" s="2">
        <v>12.5761248607732</v>
      </c>
      <c r="F432" s="2">
        <v>3.9070601189581999E-4</v>
      </c>
      <c r="G432" s="2">
        <v>2.2075245596553199E-2</v>
      </c>
      <c r="H432" s="2" t="s">
        <v>93</v>
      </c>
      <c r="I432" s="2" t="s">
        <v>94</v>
      </c>
      <c r="J432" s="2" t="str">
        <f>HYPERLINK("https://vectorbase.org/vectorbase/app/record/gene/AGAP002493","AGAP002493-RA")</f>
        <v>AGAP002493-RA</v>
      </c>
      <c r="K432" s="2" t="str">
        <f>HYPERLINK(".\links\pep\AGAP002493-PA-pep.txt","AGAP002493-PA")</f>
        <v>AGAP002493-PA</v>
      </c>
      <c r="L432" s="12" t="s">
        <v>95</v>
      </c>
      <c r="M432" s="2">
        <v>1563</v>
      </c>
      <c r="N432" s="2">
        <v>0</v>
      </c>
      <c r="O432" s="2">
        <v>2</v>
      </c>
      <c r="P432" s="2" t="s">
        <v>102</v>
      </c>
      <c r="Q432" s="9" t="s">
        <v>4597</v>
      </c>
      <c r="R432" s="2" t="s">
        <v>771</v>
      </c>
      <c r="S432" s="2" t="str">
        <f>HYPERLINK(".\links\KOG\AGAP002493-PA-KOG.txt","KOG")</f>
        <v>KOG</v>
      </c>
      <c r="T432" s="2">
        <v>5E-56</v>
      </c>
      <c r="U432" s="2">
        <v>57.9</v>
      </c>
      <c r="V432" s="2" t="s">
        <v>4598</v>
      </c>
      <c r="W432" s="10" t="s">
        <v>4599</v>
      </c>
      <c r="X432" s="2" t="s">
        <v>771</v>
      </c>
      <c r="Y432" s="2" t="str">
        <f>HYPERLINK(".\links\KOG\AGAP002493-PA-KOG.txt","KOG")</f>
        <v>KOG</v>
      </c>
      <c r="Z432" s="15">
        <v>1.9999999999999999E-36</v>
      </c>
      <c r="AA432" s="2">
        <v>52.3</v>
      </c>
      <c r="AB432" s="13" t="str">
        <f>HYPERLINK(".\links\pep\AGAP002493-PA-sulf.txt","3")</f>
        <v>3</v>
      </c>
      <c r="AC432" s="13" t="str">
        <f>HYPERLINK(".\links\Sigp\AGAP002493-PA-SigP.txt","CYT")</f>
        <v>CYT</v>
      </c>
      <c r="AD432" s="2" t="s">
        <v>102</v>
      </c>
      <c r="AE432" s="2">
        <v>169.435</v>
      </c>
      <c r="AF432" s="2">
        <v>6.27</v>
      </c>
      <c r="AG432" s="2" t="s">
        <v>102</v>
      </c>
      <c r="AH432" s="2" t="s">
        <v>102</v>
      </c>
      <c r="AI432" s="2" t="s">
        <v>4600</v>
      </c>
      <c r="AJ432" s="13">
        <v>0</v>
      </c>
      <c r="AK432" s="2" t="s">
        <v>102</v>
      </c>
      <c r="AL432" s="2" t="s">
        <v>102</v>
      </c>
      <c r="AM432" s="2" t="s">
        <v>102</v>
      </c>
      <c r="AN432" s="13" t="str">
        <f>HYPERLINK(".\links\gpi\AGAP002493-PA-gpi.txt","N")</f>
        <v>N</v>
      </c>
      <c r="AO432" s="14" t="str">
        <f>HYPERLINK(".\links\netoglyc\AGAP002493-PA-netoglyc.txt","15")</f>
        <v>15</v>
      </c>
      <c r="AP432" s="13">
        <v>19.2</v>
      </c>
      <c r="AQ432" s="2">
        <v>7.2</v>
      </c>
      <c r="AR432" s="2">
        <v>6.2</v>
      </c>
      <c r="AS432" s="2" t="s">
        <v>104</v>
      </c>
      <c r="AT432" s="9" t="str">
        <f>HYPERLINK(".\links\NR-LIGHT\AGAP002493-PA-NR-LIGHT.txt","AGAP002493-PA, partial")</f>
        <v>AGAP002493-PA, partial</v>
      </c>
      <c r="AU432" s="2" t="str">
        <f>HYPERLINK("http://www.ncbi.nlm.nih.gov/sutils/blink.cgi?pid=XP_312446.4","0.0")</f>
        <v>0.0</v>
      </c>
      <c r="AV432" s="2" t="str">
        <f>HYPERLINK("http://www.ncbi.nlm.nih.gov/protein/XP_312446.4","XP_312446.4")</f>
        <v>XP_312446.4</v>
      </c>
      <c r="AW432" s="2">
        <v>93</v>
      </c>
      <c r="AX432" s="2">
        <v>93</v>
      </c>
      <c r="AY432" s="2">
        <v>103</v>
      </c>
      <c r="AZ432" s="2" t="s">
        <v>105</v>
      </c>
      <c r="BA432" s="9" t="str">
        <f>HYPERLINK(".\links\REFSEQ-INVERTEBRATE\AGAP002493-PA-REFSEQ-INVERTEBRATE.txt","AGAP002493-PA, partial")</f>
        <v>AGAP002493-PA, partial</v>
      </c>
      <c r="BB432" s="2" t="str">
        <f>HYPERLINK("http://www.ncbi.nlm.nih.gov/sutils/blink.cgi?pid=XP_312446.4","0.0")</f>
        <v>0.0</v>
      </c>
      <c r="BC432" s="2" t="str">
        <f>HYPERLINK("http://www.ncbi.nlm.nih.gov/protein/XP_312446.4","XP_312446.4")</f>
        <v>XP_312446.4</v>
      </c>
      <c r="BD432" s="2">
        <v>93</v>
      </c>
      <c r="BE432" s="2">
        <v>93</v>
      </c>
      <c r="BF432" s="2">
        <v>103</v>
      </c>
      <c r="BG432" s="2" t="s">
        <v>105</v>
      </c>
      <c r="BH432" s="9" t="str">
        <f>HYPERLINK(".\links\REFSEQ-PROTOZOA\AGAP002493-PA-REFSEQ-PROTOZOA.txt","hypothetical protein CAOG_02871")</f>
        <v>hypothetical protein CAOG_02871</v>
      </c>
      <c r="BI432" s="2" t="str">
        <f>HYPERLINK("http://www.ncbi.nlm.nih.gov/sutils/blink.cgi?pid=XP_004363710.2","7E-039")</f>
        <v>7E-039</v>
      </c>
      <c r="BJ432" s="2" t="str">
        <f>HYPERLINK("http://www.ncbi.nlm.nih.gov/protein/XP_004363710.2","XP_004363710.2")</f>
        <v>XP_004363710.2</v>
      </c>
      <c r="BK432" s="2">
        <v>31</v>
      </c>
      <c r="BL432" s="2">
        <v>48</v>
      </c>
      <c r="BM432" s="2">
        <v>43</v>
      </c>
      <c r="BN432" s="2" t="s">
        <v>106</v>
      </c>
      <c r="BO432" s="9" t="str">
        <f>HYPERLINK(".\links\SWISSP\AGAP002493-PA-SWISSP.txt","Protein sprint")</f>
        <v>Protein sprint</v>
      </c>
      <c r="BP432" s="2" t="str">
        <f>HYPERLINK("http://www.uniprot.org/uniprot/Q8MQW8","0.0")</f>
        <v>0.0</v>
      </c>
      <c r="BQ432" s="2" t="str">
        <f>HYPERLINK("http://www.uniprot.org/uniprot/Q8MQW8#expression","Q8MQW8")</f>
        <v>Q8MQW8</v>
      </c>
      <c r="BR432" s="2">
        <v>44</v>
      </c>
      <c r="BS432" s="2">
        <v>55</v>
      </c>
      <c r="BT432" s="2">
        <v>84</v>
      </c>
      <c r="BU432" s="2" t="s">
        <v>107</v>
      </c>
      <c r="BV432" s="9" t="str">
        <f>HYPERLINK(".\links\FLYBASE\AGAP002493-PA-FLYBASE.txt","FBpp0301976")</f>
        <v>FBpp0301976</v>
      </c>
      <c r="BW432" s="2" t="str">
        <f>HYPERLINK("http://flybase.org/reports/FBgn0085443#alliance_summary_container","0.0")</f>
        <v>0.0</v>
      </c>
      <c r="BX432" s="2">
        <v>1449</v>
      </c>
      <c r="BY432" s="2">
        <v>48</v>
      </c>
      <c r="BZ432" s="2">
        <v>58</v>
      </c>
      <c r="CA432" s="2">
        <v>64</v>
      </c>
      <c r="CB432" s="9" t="str">
        <f>HYPERLINK(".\links\CDD\AGAP002493-PA-CDD.txt","VPS9, Vacuolar sorting protein 9 (VPS9) domain")</f>
        <v>VPS9, Vacuolar sorting protein 9 (VPS9) domain</v>
      </c>
      <c r="CC432" s="15">
        <v>2.9999999999999999E-19</v>
      </c>
      <c r="CD432" s="2">
        <v>98.1</v>
      </c>
      <c r="CE432" s="2" t="s">
        <v>4601</v>
      </c>
      <c r="CF432" s="2" t="s">
        <v>4602</v>
      </c>
      <c r="CG432" s="9" t="str">
        <f>HYPERLINK(".\links\KOG\AGAP002493-PA-KOG.txt","RAS effector RIN1 (contains VPS domain)")</f>
        <v>RAS effector RIN1 (contains VPS domain)</v>
      </c>
      <c r="CH432" s="15">
        <v>5E-56</v>
      </c>
      <c r="CI432" s="2">
        <v>57.9</v>
      </c>
      <c r="CJ432" s="2" t="s">
        <v>4603</v>
      </c>
      <c r="CK432" s="2" t="s">
        <v>154</v>
      </c>
      <c r="CL432" s="9" t="str">
        <f>HYPERLINK(".\links\PFAM\AGAP002493-PA-PFAM.txt","VPS9, Vacuolar sorting protein 9 (VPS9) domain")</f>
        <v>VPS9, Vacuolar sorting protein 9 (VPS9) domain</v>
      </c>
      <c r="CM432" s="15">
        <v>6.0000000000000006E-20</v>
      </c>
      <c r="CN432" s="2">
        <v>98.1</v>
      </c>
      <c r="CO432" s="2" t="s">
        <v>4601</v>
      </c>
      <c r="CP432" s="9" t="str">
        <f>HYPERLINK(".\links\SMART\AGAP002493-PA-SMART.txt","VPS9, Domain present in VPS9")</f>
        <v>VPS9, Domain present in VPS9</v>
      </c>
      <c r="CQ432" s="15">
        <v>3.9999999999999999E-16</v>
      </c>
      <c r="CR432" s="2">
        <v>88</v>
      </c>
      <c r="CS432" s="2" t="s">
        <v>4604</v>
      </c>
      <c r="CT432" s="2" t="s">
        <v>4598</v>
      </c>
      <c r="CU432" s="2" t="s">
        <v>4598</v>
      </c>
      <c r="CV432" s="2" t="s">
        <v>4598</v>
      </c>
      <c r="CW432" s="2" t="str">
        <f>HYPERLINK(".\links\pep\AGAP002493-PA-pep.txt","AGAP002493-PA")</f>
        <v>AGAP002493-PA</v>
      </c>
      <c r="CX432" s="2" t="s">
        <v>95</v>
      </c>
      <c r="CY432" s="2">
        <v>1563</v>
      </c>
      <c r="CZ432" s="2" t="s">
        <v>113</v>
      </c>
      <c r="DA432" s="2" t="s">
        <v>4605</v>
      </c>
      <c r="DB432" s="2">
        <v>0</v>
      </c>
      <c r="DC432" s="2">
        <v>2</v>
      </c>
      <c r="DD432" s="2" t="str">
        <f>HYPERLINK("https://www.kegg.jp/kegg-bin/search_pathway_text?map=aga&amp;keyword=AGAP002493&amp;mode=1&amp;viewImage=true","AGAP002493")</f>
        <v>AGAP002493</v>
      </c>
      <c r="DE432" s="2" t="s">
        <v>4596</v>
      </c>
      <c r="DF432" s="2" t="s">
        <v>93</v>
      </c>
      <c r="DG432" s="2" t="s">
        <v>94</v>
      </c>
      <c r="DH432" s="2" t="str">
        <f>HYPERLINK("https://vectorbase.org/vectorbase/app/record/gene/AGAP002493","AGAP002493-RA")</f>
        <v>AGAP002493-RA</v>
      </c>
      <c r="DI432" s="2" t="s">
        <v>90</v>
      </c>
      <c r="DJ432" s="2">
        <v>7963</v>
      </c>
      <c r="DK432" s="2" t="str">
        <f>HYPERLINK(".\links\netoglyc\AGAP002493-PA-netoglyc.txt","15")</f>
        <v>15</v>
      </c>
      <c r="DL432" s="2">
        <v>19.2</v>
      </c>
      <c r="DM432" s="2">
        <v>7.2</v>
      </c>
      <c r="DN432" s="2">
        <v>6.2</v>
      </c>
      <c r="DO432" s="2" t="s">
        <v>104</v>
      </c>
      <c r="DP432" s="2" t="s">
        <v>4606</v>
      </c>
      <c r="DQ432" s="2" t="str">
        <f>HYPERLINK(".\links\Sigp\AGAP002493-PA-SigP.txt","CYT")</f>
        <v>CYT</v>
      </c>
      <c r="DR432" s="2" t="s">
        <v>102</v>
      </c>
      <c r="DS432" s="2">
        <v>169.435</v>
      </c>
      <c r="DT432" s="2">
        <v>6.27</v>
      </c>
      <c r="DU432" s="2" t="s">
        <v>102</v>
      </c>
      <c r="DV432" s="2" t="s">
        <v>102</v>
      </c>
      <c r="DW432" s="2" t="s">
        <v>4600</v>
      </c>
      <c r="DX432" s="2">
        <v>1563</v>
      </c>
      <c r="DY432" s="12">
        <v>0</v>
      </c>
      <c r="DZ432" s="2" t="s">
        <v>102</v>
      </c>
      <c r="EA432" s="2" t="s">
        <v>102</v>
      </c>
      <c r="EB432" s="2" t="s">
        <v>102</v>
      </c>
      <c r="EC432" s="2" t="str">
        <f>HYPERLINK(".\links\gpi\AGAP002493-PA-gpi.txt","Y-NoSP")</f>
        <v>Y-NoSP</v>
      </c>
      <c r="ED432" s="2">
        <v>0.16</v>
      </c>
      <c r="EF432" s="2">
        <v>19</v>
      </c>
      <c r="EG432" s="2" t="str">
        <f>HYPERLINK(".\links\pep\AGAP002493-PA-sulf.txt","3")</f>
        <v>3</v>
      </c>
      <c r="EH432" s="2" t="s">
        <v>102</v>
      </c>
      <c r="EI432" s="2">
        <v>19.193857965451102</v>
      </c>
      <c r="EJ432" s="2">
        <v>6.2060140754958404</v>
      </c>
      <c r="EK432" s="2">
        <v>7.1657069737683896</v>
      </c>
      <c r="EL432" s="2">
        <v>13.371721049264201</v>
      </c>
      <c r="EM432" s="2">
        <v>4</v>
      </c>
      <c r="EN432" s="2">
        <v>3</v>
      </c>
      <c r="EO432" s="2">
        <v>3</v>
      </c>
      <c r="EP432" s="2" t="s">
        <v>102</v>
      </c>
      <c r="EQ432" s="2" t="s">
        <v>102</v>
      </c>
      <c r="ER432" s="2" t="s">
        <v>102</v>
      </c>
      <c r="ES432" s="2" t="s">
        <v>102</v>
      </c>
      <c r="ET432" s="2" t="str">
        <f>HYPERLINK(".\links\REFSEQ-INVERTEBRATE\AGAP002493-PA-REFSEQ-INVERTEBRATE.txt","AGAP002493-PA, partial")</f>
        <v>AGAP002493-PA, partial</v>
      </c>
      <c r="EU432" s="2" t="str">
        <f>HYPERLINK("http://www.ncbi.nlm.nih.gov/sutils/blink.cgi?pid=XP_312446.4","0.0")</f>
        <v>0.0</v>
      </c>
      <c r="EV432" s="2" t="str">
        <f>HYPERLINK("http://www.ncbi.nlm.nih.gov/protein/XP_312446.4","XP_312446.4")</f>
        <v>XP_312446.4</v>
      </c>
      <c r="EW432" s="2">
        <v>92</v>
      </c>
      <c r="EX432" s="2">
        <v>93</v>
      </c>
      <c r="EY432" s="2">
        <v>103</v>
      </c>
      <c r="EZ432" s="2" t="s">
        <v>105</v>
      </c>
    </row>
    <row r="433" spans="1:156" x14ac:dyDescent="0.25">
      <c r="A433" s="2" t="s">
        <v>4607</v>
      </c>
      <c r="B433" s="2">
        <v>-0.352990683200608</v>
      </c>
      <c r="C433" s="2">
        <f t="shared" si="6"/>
        <v>0.7829593525237778</v>
      </c>
      <c r="D433" s="2">
        <v>6.5762548927474196</v>
      </c>
      <c r="E433" s="2">
        <v>8.8373174103968495</v>
      </c>
      <c r="F433" s="2">
        <v>2.9513263715686602E-3</v>
      </c>
      <c r="G433" s="2">
        <v>4.9803632520221103E-2</v>
      </c>
      <c r="H433" s="2" t="s">
        <v>93</v>
      </c>
      <c r="I433" s="2" t="s">
        <v>94</v>
      </c>
      <c r="J433" s="2" t="str">
        <f>HYPERLINK("https://vectorbase.org/vectorbase/app/record/gene/AGAP003506","AGAP003506-RA")</f>
        <v>AGAP003506-RA</v>
      </c>
      <c r="K433" s="2" t="str">
        <f>HYPERLINK(".\links\pep\AGAP003506-PA-pep.txt","AGAP003506-PA")</f>
        <v>AGAP003506-PA</v>
      </c>
      <c r="L433" s="12" t="s">
        <v>95</v>
      </c>
      <c r="M433" s="2">
        <v>1317</v>
      </c>
      <c r="N433" s="2">
        <v>0</v>
      </c>
      <c r="O433" s="2">
        <v>5</v>
      </c>
      <c r="P433" s="2" t="s">
        <v>102</v>
      </c>
      <c r="Q433" s="9" t="s">
        <v>4608</v>
      </c>
      <c r="R433" s="2" t="s">
        <v>355</v>
      </c>
      <c r="S433" s="2" t="str">
        <f>HYPERLINK(".\links\KOG\AGAP003506-PA-KOG.txt","KOG")</f>
        <v>KOG</v>
      </c>
      <c r="T433" s="2">
        <v>3.0000000000000001E-54</v>
      </c>
      <c r="U433" s="2">
        <v>100.9</v>
      </c>
      <c r="V433" s="2" t="s">
        <v>4609</v>
      </c>
      <c r="W433" s="10" t="s">
        <v>4610</v>
      </c>
      <c r="X433" s="2" t="s">
        <v>358</v>
      </c>
      <c r="Y433" s="2" t="str">
        <f>HYPERLINK(".\links\REFSEQVERTEBRATE95\AGAP003506-PA-REFSEQVERTEBRATE95.txt","REFSEQVERTEBRATE95")</f>
        <v>REFSEQVERTEBRATE95</v>
      </c>
      <c r="Z433" s="15">
        <v>0</v>
      </c>
      <c r="AA433" s="2">
        <v>102.5</v>
      </c>
      <c r="AB433" s="13" t="str">
        <f>HYPERLINK(".\links\pep\AGAP003506-PA-sulf.txt","2")</f>
        <v>2</v>
      </c>
      <c r="AC433" s="13" t="str">
        <f>HYPERLINK(".\links\Sigp\AGAP003506-PA-SigP.txt","CYT")</f>
        <v>CYT</v>
      </c>
      <c r="AD433" s="2" t="s">
        <v>102</v>
      </c>
      <c r="AE433" s="2">
        <v>145.762</v>
      </c>
      <c r="AF433" s="2">
        <v>6.63</v>
      </c>
      <c r="AG433" s="2" t="s">
        <v>102</v>
      </c>
      <c r="AH433" s="2" t="s">
        <v>102</v>
      </c>
      <c r="AI433" s="2" t="s">
        <v>4611</v>
      </c>
      <c r="AJ433" s="13" t="str">
        <f>HYPERLINK(".\links\tmhmm\AGAP003506-PA-tmhmm.txt","1")</f>
        <v>1</v>
      </c>
      <c r="AK433" s="2">
        <v>1.7</v>
      </c>
      <c r="AL433" s="2">
        <v>88.2</v>
      </c>
      <c r="AM433" s="2">
        <v>10.199999999999999</v>
      </c>
      <c r="AN433" s="13" t="str">
        <f>HYPERLINK(".\links\gpi\AGAP003506-PA-gpi.txt","N")</f>
        <v>N</v>
      </c>
      <c r="AO433" s="14" t="str">
        <f>HYPERLINK(".\links\netoglyc\AGAP003506-PA-netoglyc.txt","2")</f>
        <v>2</v>
      </c>
      <c r="AP433" s="13">
        <v>13.4</v>
      </c>
      <c r="AQ433" s="2">
        <v>8.8000000000000007</v>
      </c>
      <c r="AR433" s="2">
        <v>5.4</v>
      </c>
      <c r="AS433" s="2">
        <v>0.2</v>
      </c>
      <c r="AT433" s="9" t="str">
        <f>HYPERLINK(".\links\NR-LIGHT\AGAP003506-PA-NR-LIGHT.txt","AGAP003506-PA")</f>
        <v>AGAP003506-PA</v>
      </c>
      <c r="AU433" s="2" t="str">
        <f>HYPERLINK("http://www.ncbi.nlm.nih.gov/sutils/blink.cgi?pid=XP_309653.5","0.0")</f>
        <v>0.0</v>
      </c>
      <c r="AV433" s="2" t="str">
        <f>HYPERLINK("http://www.ncbi.nlm.nih.gov/protein/XP_309653.5","XP_309653.5")</f>
        <v>XP_309653.5</v>
      </c>
      <c r="AW433" s="2">
        <v>100</v>
      </c>
      <c r="AX433" s="2">
        <v>100</v>
      </c>
      <c r="AY433" s="2">
        <v>100</v>
      </c>
      <c r="AZ433" s="2" t="s">
        <v>105</v>
      </c>
      <c r="BA433" s="9" t="str">
        <f>HYPERLINK(".\links\REFSEQ-INVERTEBRATE\AGAP003506-PA-REFSEQ-INVERTEBRATE.txt","AGAP003506-PA")</f>
        <v>AGAP003506-PA</v>
      </c>
      <c r="BB433" s="2" t="str">
        <f>HYPERLINK("http://www.ncbi.nlm.nih.gov/sutils/blink.cgi?pid=XP_309653.5","0.0")</f>
        <v>0.0</v>
      </c>
      <c r="BC433" s="2" t="str">
        <f>HYPERLINK("http://www.ncbi.nlm.nih.gov/protein/XP_309653.5","XP_309653.5")</f>
        <v>XP_309653.5</v>
      </c>
      <c r="BD433" s="2">
        <v>100</v>
      </c>
      <c r="BE433" s="2">
        <v>100</v>
      </c>
      <c r="BF433" s="2">
        <v>100</v>
      </c>
      <c r="BG433" s="2" t="s">
        <v>105</v>
      </c>
      <c r="BH433" s="9" t="str">
        <f>HYPERLINK(".\links\REFSEQ-PROTOZOA\AGAP003506-PA-REFSEQ-PROTOZOA.txt","hypothetical protein, variant")</f>
        <v>hypothetical protein, variant</v>
      </c>
      <c r="BI433" s="2" t="str">
        <f>HYPERLINK("http://www.ncbi.nlm.nih.gov/sutils/blink.cgi?pid=XP_011270786.1","1E-131")</f>
        <v>1E-131</v>
      </c>
      <c r="BJ433" s="2" t="str">
        <f>HYPERLINK("http://www.ncbi.nlm.nih.gov/protein/XP_011270786.1","XP_011270786.1")</f>
        <v>XP_011270786.1</v>
      </c>
      <c r="BK433" s="2">
        <v>27</v>
      </c>
      <c r="BL433" s="2">
        <v>43</v>
      </c>
      <c r="BM433" s="2">
        <v>101</v>
      </c>
      <c r="BN433" s="2" t="s">
        <v>106</v>
      </c>
      <c r="BO433" s="9" t="str">
        <f>HYPERLINK(".\links\SWISSP\AGAP003506-PA-SWISSP.txt","Attractin")</f>
        <v>Attractin</v>
      </c>
      <c r="BP433" s="2" t="str">
        <f>HYPERLINK("http://www.uniprot.org/uniprot/O75882","0.0")</f>
        <v>0.0</v>
      </c>
      <c r="BQ433" s="2" t="str">
        <f>HYPERLINK("http://www.uniprot.org/uniprot/O75882#expression","O75882")</f>
        <v>O75882</v>
      </c>
      <c r="BR433" s="2">
        <v>35</v>
      </c>
      <c r="BS433" s="2">
        <v>49</v>
      </c>
      <c r="BT433" s="2">
        <v>102</v>
      </c>
      <c r="BU433" s="2" t="s">
        <v>127</v>
      </c>
      <c r="BV433" s="9" t="str">
        <f>HYPERLINK(".\links\FLYBASE\AGAP003506-PA-FLYBASE.txt","FBpp0307234")</f>
        <v>FBpp0307234</v>
      </c>
      <c r="BW433" s="2" t="str">
        <f>HYPERLINK("http://flybase.org/reports/FBgn0039528#alliance_summary_container","0.0")</f>
        <v>0.0</v>
      </c>
      <c r="BX433" s="2">
        <v>1323</v>
      </c>
      <c r="BY433" s="2">
        <v>62</v>
      </c>
      <c r="BZ433" s="2">
        <v>75</v>
      </c>
      <c r="CA433" s="2">
        <v>97</v>
      </c>
      <c r="CB433" s="9" t="str">
        <f>HYPERLINK(".\links\CDD\AGAP003506-PA-CDD.txt","CUB, CUB domain")</f>
        <v>CUB, CUB domain</v>
      </c>
      <c r="CC433" s="15">
        <v>2.0000000000000001E-13</v>
      </c>
      <c r="CD433" s="2">
        <v>120.4</v>
      </c>
      <c r="CE433" s="2" t="s">
        <v>4348</v>
      </c>
      <c r="CF433" s="2" t="s">
        <v>4612</v>
      </c>
      <c r="CG433" s="9" t="str">
        <f>HYPERLINK(".\links\KOG\AGAP003506-PA-KOG.txt","Attractin and platelet-activating factor acetylhydrolase")</f>
        <v>Attractin and platelet-activating factor acetylhydrolase</v>
      </c>
      <c r="CH433" s="15">
        <v>3.0000000000000001E-54</v>
      </c>
      <c r="CI433" s="2">
        <v>100.9</v>
      </c>
      <c r="CJ433" s="2" t="s">
        <v>4613</v>
      </c>
      <c r="CK433" s="2" t="s">
        <v>4614</v>
      </c>
      <c r="CL433" s="9" t="str">
        <f>HYPERLINK(".\links\PFAM\AGAP003506-PA-PFAM.txt","CUB, CUB domain")</f>
        <v>CUB, CUB domain</v>
      </c>
      <c r="CM433" s="15">
        <v>5.0000000000000002E-11</v>
      </c>
      <c r="CN433" s="2">
        <v>122.7</v>
      </c>
      <c r="CO433" s="2" t="s">
        <v>4351</v>
      </c>
      <c r="CP433" s="9" t="str">
        <f>HYPERLINK(".\links\SMART\AGAP003506-PA-SMART.txt","CUB, Domain first found in C1r, C1s, uEGF, and bone morphogenetic protein")</f>
        <v>CUB, Domain first found in C1r, C1s, uEGF, and bone morphogenetic protein</v>
      </c>
      <c r="CQ433" s="15">
        <v>1E-10</v>
      </c>
      <c r="CR433" s="2">
        <v>111.8</v>
      </c>
      <c r="CS433" s="2" t="s">
        <v>3745</v>
      </c>
      <c r="CT433" s="2" t="s">
        <v>4609</v>
      </c>
      <c r="CU433" s="2" t="s">
        <v>4609</v>
      </c>
      <c r="CV433" s="2" t="s">
        <v>4609</v>
      </c>
      <c r="CW433" s="2" t="str">
        <f>HYPERLINK(".\links\pep\AGAP003506-PA-pep.txt","AGAP003506-PA")</f>
        <v>AGAP003506-PA</v>
      </c>
      <c r="CX433" s="2" t="s">
        <v>95</v>
      </c>
      <c r="CY433" s="2">
        <v>1317</v>
      </c>
      <c r="CZ433" s="2" t="s">
        <v>113</v>
      </c>
      <c r="DA433" s="2" t="s">
        <v>4615</v>
      </c>
      <c r="DB433" s="2">
        <v>0</v>
      </c>
      <c r="DC433" s="2">
        <v>5</v>
      </c>
      <c r="DD433" s="2" t="str">
        <f>HYPERLINK("https://www.kegg.jp/kegg-bin/search_pathway_text?map=aga&amp;keyword=AGAP003506&amp;mode=1&amp;viewImage=true","AGAP003506")</f>
        <v>AGAP003506</v>
      </c>
      <c r="DE433" s="2" t="s">
        <v>4607</v>
      </c>
      <c r="DF433" s="2" t="s">
        <v>93</v>
      </c>
      <c r="DG433" s="2" t="s">
        <v>94</v>
      </c>
      <c r="DH433" s="2" t="str">
        <f>HYPERLINK("https://vectorbase.org/vectorbase/app/record/gene/AGAP003506","AGAP003506-RA")</f>
        <v>AGAP003506-RA</v>
      </c>
      <c r="DI433" s="2" t="s">
        <v>118</v>
      </c>
      <c r="DJ433" s="2">
        <v>6503</v>
      </c>
      <c r="DK433" s="2" t="str">
        <f>HYPERLINK(".\links\netoglyc\AGAP003506-PA-netoglyc.txt","2")</f>
        <v>2</v>
      </c>
      <c r="DL433" s="2">
        <v>13.4</v>
      </c>
      <c r="DM433" s="2">
        <v>8.8000000000000007</v>
      </c>
      <c r="DN433" s="2">
        <v>5.4</v>
      </c>
      <c r="DO433" s="2">
        <v>0.2</v>
      </c>
      <c r="DP433" s="2" t="s">
        <v>4616</v>
      </c>
      <c r="DQ433" s="2" t="str">
        <f>HYPERLINK(".\links\Sigp\AGAP003506-PA-SigP.txt","CYT")</f>
        <v>CYT</v>
      </c>
      <c r="DR433" s="2" t="s">
        <v>102</v>
      </c>
      <c r="DS433" s="2">
        <v>145.762</v>
      </c>
      <c r="DT433" s="2">
        <v>6.63</v>
      </c>
      <c r="DU433" s="2" t="s">
        <v>102</v>
      </c>
      <c r="DV433" s="2" t="s">
        <v>102</v>
      </c>
      <c r="DW433" s="2" t="s">
        <v>4611</v>
      </c>
      <c r="DX433" s="2">
        <v>1317</v>
      </c>
      <c r="DY433" s="12" t="str">
        <f>HYPERLINK(".\links\tmhmm\AGAP003506-PA-tmhmm.txt","1")</f>
        <v>1</v>
      </c>
      <c r="DZ433" s="2">
        <v>1.7</v>
      </c>
      <c r="EA433" s="2">
        <v>88.2</v>
      </c>
      <c r="EB433" s="2">
        <v>10.199999999999999</v>
      </c>
      <c r="EC433" s="2" t="str">
        <f>HYPERLINK(".\links\gpi\AGAP003506-PA-gpi.txt","Y-NoSP")</f>
        <v>Y-NoSP</v>
      </c>
      <c r="ED433" s="2">
        <v>0.2</v>
      </c>
      <c r="EE433" s="2" t="s">
        <v>4354</v>
      </c>
      <c r="EF433" s="2">
        <v>83</v>
      </c>
      <c r="EG433" s="2" t="str">
        <f>HYPERLINK(".\links\pep\AGAP003506-PA-sulf.txt","2")</f>
        <v>2</v>
      </c>
      <c r="EH433" s="2" t="s">
        <v>102</v>
      </c>
      <c r="EI433" s="2">
        <v>13.439635535307501</v>
      </c>
      <c r="EJ433" s="2">
        <v>5.3910402429764597</v>
      </c>
      <c r="EK433" s="2">
        <v>8.8078967350037995</v>
      </c>
      <c r="EL433" s="2">
        <v>14.198936977980299</v>
      </c>
      <c r="EM433" s="2">
        <v>3</v>
      </c>
      <c r="EN433" s="2">
        <v>3</v>
      </c>
      <c r="EO433" s="2">
        <v>4</v>
      </c>
      <c r="EP433" s="2" t="s">
        <v>102</v>
      </c>
      <c r="EQ433" s="2" t="s">
        <v>102</v>
      </c>
      <c r="ER433" s="2" t="s">
        <v>102</v>
      </c>
      <c r="ES433" s="2" t="s">
        <v>102</v>
      </c>
      <c r="ET433" s="2" t="str">
        <f>HYPERLINK(".\links\REFSEQ-INVERTEBRATE\AGAP003506-PA-REFSEQ-INVERTEBRATE.txt","AGAP003506-PA")</f>
        <v>AGAP003506-PA</v>
      </c>
      <c r="EU433" s="2" t="str">
        <f>HYPERLINK("http://www.ncbi.nlm.nih.gov/sutils/blink.cgi?pid=XP_309653.5","0.0")</f>
        <v>0.0</v>
      </c>
      <c r="EV433" s="2" t="str">
        <f>HYPERLINK("http://www.ncbi.nlm.nih.gov/protein/XP_309653.5","XP_309653.5")</f>
        <v>XP_309653.5</v>
      </c>
      <c r="EW433" s="2">
        <v>100</v>
      </c>
      <c r="EX433" s="2">
        <v>100</v>
      </c>
      <c r="EY433" s="2">
        <v>100</v>
      </c>
      <c r="EZ433" s="2" t="s">
        <v>105</v>
      </c>
    </row>
    <row r="434" spans="1:156" x14ac:dyDescent="0.25">
      <c r="A434" s="2" t="s">
        <v>4617</v>
      </c>
      <c r="B434" s="2">
        <v>-0.35522650347295298</v>
      </c>
      <c r="C434" s="2">
        <f t="shared" si="6"/>
        <v>0.78174689903978667</v>
      </c>
      <c r="D434" s="2">
        <v>6.6505534897040297</v>
      </c>
      <c r="E434" s="2">
        <v>10.999358831357799</v>
      </c>
      <c r="F434" s="2">
        <v>9.1143411785990795E-4</v>
      </c>
      <c r="G434" s="2">
        <v>3.06863845079768E-2</v>
      </c>
      <c r="H434" s="2" t="s">
        <v>4618</v>
      </c>
      <c r="I434" s="2" t="s">
        <v>94</v>
      </c>
      <c r="J434" s="2" t="str">
        <f>HYPERLINK("https://vectorbase.org/vectorbase/app/record/gene/AGAP006995","AGAP006995-RA")</f>
        <v>AGAP006995-RA</v>
      </c>
      <c r="K434" s="2" t="str">
        <f>HYPERLINK(".\links\pep\AGAP006995-PA-pep.txt","AGAP006995-PA")</f>
        <v>AGAP006995-PA</v>
      </c>
      <c r="L434" s="12" t="s">
        <v>95</v>
      </c>
      <c r="M434" s="2">
        <v>685</v>
      </c>
      <c r="N434" s="2">
        <v>0</v>
      </c>
      <c r="O434" s="2">
        <v>1</v>
      </c>
      <c r="P434" s="2" t="s">
        <v>4619</v>
      </c>
      <c r="Q434" s="9" t="s">
        <v>4620</v>
      </c>
      <c r="R434" s="2" t="s">
        <v>181</v>
      </c>
      <c r="S434" s="2" t="str">
        <f>HYPERLINK(".\links\KOG\AGAP006995-PA-KOG.txt","KOG")</f>
        <v>KOG</v>
      </c>
      <c r="T434" s="2">
        <v>6.9999999999999997E-93</v>
      </c>
      <c r="U434" s="2">
        <v>95.6</v>
      </c>
      <c r="V434" s="2" t="s">
        <v>4621</v>
      </c>
      <c r="W434" s="10" t="s">
        <v>4622</v>
      </c>
      <c r="X434" s="2" t="s">
        <v>771</v>
      </c>
      <c r="Y434" s="2" t="str">
        <f>HYPERLINK(".\links\KOG\AGAP006995-PA-KOG.txt","KOG")</f>
        <v>KOG</v>
      </c>
      <c r="Z434" s="15">
        <v>3.9999999999999998E-74</v>
      </c>
      <c r="AA434" s="2">
        <v>78</v>
      </c>
      <c r="AB434" s="13" t="str">
        <f>HYPERLINK(".\links\pep\AGAP006995-PA-sulf.txt","1")</f>
        <v>1</v>
      </c>
      <c r="AC434" s="13" t="str">
        <f>HYPERLINK(".\links\Sigp\AGAP006995-PA-SigP.txt","CYT")</f>
        <v>CYT</v>
      </c>
      <c r="AD434" s="2" t="s">
        <v>102</v>
      </c>
      <c r="AE434" s="2">
        <v>75.263000000000005</v>
      </c>
      <c r="AF434" s="2">
        <v>8.11</v>
      </c>
      <c r="AG434" s="2" t="s">
        <v>102</v>
      </c>
      <c r="AH434" s="2" t="s">
        <v>102</v>
      </c>
      <c r="AI434" s="2" t="s">
        <v>4623</v>
      </c>
      <c r="AJ434" s="13">
        <v>0</v>
      </c>
      <c r="AK434" s="2" t="s">
        <v>102</v>
      </c>
      <c r="AL434" s="2" t="s">
        <v>102</v>
      </c>
      <c r="AM434" s="2" t="s">
        <v>102</v>
      </c>
      <c r="AN434" s="13" t="str">
        <f>HYPERLINK(".\links\gpi\AGAP006995-PA-gpi.txt","N")</f>
        <v>N</v>
      </c>
      <c r="AO434" s="14" t="str">
        <f>HYPERLINK(".\links\netoglyc\AGAP006995-PA-netoglyc.txt","1")</f>
        <v>1</v>
      </c>
      <c r="AP434" s="13">
        <v>15.8</v>
      </c>
      <c r="AQ434" s="2">
        <v>9.1</v>
      </c>
      <c r="AR434" s="2">
        <v>4.4000000000000004</v>
      </c>
      <c r="AS434" s="2" t="s">
        <v>104</v>
      </c>
      <c r="AT434" s="9" t="str">
        <f>HYPERLINK(".\links\NR-LIGHT\AGAP006995-PA-NR-LIGHT.txt","AGAP006995-PA")</f>
        <v>AGAP006995-PA</v>
      </c>
      <c r="AU434" s="2" t="str">
        <f>HYPERLINK("http://www.ncbi.nlm.nih.gov/sutils/blink.cgi?pid=XP_308775.3","0.0")</f>
        <v>0.0</v>
      </c>
      <c r="AV434" s="2" t="str">
        <f>HYPERLINK("http://www.ncbi.nlm.nih.gov/protein/XP_308775.3","XP_308775.3")</f>
        <v>XP_308775.3</v>
      </c>
      <c r="AW434" s="2">
        <v>100</v>
      </c>
      <c r="AX434" s="2">
        <v>100</v>
      </c>
      <c r="AY434" s="2">
        <v>100</v>
      </c>
      <c r="AZ434" s="2" t="s">
        <v>105</v>
      </c>
      <c r="BA434" s="9" t="str">
        <f>HYPERLINK(".\links\REFSEQ-INVERTEBRATE\AGAP006995-PA-REFSEQ-INVERTEBRATE.txt","AGAP006995-PA")</f>
        <v>AGAP006995-PA</v>
      </c>
      <c r="BB434" s="2" t="str">
        <f>HYPERLINK("http://www.ncbi.nlm.nih.gov/sutils/blink.cgi?pid=XP_308775.3","0.0")</f>
        <v>0.0</v>
      </c>
      <c r="BC434" s="2" t="str">
        <f>HYPERLINK("http://www.ncbi.nlm.nih.gov/protein/XP_308775.3","XP_308775.3")</f>
        <v>XP_308775.3</v>
      </c>
      <c r="BD434" s="2">
        <v>100</v>
      </c>
      <c r="BE434" s="2">
        <v>100</v>
      </c>
      <c r="BF434" s="2">
        <v>100</v>
      </c>
      <c r="BG434" s="2" t="s">
        <v>105</v>
      </c>
      <c r="BH434" s="9" t="str">
        <f>HYPERLINK(".\links\REFSEQ-PROTOZOA\AGAP006995-PA-REFSEQ-PROTOZOA.txt","sphingosine kinase")</f>
        <v>sphingosine kinase</v>
      </c>
      <c r="BI434" s="2" t="str">
        <f>HYPERLINK("http://www.ncbi.nlm.nih.gov/sutils/blink.cgi?pid=XP_004350983.1","1E-040")</f>
        <v>1E-040</v>
      </c>
      <c r="BJ434" s="2" t="str">
        <f>HYPERLINK("http://www.ncbi.nlm.nih.gov/protein/XP_004350983.1","XP_004350983.1")</f>
        <v>XP_004350983.1</v>
      </c>
      <c r="BK434" s="2">
        <v>25</v>
      </c>
      <c r="BL434" s="2">
        <v>45</v>
      </c>
      <c r="BM434" s="2">
        <v>89</v>
      </c>
      <c r="BN434" s="2" t="s">
        <v>212</v>
      </c>
      <c r="BO434" s="9" t="str">
        <f>HYPERLINK(".\links\SWISSP\AGAP006995-PA-SWISSP.txt","Sphingosine kinase 2")</f>
        <v>Sphingosine kinase 2</v>
      </c>
      <c r="BP434" s="2" t="str">
        <f>HYPERLINK("http://www.uniprot.org/uniprot/Q9NRA0","8E-069")</f>
        <v>8E-069</v>
      </c>
      <c r="BQ434" s="2" t="str">
        <f>HYPERLINK("http://www.uniprot.org/uniprot/Q9NRA0#expression","Q9NRA0")</f>
        <v>Q9NRA0</v>
      </c>
      <c r="BR434" s="2">
        <v>31</v>
      </c>
      <c r="BS434" s="2">
        <v>47</v>
      </c>
      <c r="BT434" s="2">
        <v>100</v>
      </c>
      <c r="BU434" s="2" t="s">
        <v>127</v>
      </c>
      <c r="BV434" s="9" t="str">
        <f>HYPERLINK(".\links\FLYBASE\AGAP006995-PA-FLYBASE.txt","FBpp0072854")</f>
        <v>FBpp0072854</v>
      </c>
      <c r="BW434" s="2" t="str">
        <f>HYPERLINK("http://flybase.org/reports/FBgn0052484#alliance_summary_container","0.0")</f>
        <v>0.0</v>
      </c>
      <c r="BX434" s="2">
        <v>661</v>
      </c>
      <c r="BY434" s="2">
        <v>45</v>
      </c>
      <c r="BZ434" s="2">
        <v>63</v>
      </c>
      <c r="CA434" s="2">
        <v>98</v>
      </c>
      <c r="CB434" s="9" t="str">
        <f>HYPERLINK(".\links\CDD\AGAP006995-PA-CDD.txt","PLN02958, diacylglycerol kinase/D-erythro-sphingosine kinase")</f>
        <v>PLN02958, diacylglycerol kinase/D-erythro-sphingosine kinase</v>
      </c>
      <c r="CC434" s="15">
        <v>9.0000000000000002E-42</v>
      </c>
      <c r="CD434" s="2">
        <v>41.6</v>
      </c>
      <c r="CE434" s="2" t="s">
        <v>4624</v>
      </c>
      <c r="CF434" s="2" t="s">
        <v>4625</v>
      </c>
      <c r="CG434" s="9" t="str">
        <f>HYPERLINK(".\links\KOG\AGAP006995-PA-KOG.txt","involved in sphingolipid metabolism")</f>
        <v>involved in sphingolipid metabolism</v>
      </c>
      <c r="CH434" s="15">
        <v>6.9999999999999997E-93</v>
      </c>
      <c r="CI434" s="2">
        <v>95.7</v>
      </c>
      <c r="CJ434" s="2" t="s">
        <v>4626</v>
      </c>
      <c r="CK434" s="2" t="s">
        <v>4627</v>
      </c>
      <c r="CL434" s="9" t="str">
        <f>HYPERLINK(".\links\PFAM\AGAP006995-PA-PFAM.txt","DAGK_cat, Diacylglycerol kinase catalytic domain")</f>
        <v>DAGK_cat, Diacylglycerol kinase catalytic domain</v>
      </c>
      <c r="CM434" s="15">
        <v>5.0000000000000002E-28</v>
      </c>
      <c r="CN434" s="2">
        <v>111.2</v>
      </c>
      <c r="CO434" s="2" t="s">
        <v>4628</v>
      </c>
      <c r="CP434" s="9" t="str">
        <f>HYPERLINK(".\links\SMART\AGAP006995-PA-SMART.txt","DAGKc, Diacylglycerol kinase catalytic domain (presumed)")</f>
        <v>DAGKc, Diacylglycerol kinase catalytic domain (presumed)</v>
      </c>
      <c r="CQ434" s="15">
        <v>2.9999999999999998E-14</v>
      </c>
      <c r="CR434" s="2">
        <v>86.3</v>
      </c>
      <c r="CS434" s="2" t="s">
        <v>4629</v>
      </c>
      <c r="CT434" s="2" t="s">
        <v>4621</v>
      </c>
      <c r="CU434" s="2" t="s">
        <v>4621</v>
      </c>
      <c r="CV434" s="2" t="s">
        <v>4621</v>
      </c>
      <c r="CW434" s="2" t="str">
        <f>HYPERLINK(".\links\pep\AGAP006995-PA-pep.txt","AGAP006995-PA")</f>
        <v>AGAP006995-PA</v>
      </c>
      <c r="CX434" s="2" t="s">
        <v>95</v>
      </c>
      <c r="CY434" s="2">
        <v>685</v>
      </c>
      <c r="CZ434" s="2" t="s">
        <v>113</v>
      </c>
      <c r="DA434" s="2" t="s">
        <v>4630</v>
      </c>
      <c r="DB434" s="2">
        <v>0</v>
      </c>
      <c r="DC434" s="2">
        <v>1</v>
      </c>
      <c r="DD434" s="2" t="str">
        <f>HYPERLINK("https://www.kegg.jp/kegg-bin/search_pathway_text?map=aga&amp;keyword=AGAP006995&amp;mode=1&amp;viewImage=true","AGAP006995")</f>
        <v>AGAP006995</v>
      </c>
      <c r="DE434" s="2" t="s">
        <v>4617</v>
      </c>
      <c r="DF434" s="2" t="s">
        <v>4618</v>
      </c>
      <c r="DG434" s="2" t="s">
        <v>94</v>
      </c>
      <c r="DH434" s="2" t="str">
        <f>HYPERLINK("https://vectorbase.org/vectorbase/app/record/gene/AGAP006995","AGAP006995-RA")</f>
        <v>AGAP006995-RA</v>
      </c>
      <c r="DI434" s="2" t="s">
        <v>135</v>
      </c>
      <c r="DJ434" s="2">
        <v>5093</v>
      </c>
      <c r="DK434" s="2" t="str">
        <f>HYPERLINK(".\links\netoglyc\AGAP006995-PA-netoglyc.txt","1")</f>
        <v>1</v>
      </c>
      <c r="DL434" s="2">
        <v>15.8</v>
      </c>
      <c r="DM434" s="2">
        <v>9.1</v>
      </c>
      <c r="DN434" s="2">
        <v>4.4000000000000004</v>
      </c>
      <c r="DO434" s="2" t="s">
        <v>104</v>
      </c>
      <c r="DP434" s="2" t="s">
        <v>4631</v>
      </c>
      <c r="DQ434" s="2" t="str">
        <f>HYPERLINK(".\links\Sigp\AGAP006995-PA-SigP.txt","CYT")</f>
        <v>CYT</v>
      </c>
      <c r="DR434" s="2" t="s">
        <v>102</v>
      </c>
      <c r="DS434" s="2">
        <v>75.263000000000005</v>
      </c>
      <c r="DT434" s="2">
        <v>8.11</v>
      </c>
      <c r="DU434" s="2" t="s">
        <v>102</v>
      </c>
      <c r="DV434" s="2" t="s">
        <v>102</v>
      </c>
      <c r="DW434" s="2" t="s">
        <v>4623</v>
      </c>
      <c r="DX434" s="2">
        <v>685</v>
      </c>
      <c r="DY434" s="12">
        <v>0</v>
      </c>
      <c r="DZ434" s="2" t="s">
        <v>102</v>
      </c>
      <c r="EA434" s="2" t="s">
        <v>102</v>
      </c>
      <c r="EB434" s="2" t="s">
        <v>102</v>
      </c>
      <c r="EC434" s="2" t="str">
        <f>HYPERLINK(".\links\gpi\AGAP006995-PA-gpi.txt","N")</f>
        <v>N</v>
      </c>
      <c r="ED434" s="2">
        <v>0.15</v>
      </c>
      <c r="EF434" s="2">
        <v>13</v>
      </c>
      <c r="EG434" s="2" t="str">
        <f>HYPERLINK(".\links\pep\AGAP006995-PA-sulf.txt","1")</f>
        <v>1</v>
      </c>
      <c r="EH434" s="2" t="s">
        <v>102</v>
      </c>
      <c r="EI434" s="2">
        <v>15.7664233576642</v>
      </c>
      <c r="EJ434" s="2">
        <v>4.3795620437956204</v>
      </c>
      <c r="EK434" s="2">
        <v>9.0510948905109494</v>
      </c>
      <c r="EL434" s="2">
        <v>13.430656934306599</v>
      </c>
      <c r="EM434" s="2" t="s">
        <v>102</v>
      </c>
      <c r="EN434" s="2">
        <v>3</v>
      </c>
      <c r="EO434" s="2">
        <v>3</v>
      </c>
      <c r="EP434" s="2" t="s">
        <v>102</v>
      </c>
      <c r="EQ434" s="2" t="s">
        <v>102</v>
      </c>
      <c r="ER434" s="2" t="s">
        <v>102</v>
      </c>
      <c r="ES434" s="2" t="s">
        <v>102</v>
      </c>
      <c r="ET434" s="2" t="str">
        <f>HYPERLINK(".\links\REFSEQ-INVERTEBRATE\AGAP006995-PA-REFSEQ-INVERTEBRATE.txt","AGAP006995-PA")</f>
        <v>AGAP006995-PA</v>
      </c>
      <c r="EU434" s="2" t="str">
        <f>HYPERLINK("http://www.ncbi.nlm.nih.gov/sutils/blink.cgi?pid=XP_308775.3","0.0")</f>
        <v>0.0</v>
      </c>
      <c r="EV434" s="2" t="str">
        <f>HYPERLINK("http://www.ncbi.nlm.nih.gov/protein/XP_308775.3","XP_308775.3")</f>
        <v>XP_308775.3</v>
      </c>
      <c r="EW434" s="2">
        <v>100</v>
      </c>
      <c r="EX434" s="2">
        <v>100</v>
      </c>
      <c r="EY434" s="2">
        <v>100</v>
      </c>
      <c r="EZ434" s="2" t="s">
        <v>105</v>
      </c>
    </row>
    <row r="435" spans="1:156" x14ac:dyDescent="0.25">
      <c r="A435" s="2" t="s">
        <v>4632</v>
      </c>
      <c r="B435" s="2">
        <v>-0.35832634330276297</v>
      </c>
      <c r="C435" s="2">
        <f t="shared" si="6"/>
        <v>0.78006900553214342</v>
      </c>
      <c r="D435" s="2">
        <v>5.8712333993125698</v>
      </c>
      <c r="E435" s="2">
        <v>21.996996874083202</v>
      </c>
      <c r="F435" s="2">
        <v>2.73077412543364E-6</v>
      </c>
      <c r="G435" s="2">
        <v>2.03828924086698E-3</v>
      </c>
      <c r="H435" s="2" t="s">
        <v>4633</v>
      </c>
      <c r="I435" s="2" t="s">
        <v>94</v>
      </c>
      <c r="J435" s="2" t="str">
        <f>HYPERLINK("https://vectorbase.org/vectorbase/app/record/gene/AGAP002354","AGAP002354-RA")</f>
        <v>AGAP002354-RA</v>
      </c>
      <c r="K435" s="2" t="str">
        <f>HYPERLINK(".\links\pep\AGAP002354-PA-pep.txt","AGAP002354-PA")</f>
        <v>AGAP002354-PA</v>
      </c>
      <c r="L435" s="12" t="s">
        <v>95</v>
      </c>
      <c r="M435" s="2">
        <v>795</v>
      </c>
      <c r="N435" s="2">
        <v>0</v>
      </c>
      <c r="O435" s="2">
        <v>1</v>
      </c>
      <c r="P435" s="2" t="s">
        <v>4634</v>
      </c>
      <c r="Q435" s="9" t="s">
        <v>4635</v>
      </c>
      <c r="R435" s="2" t="s">
        <v>355</v>
      </c>
      <c r="S435" s="2" t="str">
        <f>HYPERLINK(".\links\CDD\AGAP002354-PA-CDD.txt","CDD")</f>
        <v>CDD</v>
      </c>
      <c r="T435" s="2">
        <v>3.9999999999999997E-39</v>
      </c>
      <c r="U435" s="2">
        <v>73.3</v>
      </c>
      <c r="V435" s="2" t="s">
        <v>4636</v>
      </c>
      <c r="W435" s="10" t="s">
        <v>4637</v>
      </c>
      <c r="X435" s="2" t="s">
        <v>4638</v>
      </c>
      <c r="Y435" s="2" t="str">
        <f>HYPERLINK(".\links\REFSEQVERTEBRATE95\AGAP002354-PA-REFSEQVERTEBRATE95.txt","REFSEQVERTEBRATE95")</f>
        <v>REFSEQVERTEBRATE95</v>
      </c>
      <c r="Z435" s="2">
        <v>0</v>
      </c>
      <c r="AA435" s="2">
        <v>85.5</v>
      </c>
      <c r="AB435" s="13" t="str">
        <f>HYPERLINK(".\links\pep\AGAP002354-PA-sulf.txt","2")</f>
        <v>2</v>
      </c>
      <c r="AC435" s="13" t="str">
        <f>HYPERLINK(".\links\Sigp\AGAP002354-PA-SigP.txt","CYT")</f>
        <v>CYT</v>
      </c>
      <c r="AD435" s="2" t="s">
        <v>102</v>
      </c>
      <c r="AE435" s="2">
        <v>91.382999999999996</v>
      </c>
      <c r="AF435" s="2">
        <v>5.28</v>
      </c>
      <c r="AG435" s="2" t="s">
        <v>102</v>
      </c>
      <c r="AH435" s="2" t="s">
        <v>102</v>
      </c>
      <c r="AI435" s="2" t="s">
        <v>4639</v>
      </c>
      <c r="AJ435" s="13">
        <v>0</v>
      </c>
      <c r="AK435" s="2" t="s">
        <v>102</v>
      </c>
      <c r="AL435" s="2" t="s">
        <v>102</v>
      </c>
      <c r="AM435" s="2" t="s">
        <v>102</v>
      </c>
      <c r="AN435" s="13" t="str">
        <f>HYPERLINK(".\links\gpi\AGAP002354-PA-gpi.txt","N")</f>
        <v>N</v>
      </c>
      <c r="AO435" s="14" t="str">
        <f>HYPERLINK(".\links\netoglyc\AGAP002354-PA-netoglyc.txt","5")</f>
        <v>5</v>
      </c>
      <c r="AP435" s="13">
        <v>14.6</v>
      </c>
      <c r="AQ435" s="2">
        <v>2.9</v>
      </c>
      <c r="AR435" s="2">
        <v>1.8</v>
      </c>
      <c r="AS435" s="2" t="s">
        <v>104</v>
      </c>
      <c r="AT435" s="9" t="str">
        <f>HYPERLINK(".\links\NR-LIGHT\AGAP002354-PA-NR-LIGHT.txt","AGAP002354-PA-like protein")</f>
        <v>AGAP002354-PA-like protein</v>
      </c>
      <c r="AU435" s="2" t="str">
        <f>HYPERLINK("http://www.ncbi.nlm.nih.gov/sutils/blink.cgi?pid=KFB38212.1","0.0")</f>
        <v>0.0</v>
      </c>
      <c r="AV435" s="2" t="str">
        <f>HYPERLINK("http://www.ncbi.nlm.nih.gov/protein/KFB38212.1","KFB38212.1")</f>
        <v>KFB38212.1</v>
      </c>
      <c r="AW435" s="2">
        <v>98</v>
      </c>
      <c r="AX435" s="2">
        <v>99</v>
      </c>
      <c r="AY435" s="2">
        <v>100</v>
      </c>
      <c r="AZ435" s="2" t="s">
        <v>1522</v>
      </c>
      <c r="BA435" s="9" t="str">
        <f>HYPERLINK(".\links\REFSEQ-INVERTEBRATE\AGAP002354-PA-REFSEQ-INVERTEBRATE.txt","AGAP002354-PA")</f>
        <v>AGAP002354-PA</v>
      </c>
      <c r="BB435" s="2" t="str">
        <f>HYPERLINK("http://www.ncbi.nlm.nih.gov/sutils/blink.cgi?pid=XP_312605.5","0.0")</f>
        <v>0.0</v>
      </c>
      <c r="BC435" s="2" t="str">
        <f>HYPERLINK("http://www.ncbi.nlm.nih.gov/protein/XP_312605.5","XP_312605.5")</f>
        <v>XP_312605.5</v>
      </c>
      <c r="BD435" s="2">
        <v>92</v>
      </c>
      <c r="BE435" s="2">
        <v>92</v>
      </c>
      <c r="BF435" s="2">
        <v>100</v>
      </c>
      <c r="BG435" s="2" t="s">
        <v>105</v>
      </c>
      <c r="BH435" s="9" t="str">
        <f>HYPERLINK(".\links\REFSEQ-PROTOZOA\AGAP002354-PA-REFSEQ-PROTOZOA.txt","rabgap1 protein")</f>
        <v>rabgap1 protein</v>
      </c>
      <c r="BI435" s="2" t="str">
        <f>HYPERLINK("http://www.ncbi.nlm.nih.gov/sutils/blink.cgi?pid=XP_004344340.1","1E-072")</f>
        <v>1E-072</v>
      </c>
      <c r="BJ435" s="2" t="str">
        <f>HYPERLINK("http://www.ncbi.nlm.nih.gov/protein/XP_004344340.1","XP_004344340.1")</f>
        <v>XP_004344340.1</v>
      </c>
      <c r="BK435" s="2">
        <v>32</v>
      </c>
      <c r="BL435" s="2">
        <v>50</v>
      </c>
      <c r="BM435" s="2">
        <v>63</v>
      </c>
      <c r="BN435" s="2" t="s">
        <v>106</v>
      </c>
      <c r="BO435" s="9" t="str">
        <f>HYPERLINK(".\links\SWISSP\AGAP002354-PA-SWISSP.txt","Ecotropic viral integration site 5 ortholog")</f>
        <v>Ecotropic viral integration site 5 ortholog</v>
      </c>
      <c r="BP435" s="2" t="str">
        <f>HYPERLINK("http://www.uniprot.org/uniprot/Q9VYY9","0.0")</f>
        <v>0.0</v>
      </c>
      <c r="BQ435" s="2" t="str">
        <f>HYPERLINK("http://www.uniprot.org/uniprot/Q9VYY9#expression","Q9VYY9")</f>
        <v>Q9VYY9</v>
      </c>
      <c r="BR435" s="2">
        <v>78</v>
      </c>
      <c r="BS435" s="2">
        <v>87</v>
      </c>
      <c r="BT435" s="2">
        <v>99</v>
      </c>
      <c r="BU435" s="2" t="s">
        <v>107</v>
      </c>
      <c r="BV435" s="9" t="str">
        <f>HYPERLINK(".\links\FLYBASE\AGAP002354-PA-FLYBASE.txt","FBpp0289957")</f>
        <v>FBpp0289957</v>
      </c>
      <c r="BW435" s="2" t="str">
        <f>HYPERLINK("http://flybase.org/reports/FBgn0262740#alliance_summary_container","0.0")</f>
        <v>0.0</v>
      </c>
      <c r="BX435" s="2">
        <v>801</v>
      </c>
      <c r="BY435" s="2">
        <v>81</v>
      </c>
      <c r="BZ435" s="2">
        <v>90</v>
      </c>
      <c r="CA435" s="2">
        <v>96</v>
      </c>
      <c r="CB435" s="9" t="str">
        <f>HYPERLINK(".\links\CDD\AGAP002354-PA-CDD.txt","TBC, Domain in Tre-2, BUB2p, and Cdc16p")</f>
        <v>TBC, Domain in Tre-2, BUB2p, and Cdc16p</v>
      </c>
      <c r="CC435" s="15">
        <v>2.0000000000000001E-63</v>
      </c>
      <c r="CD435" s="2">
        <v>100.5</v>
      </c>
      <c r="CE435" s="2" t="s">
        <v>3504</v>
      </c>
      <c r="CF435" s="2" t="s">
        <v>4640</v>
      </c>
      <c r="CG435" s="9" t="str">
        <f>HYPERLINK(".\links\KOG\AGAP002354-PA-KOG.txt","Predicted GTPase activator NB4S/EVI5 (contains TBC domain)/Calmodulin-binding protein Pollux (contains PTB and TBC domains)")</f>
        <v>Predicted GTPase activator NB4S/EVI5 (contains TBC domain)/Calmodulin-binding protein Pollux (contains PTB and TBC domains)</v>
      </c>
      <c r="CH435" s="15">
        <v>1.0000000000000001E-101</v>
      </c>
      <c r="CI435" s="2">
        <v>87.9</v>
      </c>
      <c r="CJ435" s="2" t="s">
        <v>4641</v>
      </c>
      <c r="CK435" s="2" t="s">
        <v>191</v>
      </c>
      <c r="CL435" s="9" t="str">
        <f>HYPERLINK(".\links\PFAM\AGAP002354-PA-PFAM.txt","RabGAP-TBC, Rab-GTPase-TBC domain")</f>
        <v>RabGAP-TBC, Rab-GTPase-TBC domain</v>
      </c>
      <c r="CM435" s="15">
        <v>3.9999999999999999E-48</v>
      </c>
      <c r="CN435" s="2">
        <v>112.7</v>
      </c>
      <c r="CO435" s="2" t="s">
        <v>3507</v>
      </c>
      <c r="CP435" s="9" t="str">
        <f>HYPERLINK(".\links\SMART\AGAP002354-PA-SMART.txt","TBC, Domain in Tre-2, BUB2p, and Cdc16p")</f>
        <v>TBC, Domain in Tre-2, BUB2p, and Cdc16p</v>
      </c>
      <c r="CQ435" s="15">
        <v>1.9999999999999998E-65</v>
      </c>
      <c r="CR435" s="2">
        <v>100.5</v>
      </c>
      <c r="CS435" s="2" t="s">
        <v>3504</v>
      </c>
      <c r="CT435" s="2" t="s">
        <v>4636</v>
      </c>
      <c r="CU435" s="2" t="s">
        <v>4636</v>
      </c>
      <c r="CV435" s="2" t="s">
        <v>4636</v>
      </c>
      <c r="CW435" s="2" t="str">
        <f>HYPERLINK(".\links\pep\AGAP002354-PA-pep.txt","AGAP002354-PA")</f>
        <v>AGAP002354-PA</v>
      </c>
      <c r="CX435" s="2" t="s">
        <v>95</v>
      </c>
      <c r="CY435" s="2">
        <v>795</v>
      </c>
      <c r="CZ435" s="2" t="s">
        <v>113</v>
      </c>
      <c r="DA435" s="2" t="s">
        <v>4642</v>
      </c>
      <c r="DB435" s="2">
        <v>0</v>
      </c>
      <c r="DC435" s="2">
        <v>1</v>
      </c>
      <c r="DD435" s="2" t="str">
        <f>HYPERLINK("https://www.kegg.jp/kegg-bin/search_pathway_text?map=aga&amp;keyword=AGAP002354&amp;mode=1&amp;viewImage=true","AGAP002354")</f>
        <v>AGAP002354</v>
      </c>
      <c r="DE435" s="2" t="s">
        <v>4632</v>
      </c>
      <c r="DF435" s="2" t="s">
        <v>4633</v>
      </c>
      <c r="DG435" s="2" t="s">
        <v>94</v>
      </c>
      <c r="DH435" s="2" t="str">
        <f>HYPERLINK("https://vectorbase.org/vectorbase/app/record/gene/AGAP002354","AGAP002354-RA")</f>
        <v>AGAP002354-RA</v>
      </c>
      <c r="DI435" s="2" t="s">
        <v>135</v>
      </c>
      <c r="DJ435" s="2">
        <v>8516</v>
      </c>
      <c r="DK435" s="2" t="str">
        <f>HYPERLINK(".\links\netoglyc\AGAP002354-PA-netoglyc.txt","5")</f>
        <v>5</v>
      </c>
      <c r="DL435" s="2">
        <v>14.6</v>
      </c>
      <c r="DM435" s="2">
        <v>2.9</v>
      </c>
      <c r="DN435" s="2">
        <v>1.8</v>
      </c>
      <c r="DO435" s="2" t="s">
        <v>104</v>
      </c>
      <c r="DP435" s="2" t="s">
        <v>102</v>
      </c>
      <c r="DQ435" s="2" t="str">
        <f>HYPERLINK(".\links\Sigp\AGAP002354-PA-SigP.txt","CYT")</f>
        <v>CYT</v>
      </c>
      <c r="DR435" s="2" t="s">
        <v>102</v>
      </c>
      <c r="DS435" s="2">
        <v>91.382999999999996</v>
      </c>
      <c r="DT435" s="2">
        <v>5.28</v>
      </c>
      <c r="DU435" s="2" t="s">
        <v>102</v>
      </c>
      <c r="DV435" s="2" t="s">
        <v>102</v>
      </c>
      <c r="DW435" s="2" t="s">
        <v>4639</v>
      </c>
      <c r="DX435" s="2">
        <v>795</v>
      </c>
      <c r="DY435" s="12">
        <v>0</v>
      </c>
      <c r="DZ435" s="2" t="s">
        <v>102</v>
      </c>
      <c r="EA435" s="2" t="s">
        <v>102</v>
      </c>
      <c r="EB435" s="2" t="s">
        <v>102</v>
      </c>
      <c r="EC435" s="2" t="str">
        <f>HYPERLINK(".\links\gpi\AGAP002354-PA-gpi.txt","Y-NoSP")</f>
        <v>Y-NoSP</v>
      </c>
      <c r="ED435" s="2">
        <v>0.36</v>
      </c>
      <c r="EF435" s="2">
        <v>6</v>
      </c>
      <c r="EG435" s="2" t="str">
        <f>HYPERLINK(".\links\pep\AGAP002354-PA-sulf.txt","2")</f>
        <v>2</v>
      </c>
      <c r="EH435" s="2" t="s">
        <v>102</v>
      </c>
      <c r="EI435" s="2">
        <v>14.5911949685535</v>
      </c>
      <c r="EJ435" s="2">
        <v>1.7610062893081799</v>
      </c>
      <c r="EK435" s="2">
        <v>2.89308176100629</v>
      </c>
      <c r="EL435" s="2">
        <v>4.6540880503144697</v>
      </c>
      <c r="EM435" s="2" t="s">
        <v>102</v>
      </c>
      <c r="EN435" s="2">
        <v>1</v>
      </c>
      <c r="EO435" s="2">
        <v>2</v>
      </c>
      <c r="EP435" s="2" t="s">
        <v>102</v>
      </c>
      <c r="EQ435" s="2" t="s">
        <v>102</v>
      </c>
      <c r="ER435" s="2" t="s">
        <v>102</v>
      </c>
      <c r="ES435" s="2" t="s">
        <v>102</v>
      </c>
      <c r="ET435" s="2" t="str">
        <f>HYPERLINK(".\links\REFSEQ-INVERTEBRATE\AGAP002354-PA-REFSEQ-INVERTEBRATE.txt","ecotropic viral integration site 5 ortholog isoform X5")</f>
        <v>ecotropic viral integration site 5 ortholog isoform X5</v>
      </c>
      <c r="EU435" s="2" t="str">
        <f>HYPERLINK("http://www.ncbi.nlm.nih.gov/sutils/blink.cgi?pid=XP_035891432.1","0.0")</f>
        <v>0.0</v>
      </c>
      <c r="EV435" s="2" t="str">
        <f>HYPERLINK("http://www.ncbi.nlm.nih.gov/protein/XP_035891432.1","XP_035891432.1")</f>
        <v>XP_035891432.1</v>
      </c>
      <c r="EW435" s="2">
        <v>97</v>
      </c>
      <c r="EX435" s="2">
        <v>98</v>
      </c>
      <c r="EY435" s="2">
        <v>100</v>
      </c>
      <c r="EZ435" s="2" t="s">
        <v>370</v>
      </c>
    </row>
    <row r="436" spans="1:156" x14ac:dyDescent="0.25">
      <c r="A436" s="2" t="s">
        <v>4643</v>
      </c>
      <c r="B436" s="2">
        <v>-0.35945449968498699</v>
      </c>
      <c r="C436" s="2">
        <f t="shared" si="6"/>
        <v>0.7794592468472995</v>
      </c>
      <c r="D436" s="2">
        <v>5.3830936964822698</v>
      </c>
      <c r="E436" s="2">
        <v>12.7067918187876</v>
      </c>
      <c r="F436" s="2">
        <v>3.6432992501827599E-4</v>
      </c>
      <c r="G436" s="2">
        <v>2.1768426261281001E-2</v>
      </c>
      <c r="H436" s="2" t="s">
        <v>4644</v>
      </c>
      <c r="I436" s="2" t="s">
        <v>94</v>
      </c>
      <c r="J436" s="2" t="str">
        <f>HYPERLINK("https://vectorbase.org/vectorbase/app/record/gene/AGAP012645","AGAP012645-RA")</f>
        <v>AGAP012645-RA</v>
      </c>
      <c r="K436" s="2" t="str">
        <f>HYPERLINK(".\links\pep\AGAP012645-PA-pep.txt","AGAP012645-PA")</f>
        <v>AGAP012645-PA</v>
      </c>
      <c r="L436" s="12" t="s">
        <v>95</v>
      </c>
      <c r="M436" s="2">
        <v>477</v>
      </c>
      <c r="N436" s="2">
        <v>0</v>
      </c>
      <c r="O436" s="2">
        <v>3</v>
      </c>
      <c r="P436" s="2" t="s">
        <v>4645</v>
      </c>
      <c r="Q436" s="9" t="s">
        <v>4646</v>
      </c>
      <c r="R436" s="2" t="s">
        <v>420</v>
      </c>
      <c r="S436" s="2" t="str">
        <f>HYPERLINK(".\links\CDD\AGAP012645-PA-CDD.txt","CDD")</f>
        <v>CDD</v>
      </c>
      <c r="T436" s="2">
        <v>5.0000000000000001E-47</v>
      </c>
      <c r="U436" s="2">
        <v>98.3</v>
      </c>
      <c r="V436" s="2" t="s">
        <v>4647</v>
      </c>
      <c r="W436" s="10" t="s">
        <v>4648</v>
      </c>
      <c r="X436" s="2" t="s">
        <v>420</v>
      </c>
      <c r="Y436" s="2" t="str">
        <f>HYPERLINK(".\links\REFSEQVERTEBRATE95\AGAP012645-PA-REFSEQVERTEBRATE95.txt","REFSEQVERTEBRATE95")</f>
        <v>REFSEQVERTEBRATE95</v>
      </c>
      <c r="Z436" s="15">
        <v>8.9999999999999997E-44</v>
      </c>
      <c r="AA436" s="2">
        <v>103.3</v>
      </c>
      <c r="AB436" s="13" t="s">
        <v>102</v>
      </c>
      <c r="AC436" s="13" t="str">
        <f>HYPERLINK(".\links\Sigp\AGAP012645-PA-SigP.txt","CYT")</f>
        <v>CYT</v>
      </c>
      <c r="AD436" s="2" t="s">
        <v>102</v>
      </c>
      <c r="AE436" s="2">
        <v>51.005000000000003</v>
      </c>
      <c r="AF436" s="2">
        <v>6.15</v>
      </c>
      <c r="AG436" s="2" t="s">
        <v>102</v>
      </c>
      <c r="AH436" s="2" t="s">
        <v>102</v>
      </c>
      <c r="AI436" s="2" t="s">
        <v>211</v>
      </c>
      <c r="AJ436" s="13">
        <v>0</v>
      </c>
      <c r="AK436" s="2" t="s">
        <v>102</v>
      </c>
      <c r="AL436" s="2" t="s">
        <v>102</v>
      </c>
      <c r="AM436" s="2" t="s">
        <v>102</v>
      </c>
      <c r="AN436" s="13" t="str">
        <f>HYPERLINK(".\links\gpi\AGAP012645-PA-gpi.txt","N")</f>
        <v>N</v>
      </c>
      <c r="AO436" s="14" t="str">
        <f>HYPERLINK(".\links\netoglyc\AGAP012645-PA-netoglyc.txt","18")</f>
        <v>18</v>
      </c>
      <c r="AP436" s="13">
        <v>15.7</v>
      </c>
      <c r="AQ436" s="2">
        <v>8.6</v>
      </c>
      <c r="AR436" s="2">
        <v>7.8</v>
      </c>
      <c r="AS436" s="2" t="s">
        <v>104</v>
      </c>
      <c r="AT436" s="9" t="str">
        <f>HYPERLINK(".\links\NR-LIGHT\AGAP012645-PA-NR-LIGHT.txt","AGAP012645-PA, partial")</f>
        <v>AGAP012645-PA, partial</v>
      </c>
      <c r="AU436" s="2" t="str">
        <f>HYPERLINK("http://www.ncbi.nlm.nih.gov/sutils/blink.cgi?pid=XP_024667092.1","0.0")</f>
        <v>0.0</v>
      </c>
      <c r="AV436" s="2" t="str">
        <f>HYPERLINK("http://www.ncbi.nlm.nih.gov/protein/XP_024667092.1","XP_024667092.1")</f>
        <v>XP_024667092.1</v>
      </c>
      <c r="AW436" s="2">
        <v>100</v>
      </c>
      <c r="AX436" s="2">
        <v>100</v>
      </c>
      <c r="AY436" s="2">
        <v>100</v>
      </c>
      <c r="AZ436" s="2" t="s">
        <v>105</v>
      </c>
      <c r="BA436" s="9" t="str">
        <f>HYPERLINK(".\links\REFSEQ-INVERTEBRATE\AGAP012645-PA-REFSEQ-INVERTEBRATE.txt","AGAP012645-PA, partial")</f>
        <v>AGAP012645-PA, partial</v>
      </c>
      <c r="BB436" s="2" t="str">
        <f>HYPERLINK("http://www.ncbi.nlm.nih.gov/sutils/blink.cgi?pid=XP_024667092.1","0.0")</f>
        <v>0.0</v>
      </c>
      <c r="BC436" s="2" t="str">
        <f>HYPERLINK("http://www.ncbi.nlm.nih.gov/protein/XP_024667092.1","XP_024667092.1")</f>
        <v>XP_024667092.1</v>
      </c>
      <c r="BD436" s="2">
        <v>100</v>
      </c>
      <c r="BE436" s="2">
        <v>100</v>
      </c>
      <c r="BF436" s="2">
        <v>100</v>
      </c>
      <c r="BG436" s="2" t="s">
        <v>105</v>
      </c>
      <c r="BH436" s="9" t="str">
        <f>HYPERLINK(".\links\REFSEQ-PROTOZOA\AGAP012645-PA-REFSEQ-PROTOZOA.txt","Dcp1 family decapping family protein")</f>
        <v>Dcp1 family decapping family protein</v>
      </c>
      <c r="BI436" s="2" t="str">
        <f>HYPERLINK("http://www.ncbi.nlm.nih.gov/sutils/blink.cgi?pid=XP_004367651.1","3E-019")</f>
        <v>3E-019</v>
      </c>
      <c r="BJ436" s="2" t="str">
        <f>HYPERLINK("http://www.ncbi.nlm.nih.gov/protein/XP_004367651.1","XP_004367651.1")</f>
        <v>XP_004367651.1</v>
      </c>
      <c r="BK436" s="2">
        <v>23</v>
      </c>
      <c r="BL436" s="2">
        <v>38</v>
      </c>
      <c r="BM436" s="2">
        <v>77</v>
      </c>
      <c r="BN436" s="2" t="s">
        <v>600</v>
      </c>
      <c r="BO436" s="9" t="str">
        <f>HYPERLINK(".\links\SWISSP\AGAP012645-PA-SWISSP.txt","mRNA-decapping enzyme 1A")</f>
        <v>mRNA-decapping enzyme 1A</v>
      </c>
      <c r="BP436" s="2" t="str">
        <f>HYPERLINK("http://www.uniprot.org/uniprot/Q91YD3","3E-033")</f>
        <v>3E-033</v>
      </c>
      <c r="BQ436" s="2" t="str">
        <f>HYPERLINK("http://www.uniprot.org/uniprot/Q91YD3#expression","Q91YD3")</f>
        <v>Q91YD3</v>
      </c>
      <c r="BR436" s="2">
        <v>26</v>
      </c>
      <c r="BS436" s="2">
        <v>42</v>
      </c>
      <c r="BT436" s="2">
        <v>77</v>
      </c>
      <c r="BU436" s="2" t="s">
        <v>662</v>
      </c>
      <c r="BV436" s="9" t="str">
        <f>HYPERLINK(".\links\FLYBASE\AGAP012645-PA-FLYBASE.txt","FBpp0290862")</f>
        <v>FBpp0290862</v>
      </c>
      <c r="BW436" s="2" t="str">
        <f>HYPERLINK("http://flybase.org/reports/FBgn0034921#alliance_summary_container","9E-77")</f>
        <v>9E-77</v>
      </c>
      <c r="BX436" s="2">
        <v>372</v>
      </c>
      <c r="BY436" s="2">
        <v>49</v>
      </c>
      <c r="BZ436" s="2">
        <v>66</v>
      </c>
      <c r="CA436" s="2">
        <v>68</v>
      </c>
      <c r="CB436" s="9" t="str">
        <f>HYPERLINK(".\links\CDD\AGAP012645-PA-CDD.txt","Dcp1, mRNA decapping enzyme 1 (Dcp1)")</f>
        <v>Dcp1, mRNA decapping enzyme 1 (Dcp1)</v>
      </c>
      <c r="CC436" s="15">
        <v>5.0000000000000001E-47</v>
      </c>
      <c r="CD436" s="2">
        <v>98.3</v>
      </c>
      <c r="CE436" s="2" t="s">
        <v>4649</v>
      </c>
      <c r="CF436" s="2" t="s">
        <v>4650</v>
      </c>
      <c r="CG436" s="9" t="str">
        <f>HYPERLINK(".\links\KOG\AGAP012645-PA-KOG.txt","Decapping enzyme complex component DCP1")</f>
        <v>Decapping enzyme complex component DCP1</v>
      </c>
      <c r="CH436" s="15">
        <v>9.0000000000000002E-41</v>
      </c>
      <c r="CI436" s="2">
        <v>104.8</v>
      </c>
      <c r="CJ436" s="2" t="s">
        <v>4651</v>
      </c>
      <c r="CK436" s="2" t="s">
        <v>4652</v>
      </c>
      <c r="CL436" s="9" t="str">
        <f>HYPERLINK(".\links\PFAM\AGAP012645-PA-PFAM.txt","DCP1, Dcp1-like decapping family")</f>
        <v>DCP1, Dcp1-like decapping family</v>
      </c>
      <c r="CM436" s="15">
        <v>8.9999999999999997E-44</v>
      </c>
      <c r="CN436" s="2">
        <v>98.2</v>
      </c>
      <c r="CO436" s="2" t="s">
        <v>4653</v>
      </c>
      <c r="CP436" s="9" t="str">
        <f>HYPERLINK(".\links\SMART\AGAP012645-PA-SMART.txt","Zn_dep_PLPC, Zinc dependent phospholipase C (alpha toxin)")</f>
        <v>Zn_dep_PLPC, Zinc dependent phospholipase C (alpha toxin)</v>
      </c>
      <c r="CQ436" s="15">
        <v>1.4E-2</v>
      </c>
      <c r="CR436" s="2">
        <v>19.5</v>
      </c>
      <c r="CS436" s="2" t="s">
        <v>219</v>
      </c>
      <c r="CT436" s="2" t="s">
        <v>4647</v>
      </c>
      <c r="CU436" s="2" t="s">
        <v>4647</v>
      </c>
      <c r="CV436" s="2" t="s">
        <v>4647</v>
      </c>
      <c r="CW436" s="2" t="str">
        <f>HYPERLINK(".\links\pep\AGAP012645-PA-pep.txt","AGAP012645-PA")</f>
        <v>AGAP012645-PA</v>
      </c>
      <c r="CX436" s="2" t="s">
        <v>95</v>
      </c>
      <c r="CY436" s="2">
        <v>477</v>
      </c>
      <c r="CZ436" s="2" t="s">
        <v>113</v>
      </c>
      <c r="DA436" s="2" t="s">
        <v>4654</v>
      </c>
      <c r="DB436" s="2">
        <v>0</v>
      </c>
      <c r="DC436" s="2">
        <v>3</v>
      </c>
      <c r="DD436" s="2" t="str">
        <f>HYPERLINK("https://www.kegg.jp/kegg-bin/search_pathway_text?map=aga&amp;keyword=AGAP012645&amp;mode=1&amp;viewImage=true","AGAP012645")</f>
        <v>AGAP012645</v>
      </c>
      <c r="DE436" s="2" t="s">
        <v>4643</v>
      </c>
      <c r="DF436" s="2" t="s">
        <v>4644</v>
      </c>
      <c r="DG436" s="2" t="s">
        <v>94</v>
      </c>
      <c r="DH436" s="2" t="str">
        <f>HYPERLINK("https://vectorbase.org/vectorbase/app/record/gene/AGAP012645","AGAP012645-RA")</f>
        <v>AGAP012645-RA</v>
      </c>
      <c r="DI436" s="2" t="s">
        <v>135</v>
      </c>
      <c r="DJ436" s="2">
        <v>1434</v>
      </c>
      <c r="DK436" s="2" t="str">
        <f>HYPERLINK(".\links\netoglyc\AGAP012645-PA-netoglyc.txt","18")</f>
        <v>18</v>
      </c>
      <c r="DL436" s="2">
        <v>15.7</v>
      </c>
      <c r="DM436" s="2">
        <v>8.6</v>
      </c>
      <c r="DN436" s="2">
        <v>7.8</v>
      </c>
      <c r="DO436" s="2" t="s">
        <v>104</v>
      </c>
      <c r="DP436" s="2" t="s">
        <v>102</v>
      </c>
      <c r="DQ436" s="2" t="str">
        <f>HYPERLINK(".\links\Sigp\AGAP012645-PA-SigP.txt","CYT")</f>
        <v>CYT</v>
      </c>
      <c r="DR436" s="2" t="s">
        <v>102</v>
      </c>
      <c r="DS436" s="2">
        <v>51.005000000000003</v>
      </c>
      <c r="DT436" s="2">
        <v>6.15</v>
      </c>
      <c r="DU436" s="2" t="s">
        <v>102</v>
      </c>
      <c r="DV436" s="2" t="s">
        <v>102</v>
      </c>
      <c r="DW436" s="2" t="s">
        <v>211</v>
      </c>
      <c r="DX436" s="2">
        <v>477</v>
      </c>
      <c r="DY436" s="12">
        <v>0</v>
      </c>
      <c r="DZ436" s="2" t="s">
        <v>102</v>
      </c>
      <c r="EA436" s="2" t="s">
        <v>102</v>
      </c>
      <c r="EB436" s="2" t="s">
        <v>102</v>
      </c>
      <c r="EC436" s="2" t="str">
        <f>HYPERLINK(".\links\gpi\AGAP012645-PA-gpi.txt","N")</f>
        <v>N</v>
      </c>
      <c r="ED436" s="2">
        <v>0.22</v>
      </c>
      <c r="EF436" s="2">
        <v>3</v>
      </c>
      <c r="EG436" s="2" t="s">
        <v>102</v>
      </c>
      <c r="EH436" s="2" t="s">
        <v>102</v>
      </c>
      <c r="EI436" s="2">
        <v>15.7232704402516</v>
      </c>
      <c r="EJ436" s="2">
        <v>7.7568134171907799</v>
      </c>
      <c r="EK436" s="2">
        <v>8.5953878406708597</v>
      </c>
      <c r="EL436" s="2">
        <v>16.352201257861601</v>
      </c>
      <c r="EM436" s="2" t="s">
        <v>102</v>
      </c>
      <c r="EN436" s="2" t="s">
        <v>102</v>
      </c>
      <c r="EO436" s="2" t="s">
        <v>102</v>
      </c>
      <c r="EP436" s="2" t="s">
        <v>102</v>
      </c>
      <c r="EQ436" s="2" t="s">
        <v>102</v>
      </c>
      <c r="ER436" s="2" t="s">
        <v>102</v>
      </c>
      <c r="ES436" s="2" t="s">
        <v>102</v>
      </c>
      <c r="ET436" s="2" t="str">
        <f>HYPERLINK(".\links\REFSEQ-INVERTEBRATE\AGAP012645-PA-REFSEQ-INVERTEBRATE.txt","AGAP012645-PA, partial")</f>
        <v>AGAP012645-PA, partial</v>
      </c>
      <c r="EU436" s="2" t="str">
        <f>HYPERLINK("http://www.ncbi.nlm.nih.gov/sutils/blink.cgi?pid=XP_024667092.1","0.0")</f>
        <v>0.0</v>
      </c>
      <c r="EV436" s="2" t="str">
        <f>HYPERLINK("http://www.ncbi.nlm.nih.gov/protein/XP_024667092.1","XP_024667092.1")</f>
        <v>XP_024667092.1</v>
      </c>
      <c r="EW436" s="2">
        <v>100</v>
      </c>
      <c r="EX436" s="2">
        <v>100</v>
      </c>
      <c r="EY436" s="2">
        <v>100</v>
      </c>
      <c r="EZ436" s="2" t="s">
        <v>105</v>
      </c>
    </row>
    <row r="437" spans="1:156" x14ac:dyDescent="0.25">
      <c r="A437" s="2" t="s">
        <v>4655</v>
      </c>
      <c r="B437" s="2">
        <v>-0.359565608524267</v>
      </c>
      <c r="C437" s="2">
        <f t="shared" si="6"/>
        <v>0.77939921927744649</v>
      </c>
      <c r="D437" s="2">
        <v>5.0751075580290603</v>
      </c>
      <c r="E437" s="2">
        <v>9.2161824359882001</v>
      </c>
      <c r="F437" s="2">
        <v>2.3988522802253602E-3</v>
      </c>
      <c r="G437" s="2">
        <v>4.63542925914135E-2</v>
      </c>
      <c r="H437" s="2" t="s">
        <v>93</v>
      </c>
      <c r="I437" s="2" t="s">
        <v>94</v>
      </c>
      <c r="J437" s="2" t="str">
        <f>HYPERLINK("https://vectorbase.org/vectorbase/app/record/gene/AGAP000456","AGAP000456-RA")</f>
        <v>AGAP000456-RA</v>
      </c>
      <c r="K437" s="2" t="str">
        <f>HYPERLINK(".\links\pep\AGAP000456-PA-pep.txt","AGAP000456-PA")</f>
        <v>AGAP000456-PA</v>
      </c>
      <c r="L437" s="12" t="s">
        <v>95</v>
      </c>
      <c r="M437" s="2">
        <v>203</v>
      </c>
      <c r="N437" s="2">
        <v>0</v>
      </c>
      <c r="O437" s="2">
        <v>1</v>
      </c>
      <c r="P437" s="2" t="s">
        <v>102</v>
      </c>
      <c r="Q437" s="9" t="s">
        <v>4656</v>
      </c>
      <c r="R437" s="2" t="s">
        <v>1737</v>
      </c>
      <c r="S437" s="2" t="str">
        <f>HYPERLINK(".\links\KOG\AGAP000456-PA-KOG.txt","KOG")</f>
        <v>KOG</v>
      </c>
      <c r="T437" s="2">
        <v>0</v>
      </c>
      <c r="U437" s="2">
        <v>100</v>
      </c>
      <c r="V437" s="2" t="s">
        <v>4657</v>
      </c>
      <c r="W437" s="10" t="s">
        <v>4658</v>
      </c>
      <c r="X437" s="2" t="s">
        <v>1737</v>
      </c>
      <c r="Y437" s="2" t="str">
        <f>HYPERLINK(".\links\REFSEQ-INVERTEBRATE\AGAP000456-PA-REFSEQ-INVERTEBRATE.txt","REFSEQ-INVERTEBRATE")</f>
        <v>REFSEQ-INVERTEBRATE</v>
      </c>
      <c r="Z437" s="15">
        <v>0</v>
      </c>
      <c r="AB437" s="13" t="s">
        <v>102</v>
      </c>
      <c r="AC437" s="13" t="str">
        <f>HYPERLINK(".\links\Sigp\AGAP000456-PA-SigP.txt","ANC")</f>
        <v>ANC</v>
      </c>
      <c r="AD437" s="2" t="s">
        <v>102</v>
      </c>
      <c r="AE437" s="2">
        <v>22.751000000000001</v>
      </c>
      <c r="AF437" s="2">
        <v>5.38</v>
      </c>
      <c r="AG437" s="2">
        <v>6.6689999999999996</v>
      </c>
      <c r="AH437" s="2">
        <v>4.92</v>
      </c>
      <c r="AI437" s="2" t="s">
        <v>4659</v>
      </c>
      <c r="AJ437" s="13" t="str">
        <f>HYPERLINK(".\links\tmhmm\AGAP000456-PA-tmhmm.txt","4")</f>
        <v>4</v>
      </c>
      <c r="AK437" s="2">
        <v>43.3</v>
      </c>
      <c r="AL437" s="2">
        <v>28.6</v>
      </c>
      <c r="AM437" s="2">
        <v>28.1</v>
      </c>
      <c r="AN437" s="13" t="str">
        <f>HYPERLINK(".\links\gpi\AGAP000456-PA-gpi.txt","N")</f>
        <v>N</v>
      </c>
      <c r="AO437" s="14" t="str">
        <f>HYPERLINK(".\links\netoglyc\AGAP000456-PA-netoglyc.txt","3")</f>
        <v>3</v>
      </c>
      <c r="AP437" s="13">
        <v>9.9</v>
      </c>
      <c r="AQ437" s="2">
        <v>5.4</v>
      </c>
      <c r="AR437" s="2">
        <v>3.4</v>
      </c>
      <c r="AS437" s="2" t="s">
        <v>104</v>
      </c>
      <c r="AT437" s="9" t="str">
        <f>HYPERLINK(".\links\NR-LIGHT\AGAP000456-PA-NR-LIGHT.txt","AGAP000456-PA")</f>
        <v>AGAP000456-PA</v>
      </c>
      <c r="AU437" s="2" t="str">
        <f>HYPERLINK("http://www.ncbi.nlm.nih.gov/sutils/blink.cgi?pid=XP_310637.2","1E-112")</f>
        <v>1E-112</v>
      </c>
      <c r="AV437" s="2" t="str">
        <f>HYPERLINK("http://www.ncbi.nlm.nih.gov/protein/XP_310637.2","XP_310637.2")</f>
        <v>XP_310637.2</v>
      </c>
      <c r="AW437" s="2">
        <v>100</v>
      </c>
      <c r="AX437" s="2">
        <v>100</v>
      </c>
      <c r="AY437" s="2">
        <v>100</v>
      </c>
      <c r="AZ437" s="2" t="s">
        <v>105</v>
      </c>
      <c r="BA437" s="9" t="str">
        <f>HYPERLINK(".\links\REFSEQ-INVERTEBRATE\AGAP000456-PA-REFSEQ-INVERTEBRATE.txt","AGAP000456-PA")</f>
        <v>AGAP000456-PA</v>
      </c>
      <c r="BB437" s="2" t="str">
        <f>HYPERLINK("http://www.ncbi.nlm.nih.gov/sutils/blink.cgi?pid=XP_310637.2","1E-112")</f>
        <v>1E-112</v>
      </c>
      <c r="BC437" s="2" t="str">
        <f>HYPERLINK("http://www.ncbi.nlm.nih.gov/protein/XP_310637.2","XP_310637.2")</f>
        <v>XP_310637.2</v>
      </c>
      <c r="BD437" s="2">
        <v>100</v>
      </c>
      <c r="BE437" s="2">
        <v>100</v>
      </c>
      <c r="BF437" s="2">
        <v>100</v>
      </c>
      <c r="BG437" s="2" t="s">
        <v>105</v>
      </c>
      <c r="BH437" s="9" t="str">
        <f>HYPERLINK(".\links\REFSEQ-PROTOZOA\AGAP000456-PA-REFSEQ-PROTOZOA.txt","hypothetical protein PTSG_00659")</f>
        <v>hypothetical protein PTSG_00659</v>
      </c>
      <c r="BI437" s="2" t="str">
        <f>HYPERLINK("http://www.ncbi.nlm.nih.gov/sutils/blink.cgi?pid=XP_004998128.1","0.87")</f>
        <v>0.87</v>
      </c>
      <c r="BJ437" s="2" t="str">
        <f>HYPERLINK("http://www.ncbi.nlm.nih.gov/protein/XP_004998128.1","XP_004998128.1")</f>
        <v>XP_004998128.1</v>
      </c>
      <c r="BK437" s="2">
        <v>25</v>
      </c>
      <c r="BL437" s="2">
        <v>42</v>
      </c>
      <c r="BM437" s="2">
        <v>31</v>
      </c>
      <c r="BN437" s="2" t="s">
        <v>435</v>
      </c>
      <c r="BO437" s="9" t="str">
        <f>HYPERLINK(".\links\SWISSP\AGAP000456-PA-SWISSP.txt","Transmembrane protein 47")</f>
        <v>Transmembrane protein 47</v>
      </c>
      <c r="BP437" s="2" t="str">
        <f>HYPERLINK("http://www.uniprot.org/uniprot/Q9BQJ4","6E-012")</f>
        <v>6E-012</v>
      </c>
      <c r="BQ437" s="2" t="str">
        <f>HYPERLINK("http://www.uniprot.org/uniprot/Q9BQJ4#expression","Q9BQJ4")</f>
        <v>Q9BQJ4</v>
      </c>
      <c r="BR437" s="2">
        <v>25</v>
      </c>
      <c r="BS437" s="2">
        <v>49</v>
      </c>
      <c r="BT437" s="2">
        <v>103</v>
      </c>
      <c r="BU437" s="2" t="s">
        <v>127</v>
      </c>
      <c r="BV437" s="9" t="str">
        <f>HYPERLINK(".\links\FLYBASE\AGAP000456-PA-FLYBASE.txt","FBpp0310735")</f>
        <v>FBpp0310735</v>
      </c>
      <c r="BW437" s="2" t="str">
        <f>HYPERLINK("http://flybase.org/reports/FBgn0266409#alliance_summary_container","1E-114")</f>
        <v>1E-114</v>
      </c>
      <c r="BX437" s="2">
        <v>203</v>
      </c>
      <c r="BY437" s="2">
        <v>79</v>
      </c>
      <c r="BZ437" s="2">
        <v>90</v>
      </c>
      <c r="CA437" s="2">
        <v>100</v>
      </c>
      <c r="CB437" s="9" t="str">
        <f>HYPERLINK(".\links\CDD\AGAP000456-PA-CDD.txt","Claudin_2, PMP-22/EMP/MP20/Claudin tight junction")</f>
        <v>Claudin_2, PMP-22/EMP/MP20/Claudin tight junction</v>
      </c>
      <c r="CC437" s="15">
        <v>3.0000000000000001E-3</v>
      </c>
      <c r="CD437" s="2">
        <v>58.1</v>
      </c>
      <c r="CE437" s="2" t="s">
        <v>2716</v>
      </c>
      <c r="CF437" s="2" t="s">
        <v>4660</v>
      </c>
      <c r="CG437" s="9" t="str">
        <f>HYPERLINK(".\links\KOG\AGAP000456-PA-KOG.txt","Brain cell membrane protein 1 (BCMP1)")</f>
        <v>Brain cell membrane protein 1 (BCMP1)</v>
      </c>
      <c r="CH437" s="15">
        <v>1E-52</v>
      </c>
      <c r="CI437" s="2">
        <v>100</v>
      </c>
      <c r="CJ437" s="2" t="s">
        <v>4661</v>
      </c>
      <c r="CK437" s="2" t="s">
        <v>191</v>
      </c>
      <c r="CL437" s="9" t="str">
        <f>HYPERLINK(".\links\PFAM\AGAP000456-PA-PFAM.txt","Claudin_2, PMP-22/EMP/MP20/Claudin tight junction")</f>
        <v>Claudin_2, PMP-22/EMP/MP20/Claudin tight junction</v>
      </c>
      <c r="CM437" s="15">
        <v>5.9999999999999995E-4</v>
      </c>
      <c r="CN437" s="2">
        <v>58.1</v>
      </c>
      <c r="CO437" s="2" t="s">
        <v>2716</v>
      </c>
      <c r="CP437" s="9" t="str">
        <f>HYPERLINK(".\links\SMART\AGAP000456-PA-SMART.txt","SAND, SAND domain")</f>
        <v>SAND, SAND domain</v>
      </c>
      <c r="CQ437" s="15">
        <v>3.4</v>
      </c>
      <c r="CR437" s="2">
        <v>43.8</v>
      </c>
      <c r="CS437" s="2" t="s">
        <v>4662</v>
      </c>
      <c r="CT437" s="2" t="s">
        <v>4657</v>
      </c>
      <c r="CU437" s="2" t="s">
        <v>4657</v>
      </c>
      <c r="CV437" s="2" t="s">
        <v>4657</v>
      </c>
      <c r="CW437" s="2" t="str">
        <f>HYPERLINK(".\links\pep\AGAP000456-PA-pep.txt","AGAP000456-PA")</f>
        <v>AGAP000456-PA</v>
      </c>
      <c r="CX437" s="2" t="s">
        <v>95</v>
      </c>
      <c r="CY437" s="2">
        <v>203</v>
      </c>
      <c r="CZ437" s="2" t="s">
        <v>113</v>
      </c>
      <c r="DA437" s="2" t="s">
        <v>4663</v>
      </c>
      <c r="DB437" s="2">
        <v>0</v>
      </c>
      <c r="DC437" s="2">
        <v>1</v>
      </c>
      <c r="DD437" s="2" t="str">
        <f>HYPERLINK("https://www.kegg.jp/kegg-bin/search_pathway_text?map=aga&amp;keyword=AGAP000456&amp;mode=1&amp;viewImage=true","AGAP000456")</f>
        <v>AGAP000456</v>
      </c>
      <c r="DE437" s="2" t="s">
        <v>4655</v>
      </c>
      <c r="DF437" s="2" t="s">
        <v>93</v>
      </c>
      <c r="DG437" s="2" t="s">
        <v>94</v>
      </c>
      <c r="DH437" s="2" t="str">
        <f>HYPERLINK("https://vectorbase.org/vectorbase/app/record/gene/AGAP000456","AGAP000456-RA")</f>
        <v>AGAP000456-RA</v>
      </c>
      <c r="DI437" s="2" t="s">
        <v>115</v>
      </c>
      <c r="DJ437" s="2">
        <v>1519</v>
      </c>
      <c r="DK437" s="2" t="str">
        <f>HYPERLINK(".\links\netoglyc\AGAP000456-PA-netoglyc.txt","3")</f>
        <v>3</v>
      </c>
      <c r="DL437" s="2">
        <v>9.9</v>
      </c>
      <c r="DM437" s="2">
        <v>5.4</v>
      </c>
      <c r="DN437" s="2">
        <v>3.4</v>
      </c>
      <c r="DO437" s="2" t="s">
        <v>104</v>
      </c>
      <c r="DP437" s="2" t="s">
        <v>102</v>
      </c>
      <c r="DQ437" s="2" t="str">
        <f>HYPERLINK(".\links\Sigp\AGAP000456-PA-SigP.txt","ANC")</f>
        <v>ANC</v>
      </c>
      <c r="DR437" s="2" t="s">
        <v>102</v>
      </c>
      <c r="DS437" s="2">
        <v>22.751000000000001</v>
      </c>
      <c r="DT437" s="2">
        <v>5.38</v>
      </c>
      <c r="DU437" s="2">
        <v>6.6689999999999996</v>
      </c>
      <c r="DV437" s="2">
        <v>4.92</v>
      </c>
      <c r="DW437" s="2" t="s">
        <v>4659</v>
      </c>
      <c r="DX437" s="2">
        <v>203</v>
      </c>
      <c r="DY437" s="12" t="str">
        <f>HYPERLINK(".\links\tmhmm\AGAP000456-PA-tmhmm.txt","4")</f>
        <v>4</v>
      </c>
      <c r="DZ437" s="2">
        <v>43.3</v>
      </c>
      <c r="EA437" s="2">
        <v>28.6</v>
      </c>
      <c r="EB437" s="2">
        <v>28.1</v>
      </c>
      <c r="EC437" s="2" t="str">
        <f>HYPERLINK(".\links\gpi\AGAP000456-PA-gpi.txt","Y-NoSP")</f>
        <v>Y-NoSP</v>
      </c>
      <c r="ED437" s="2">
        <v>0.43</v>
      </c>
      <c r="EF437" s="2">
        <v>6</v>
      </c>
      <c r="EG437" s="2" t="s">
        <v>102</v>
      </c>
      <c r="EH437" s="2" t="s">
        <v>102</v>
      </c>
      <c r="EI437" s="2">
        <v>9.8522167487684698</v>
      </c>
      <c r="EJ437" s="2">
        <v>3.4482758620689702</v>
      </c>
      <c r="EK437" s="2">
        <v>5.4187192118226601</v>
      </c>
      <c r="EL437" s="2">
        <v>8.8669950738916299</v>
      </c>
      <c r="EM437" s="2" t="s">
        <v>102</v>
      </c>
      <c r="EN437" s="2" t="s">
        <v>102</v>
      </c>
      <c r="EO437" s="2" t="s">
        <v>102</v>
      </c>
      <c r="EP437" s="2" t="s">
        <v>102</v>
      </c>
      <c r="EQ437" s="2" t="s">
        <v>102</v>
      </c>
      <c r="ER437" s="2" t="s">
        <v>102</v>
      </c>
      <c r="ES437" s="2" t="s">
        <v>102</v>
      </c>
      <c r="ET437" s="2" t="str">
        <f>HYPERLINK(".\links\REFSEQ-INVERTEBRATE\AGAP000456-PA-REFSEQ-INVERTEBRATE.txt","AGAP000456-PA")</f>
        <v>AGAP000456-PA</v>
      </c>
      <c r="EU437" s="2" t="str">
        <f>HYPERLINK("http://www.ncbi.nlm.nih.gov/sutils/blink.cgi?pid=XP_310637.2","1E-147")</f>
        <v>1E-147</v>
      </c>
      <c r="EV437" s="2" t="str">
        <f>HYPERLINK("http://www.ncbi.nlm.nih.gov/protein/XP_310637.2","XP_310637.2")</f>
        <v>XP_310637.2</v>
      </c>
      <c r="EW437" s="2">
        <v>100</v>
      </c>
      <c r="EX437" s="2">
        <v>100</v>
      </c>
      <c r="EY437" s="2">
        <v>100</v>
      </c>
      <c r="EZ437" s="2" t="s">
        <v>105</v>
      </c>
    </row>
    <row r="438" spans="1:156" x14ac:dyDescent="0.25">
      <c r="A438" s="2" t="s">
        <v>4664</v>
      </c>
      <c r="B438" s="2">
        <v>-0.36037173766831399</v>
      </c>
      <c r="C438" s="2">
        <f t="shared" si="6"/>
        <v>0.77896383903074895</v>
      </c>
      <c r="D438" s="2">
        <v>6.4283642566121699</v>
      </c>
      <c r="E438" s="2">
        <v>9.0619834267394399</v>
      </c>
      <c r="F438" s="2">
        <v>2.60978728608962E-3</v>
      </c>
      <c r="G438" s="2">
        <v>4.7269525491001697E-2</v>
      </c>
      <c r="H438" s="2" t="s">
        <v>4665</v>
      </c>
      <c r="I438" s="2" t="s">
        <v>94</v>
      </c>
      <c r="J438" s="2" t="str">
        <f>HYPERLINK("https://vectorbase.org/vectorbase/app/record/gene/AGAP001681","AGAP001681-RA")</f>
        <v>AGAP001681-RA</v>
      </c>
      <c r="K438" s="2" t="str">
        <f>HYPERLINK(".\links\pep\AGAP001681-PA-pep.txt","AGAP001681-PA")</f>
        <v>AGAP001681-PA</v>
      </c>
      <c r="L438" s="12" t="s">
        <v>95</v>
      </c>
      <c r="M438" s="2">
        <v>1039</v>
      </c>
      <c r="N438" s="2">
        <v>0</v>
      </c>
      <c r="O438" s="2">
        <v>7</v>
      </c>
      <c r="P438" s="2" t="s">
        <v>4666</v>
      </c>
      <c r="Q438" s="9" t="s">
        <v>4666</v>
      </c>
      <c r="R438" s="2" t="s">
        <v>822</v>
      </c>
      <c r="S438" s="2" t="str">
        <f>HYPERLINK(".\links\REFSEQ-INVERTEBRATE\AGAP001681-PA-REFSEQ-INVERTEBRATE.txt","REFSEQ-INVERTEBRATE")</f>
        <v>REFSEQ-INVERTEBRATE</v>
      </c>
      <c r="T438" s="2">
        <v>0</v>
      </c>
      <c r="U438" s="2">
        <v>99</v>
      </c>
      <c r="V438" s="2" t="s">
        <v>4667</v>
      </c>
      <c r="W438" s="10" t="s">
        <v>4668</v>
      </c>
      <c r="X438" s="2" t="s">
        <v>822</v>
      </c>
      <c r="Y438" s="2" t="str">
        <f>HYPERLINK(".\links\REFSEQVERTEBRATE95\AGAP001681-PA-REFSEQVERTEBRATE95.txt","REFSEQVERTEBRATE95")</f>
        <v>REFSEQVERTEBRATE95</v>
      </c>
      <c r="Z438" s="2">
        <v>0</v>
      </c>
      <c r="AA438" s="2">
        <v>93.7</v>
      </c>
      <c r="AB438" s="13" t="str">
        <f>HYPERLINK(".\links\pep\AGAP001681-PA-sulf.txt","1")</f>
        <v>1</v>
      </c>
      <c r="AC438" s="13" t="str">
        <f>HYPERLINK(".\links\Sigp\AGAP001681-PA-SigP.txt","CYT")</f>
        <v>CYT</v>
      </c>
      <c r="AD438" s="2" t="s">
        <v>102</v>
      </c>
      <c r="AE438" s="2">
        <v>118.069</v>
      </c>
      <c r="AF438" s="2">
        <v>5.2</v>
      </c>
      <c r="AG438" s="2" t="s">
        <v>102</v>
      </c>
      <c r="AH438" s="2" t="s">
        <v>102</v>
      </c>
      <c r="AI438" s="2" t="s">
        <v>4669</v>
      </c>
      <c r="AJ438" s="13">
        <v>0</v>
      </c>
      <c r="AK438" s="2" t="s">
        <v>102</v>
      </c>
      <c r="AL438" s="2" t="s">
        <v>102</v>
      </c>
      <c r="AM438" s="2" t="s">
        <v>102</v>
      </c>
      <c r="AN438" s="13" t="str">
        <f>HYPERLINK(".\links\gpi\AGAP001681-PA-gpi.txt","N")</f>
        <v>N</v>
      </c>
      <c r="AO438" s="14" t="str">
        <f>HYPERLINK(".\links\netoglyc\AGAP001681-PA-netoglyc.txt","5")</f>
        <v>5</v>
      </c>
      <c r="AP438" s="13">
        <v>11.6</v>
      </c>
      <c r="AQ438" s="2">
        <v>4</v>
      </c>
      <c r="AR438" s="2">
        <v>5.2</v>
      </c>
      <c r="AS438" s="2" t="s">
        <v>104</v>
      </c>
      <c r="AT438" s="9" t="str">
        <f>HYPERLINK(".\links\NR-LIGHT\AGAP001681-PA-NR-LIGHT.txt","predicted protein")</f>
        <v>predicted protein</v>
      </c>
      <c r="AU438" s="2" t="str">
        <f>HYPERLINK("http://www.ncbi.nlm.nih.gov/sutils/blink.cgi?pid=CAJ14148.1","0.0")</f>
        <v>0.0</v>
      </c>
      <c r="AV438" s="2" t="str">
        <f>HYPERLINK("http://www.ncbi.nlm.nih.gov/protein/CAJ14148.1","CAJ14148.1")</f>
        <v>CAJ14148.1</v>
      </c>
      <c r="AW438" s="2">
        <v>100</v>
      </c>
      <c r="AX438" s="2">
        <v>100</v>
      </c>
      <c r="AY438" s="2">
        <v>96</v>
      </c>
      <c r="AZ438" s="2" t="s">
        <v>249</v>
      </c>
      <c r="BA438" s="9" t="str">
        <f>HYPERLINK(".\links\REFSEQ-INVERTEBRATE\AGAP001681-PA-REFSEQ-INVERTEBRATE.txt","AGAP001681-PA")</f>
        <v>AGAP001681-PA</v>
      </c>
      <c r="BB438" s="2" t="str">
        <f>HYPERLINK("http://www.ncbi.nlm.nih.gov/sutils/blink.cgi?pid=XP_321414.5","0.0")</f>
        <v>0.0</v>
      </c>
      <c r="BC438" s="2" t="str">
        <f>HYPERLINK("http://www.ncbi.nlm.nih.gov/protein/XP_321414.5","XP_321414.5")</f>
        <v>XP_321414.5</v>
      </c>
      <c r="BD438" s="2">
        <v>100</v>
      </c>
      <c r="BE438" s="2">
        <v>100</v>
      </c>
      <c r="BF438" s="2">
        <v>100</v>
      </c>
      <c r="BG438" s="2" t="s">
        <v>105</v>
      </c>
      <c r="BH438" s="9" t="str">
        <f>HYPERLINK(".\links\REFSEQ-PROTOZOA\AGAP001681-PA-REFSEQ-PROTOZOA.txt","hypothetical protein SAMD00019534_000650")</f>
        <v>hypothetical protein SAMD00019534_000650</v>
      </c>
      <c r="BI438" s="2" t="str">
        <f>HYPERLINK("http://www.ncbi.nlm.nih.gov/sutils/blink.cgi?pid=XP_012758952.1","5E-091")</f>
        <v>5E-091</v>
      </c>
      <c r="BJ438" s="2" t="str">
        <f>HYPERLINK("http://www.ncbi.nlm.nih.gov/protein/XP_012758952.1","XP_012758952.1")</f>
        <v>XP_012758952.1</v>
      </c>
      <c r="BK438" s="2">
        <v>26</v>
      </c>
      <c r="BL438" s="2">
        <v>47</v>
      </c>
      <c r="BM438" s="2">
        <v>95</v>
      </c>
      <c r="BN438" s="2" t="s">
        <v>186</v>
      </c>
      <c r="BO438" s="9" t="str">
        <f>HYPERLINK(".\links\SWISSP\AGAP001681-PA-SWISSP.txt","Ubiquitin conjugation factor E4 A")</f>
        <v>Ubiquitin conjugation factor E4 A</v>
      </c>
      <c r="BP438" s="2" t="str">
        <f>HYPERLINK("http://www.uniprot.org/uniprot/A5PKG6","1E-174")</f>
        <v>1E-174</v>
      </c>
      <c r="BQ438" s="2" t="str">
        <f>HYPERLINK("http://www.uniprot.org/uniprot/A5PKG6#expression","A5PKG6")</f>
        <v>A5PKG6</v>
      </c>
      <c r="BR438" s="2">
        <v>36</v>
      </c>
      <c r="BS438" s="2">
        <v>55</v>
      </c>
      <c r="BT438" s="2">
        <v>95</v>
      </c>
      <c r="BU438" s="2" t="s">
        <v>1284</v>
      </c>
      <c r="BV438" s="9" t="str">
        <f>HYPERLINK(".\links\FLYBASE\AGAP001681-PA-FLYBASE.txt","FBpp0078927")</f>
        <v>FBpp0078927</v>
      </c>
      <c r="BW438" s="2" t="str">
        <f>HYPERLINK("http://flybase.org/reports/FBgn0028467#alliance_summary_container","0.0")</f>
        <v>0.0</v>
      </c>
      <c r="BX438" s="2">
        <v>993</v>
      </c>
      <c r="BY438" s="2">
        <v>48</v>
      </c>
      <c r="BZ438" s="2">
        <v>65</v>
      </c>
      <c r="CA438" s="2">
        <v>99</v>
      </c>
      <c r="CB438" s="9" t="str">
        <f>HYPERLINK(".\links\CDD\AGAP001681-PA-CDD.txt","Ufd2P_core, Ubiquitin elongating factor core")</f>
        <v>Ufd2P_core, Ubiquitin elongating factor core</v>
      </c>
      <c r="CC438" s="15">
        <v>1E-173</v>
      </c>
      <c r="CD438" s="2">
        <v>111.1</v>
      </c>
      <c r="CE438" s="2" t="s">
        <v>4670</v>
      </c>
      <c r="CF438" s="2" t="s">
        <v>4671</v>
      </c>
      <c r="CG438" s="9" t="str">
        <f>HYPERLINK(".\links\KOG\AGAP001681-PA-KOG.txt","Ubiquitin fusion degradation protein-2")</f>
        <v>Ubiquitin fusion degradation protein-2</v>
      </c>
      <c r="CH438" s="15">
        <v>1E-168</v>
      </c>
      <c r="CI438" s="2">
        <v>105.6</v>
      </c>
      <c r="CJ438" s="2" t="s">
        <v>4672</v>
      </c>
      <c r="CK438" s="2" t="s">
        <v>111</v>
      </c>
      <c r="CL438" s="9" t="str">
        <f>HYPERLINK(".\links\PFAM\AGAP001681-PA-PFAM.txt","Ufd2P_core, Ubiquitin elongating factor core")</f>
        <v>Ufd2P_core, Ubiquitin elongating factor core</v>
      </c>
      <c r="CM438" s="15">
        <v>1E-174</v>
      </c>
      <c r="CN438" s="2">
        <v>111.1</v>
      </c>
      <c r="CO438" s="2" t="s">
        <v>4670</v>
      </c>
      <c r="CP438" s="9" t="str">
        <f>HYPERLINK(".\links\SMART\AGAP001681-PA-SMART.txt","Ubox, Modified RING finger domain")</f>
        <v>Ubox, Modified RING finger domain</v>
      </c>
      <c r="CQ438" s="15">
        <v>1.0000000000000001E-17</v>
      </c>
      <c r="CR438" s="2">
        <v>101.6</v>
      </c>
      <c r="CS438" s="2" t="s">
        <v>4673</v>
      </c>
      <c r="CT438" s="2" t="s">
        <v>4667</v>
      </c>
      <c r="CU438" s="2" t="s">
        <v>4667</v>
      </c>
      <c r="CV438" s="2" t="s">
        <v>4667</v>
      </c>
      <c r="CW438" s="2" t="str">
        <f>HYPERLINK(".\links\pep\AGAP001681-PA-pep.txt","AGAP001681-PA")</f>
        <v>AGAP001681-PA</v>
      </c>
      <c r="CX438" s="2" t="s">
        <v>95</v>
      </c>
      <c r="CY438" s="2">
        <v>1039</v>
      </c>
      <c r="CZ438" s="2" t="s">
        <v>113</v>
      </c>
      <c r="DA438" s="2" t="s">
        <v>4674</v>
      </c>
      <c r="DB438" s="2">
        <v>0</v>
      </c>
      <c r="DC438" s="2">
        <v>7</v>
      </c>
      <c r="DD438" s="2" t="str">
        <f>HYPERLINK("https://www.kegg.jp/kegg-bin/search_pathway_text?map=aga&amp;keyword=AGAP001681&amp;mode=1&amp;viewImage=true","AGAP001681")</f>
        <v>AGAP001681</v>
      </c>
      <c r="DE438" s="2" t="s">
        <v>4664</v>
      </c>
      <c r="DF438" s="2" t="s">
        <v>4665</v>
      </c>
      <c r="DG438" s="2" t="s">
        <v>94</v>
      </c>
      <c r="DH438" s="2" t="str">
        <f>HYPERLINK("https://vectorbase.org/vectorbase/app/record/gene/AGAP001681","AGAP001681-RA")</f>
        <v>AGAP001681-RA</v>
      </c>
      <c r="DI438" s="2" t="s">
        <v>135</v>
      </c>
      <c r="DJ438" s="2">
        <v>3749</v>
      </c>
      <c r="DK438" s="2" t="str">
        <f>HYPERLINK(".\links\netoglyc\AGAP001681-PA-netoglyc.txt","5")</f>
        <v>5</v>
      </c>
      <c r="DL438" s="2">
        <v>11.6</v>
      </c>
      <c r="DM438" s="2">
        <v>4</v>
      </c>
      <c r="DN438" s="2">
        <v>5.2</v>
      </c>
      <c r="DO438" s="2" t="s">
        <v>104</v>
      </c>
      <c r="DP438" s="2" t="s">
        <v>102</v>
      </c>
      <c r="DQ438" s="2" t="str">
        <f>HYPERLINK(".\links\Sigp\AGAP001681-PA-SigP.txt","CYT")</f>
        <v>CYT</v>
      </c>
      <c r="DR438" s="2" t="s">
        <v>102</v>
      </c>
      <c r="DS438" s="2">
        <v>118.069</v>
      </c>
      <c r="DT438" s="2">
        <v>5.2</v>
      </c>
      <c r="DU438" s="2" t="s">
        <v>102</v>
      </c>
      <c r="DV438" s="2" t="s">
        <v>102</v>
      </c>
      <c r="DW438" s="2" t="s">
        <v>4669</v>
      </c>
      <c r="DX438" s="2">
        <v>1039</v>
      </c>
      <c r="DY438" s="12">
        <v>0</v>
      </c>
      <c r="DZ438" s="2" t="s">
        <v>102</v>
      </c>
      <c r="EA438" s="2" t="s">
        <v>102</v>
      </c>
      <c r="EB438" s="2" t="s">
        <v>102</v>
      </c>
      <c r="EC438" s="2" t="str">
        <f>HYPERLINK(".\links\gpi\AGAP001681-PA-gpi.txt","N")</f>
        <v>N</v>
      </c>
      <c r="ED438" s="2">
        <v>0.19</v>
      </c>
      <c r="EF438" s="2">
        <v>18</v>
      </c>
      <c r="EG438" s="2" t="str">
        <f>HYPERLINK(".\links\pep\AGAP001681-PA-sulf.txt","1")</f>
        <v>1</v>
      </c>
      <c r="EH438" s="2" t="s">
        <v>102</v>
      </c>
      <c r="EI438" s="2">
        <v>11.6458132820019</v>
      </c>
      <c r="EJ438" s="2">
        <v>5.1973051010587099</v>
      </c>
      <c r="EK438" s="2">
        <v>4.0423484119345501</v>
      </c>
      <c r="EL438" s="2">
        <v>9.2396535129932609</v>
      </c>
      <c r="EM438" s="2" t="s">
        <v>102</v>
      </c>
      <c r="EN438" s="2">
        <v>3</v>
      </c>
      <c r="EO438" s="2">
        <v>3</v>
      </c>
      <c r="EP438" s="2" t="s">
        <v>102</v>
      </c>
      <c r="EQ438" s="2" t="s">
        <v>102</v>
      </c>
      <c r="ER438" s="2" t="s">
        <v>102</v>
      </c>
      <c r="ES438" s="2" t="s">
        <v>102</v>
      </c>
      <c r="ET438" s="2" t="str">
        <f>HYPERLINK(".\links\REFSEQ-INVERTEBRATE\AGAP001681-PA-REFSEQ-INVERTEBRATE.txt","AGAP001681-PA")</f>
        <v>AGAP001681-PA</v>
      </c>
      <c r="EU438" s="2" t="str">
        <f>HYPERLINK("http://www.ncbi.nlm.nih.gov/sutils/blink.cgi?pid=XP_321414.5","0.0")</f>
        <v>0.0</v>
      </c>
      <c r="EV438" s="2" t="str">
        <f>HYPERLINK("http://www.ncbi.nlm.nih.gov/protein/XP_321414.5","XP_321414.5")</f>
        <v>XP_321414.5</v>
      </c>
      <c r="EW438" s="2">
        <v>100</v>
      </c>
      <c r="EX438" s="2">
        <v>100</v>
      </c>
      <c r="EY438" s="2">
        <v>100</v>
      </c>
      <c r="EZ438" s="2" t="s">
        <v>105</v>
      </c>
    </row>
    <row r="439" spans="1:156" x14ac:dyDescent="0.25">
      <c r="A439" s="2" t="s">
        <v>4675</v>
      </c>
      <c r="B439" s="2">
        <v>-0.360518425770882</v>
      </c>
      <c r="C439" s="2">
        <f t="shared" si="6"/>
        <v>0.7788846407833997</v>
      </c>
      <c r="D439" s="2">
        <v>6.8151409465939103</v>
      </c>
      <c r="E439" s="2">
        <v>9.3039784027583305</v>
      </c>
      <c r="F439" s="2">
        <v>2.2865677414129299E-3</v>
      </c>
      <c r="G439" s="2">
        <v>4.5801067259399197E-2</v>
      </c>
      <c r="H439" s="2" t="s">
        <v>4676</v>
      </c>
      <c r="I439" s="2" t="s">
        <v>94</v>
      </c>
      <c r="J439" s="2" t="str">
        <f>HYPERLINK("https://vectorbase.org/vectorbase/app/record/gene/AGAP001015","AGAP001015-RA")</f>
        <v>AGAP001015-RA</v>
      </c>
      <c r="K439" s="2" t="str">
        <f>HYPERLINK(".\links\pep\AGAP001015-PA-pep.txt","AGAP001015-PA")</f>
        <v>AGAP001015-PA</v>
      </c>
      <c r="L439" s="12" t="s">
        <v>95</v>
      </c>
      <c r="M439" s="2">
        <v>2777</v>
      </c>
      <c r="N439" s="2">
        <v>0</v>
      </c>
      <c r="O439" s="2">
        <v>4</v>
      </c>
      <c r="P439" s="2" t="s">
        <v>4677</v>
      </c>
      <c r="Q439" s="9" t="s">
        <v>4678</v>
      </c>
      <c r="R439" s="2" t="s">
        <v>4679</v>
      </c>
      <c r="S439" s="2" t="str">
        <f>HYPERLINK(".\links\KOG\AGAP001015-PA-KOG.txt","KOG")</f>
        <v>KOG</v>
      </c>
      <c r="T439" s="2">
        <v>9.9999999999999997E-29</v>
      </c>
      <c r="U439" s="2">
        <v>105.7</v>
      </c>
      <c r="V439" s="2" t="s">
        <v>4680</v>
      </c>
      <c r="W439" s="10" t="s">
        <v>4681</v>
      </c>
      <c r="X439" s="2" t="s">
        <v>4682</v>
      </c>
      <c r="Y439" s="2" t="str">
        <f>HYPERLINK(".\links\KOG\AGAP001015-PA-KOG.txt","KOG")</f>
        <v>KOG</v>
      </c>
      <c r="Z439" s="15">
        <v>4.9999999999999999E-49</v>
      </c>
      <c r="AA439" s="2">
        <v>88</v>
      </c>
      <c r="AB439" s="13" t="str">
        <f>HYPERLINK(".\links\pep\AGAP001015-PA-sulf.txt","3")</f>
        <v>3</v>
      </c>
      <c r="AC439" s="13" t="str">
        <f>HYPERLINK(".\links\Sigp\AGAP001015-PA-SigP.txt","SIG")</f>
        <v>SIG</v>
      </c>
      <c r="AD439" s="2" t="s">
        <v>3425</v>
      </c>
      <c r="AE439" s="2">
        <v>295.54000000000002</v>
      </c>
      <c r="AF439" s="2">
        <v>5.25</v>
      </c>
      <c r="AG439" s="2">
        <v>292.73200000000003</v>
      </c>
      <c r="AH439" s="2">
        <v>5.23</v>
      </c>
      <c r="AI439" s="2" t="s">
        <v>4683</v>
      </c>
      <c r="AJ439" s="13" t="str">
        <f>HYPERLINK(".\links\tmhmm\AGAP001015-PA-tmhmm.txt","1")</f>
        <v>1</v>
      </c>
      <c r="AK439" s="2">
        <v>0.8</v>
      </c>
      <c r="AL439" s="2">
        <v>98.7</v>
      </c>
      <c r="AM439" s="2">
        <v>0.5</v>
      </c>
      <c r="AN439" s="13" t="str">
        <f>HYPERLINK(".\links\gpi\AGAP001015-PA-gpi.txt","N")</f>
        <v>N</v>
      </c>
      <c r="AO439" s="14" t="str">
        <f>HYPERLINK(".\links\netoglyc\AGAP001015-PA-netoglyc.txt","3")</f>
        <v>3</v>
      </c>
      <c r="AP439" s="13">
        <v>13</v>
      </c>
      <c r="AQ439" s="2">
        <v>11.5</v>
      </c>
      <c r="AR439" s="2">
        <v>5.3</v>
      </c>
      <c r="AS439" s="2">
        <v>0.2</v>
      </c>
      <c r="AT439" s="9" t="str">
        <f>HYPERLINK(".\links\NR-LIGHT\AGAP001015-PA-NR-LIGHT.txt","AGAP001015-PA")</f>
        <v>AGAP001015-PA</v>
      </c>
      <c r="AU439" s="2" t="str">
        <f>HYPERLINK("http://www.ncbi.nlm.nih.gov/sutils/blink.cgi?pid=XP_309208.5","0.0")</f>
        <v>0.0</v>
      </c>
      <c r="AV439" s="2" t="str">
        <f>HYPERLINK("http://www.ncbi.nlm.nih.gov/protein/XP_309208.5","XP_309208.5")</f>
        <v>XP_309208.5</v>
      </c>
      <c r="AW439" s="2">
        <v>95</v>
      </c>
      <c r="AX439" s="2">
        <v>95</v>
      </c>
      <c r="AY439" s="2">
        <v>100</v>
      </c>
      <c r="AZ439" s="2" t="s">
        <v>105</v>
      </c>
      <c r="BA439" s="9" t="str">
        <f>HYPERLINK(".\links\REFSEQ-INVERTEBRATE\AGAP001015-PA-REFSEQ-INVERTEBRATE.txt","AGAP001015-PA")</f>
        <v>AGAP001015-PA</v>
      </c>
      <c r="BB439" s="2" t="str">
        <f>HYPERLINK("http://www.ncbi.nlm.nih.gov/sutils/blink.cgi?pid=XP_309208.5","0.0")</f>
        <v>0.0</v>
      </c>
      <c r="BC439" s="2" t="str">
        <f>HYPERLINK("http://www.ncbi.nlm.nih.gov/protein/XP_309208.5","XP_309208.5")</f>
        <v>XP_309208.5</v>
      </c>
      <c r="BD439" s="2">
        <v>95</v>
      </c>
      <c r="BE439" s="2">
        <v>95</v>
      </c>
      <c r="BF439" s="2">
        <v>100</v>
      </c>
      <c r="BG439" s="2" t="s">
        <v>105</v>
      </c>
      <c r="BH439" s="9" t="str">
        <f>HYPERLINK(".\links\REFSEQ-PROTOZOA\AGAP001015-PA-REFSEQ-PROTOZOA.txt","hypothetical protein")</f>
        <v>hypothetical protein</v>
      </c>
      <c r="BI439" s="2" t="str">
        <f>HYPERLINK("http://www.ncbi.nlm.nih.gov/sutils/blink.cgi?pid=XP_001748060.1","0.0")</f>
        <v>0.0</v>
      </c>
      <c r="BJ439" s="2" t="str">
        <f>HYPERLINK("http://www.ncbi.nlm.nih.gov/protein/XP_001748060.1","XP_001748060.1")</f>
        <v>XP_001748060.1</v>
      </c>
      <c r="BK439" s="2">
        <v>30</v>
      </c>
      <c r="BL439" s="2">
        <v>43</v>
      </c>
      <c r="BM439" s="2">
        <v>76</v>
      </c>
      <c r="BN439" s="2" t="s">
        <v>248</v>
      </c>
      <c r="BO439" s="9" t="str">
        <f>HYPERLINK(".\links\SWISSP\AGAP001015-PA-SWISSP.txt","Neurogenic locus Notch protein")</f>
        <v>Neurogenic locus Notch protein</v>
      </c>
      <c r="BP439" s="2" t="str">
        <f>HYPERLINK("http://www.uniprot.org/uniprot/P07207","0.0")</f>
        <v>0.0</v>
      </c>
      <c r="BQ439" s="2" t="str">
        <f>HYPERLINK("http://www.uniprot.org/uniprot/P07207#expression","P07207")</f>
        <v>P07207</v>
      </c>
      <c r="BR439" s="2">
        <v>63</v>
      </c>
      <c r="BS439" s="2">
        <v>73</v>
      </c>
      <c r="BT439" s="2">
        <v>105</v>
      </c>
      <c r="BU439" s="2" t="s">
        <v>107</v>
      </c>
      <c r="BV439" s="9" t="str">
        <f>HYPERLINK(".\links\FLYBASE\AGAP001015-PA-FLYBASE.txt","FBpp0293201")</f>
        <v>FBpp0293201</v>
      </c>
      <c r="BW439" s="2" t="str">
        <f>HYPERLINK("http://flybase.org/reports/FBgn0004647#alliance_summary_container","0.0")</f>
        <v>0.0</v>
      </c>
      <c r="BX439" s="2">
        <v>2703</v>
      </c>
      <c r="BY439" s="2">
        <v>65</v>
      </c>
      <c r="BZ439" s="2">
        <v>76</v>
      </c>
      <c r="CA439" s="2">
        <v>93</v>
      </c>
      <c r="CB439" s="9" t="str">
        <f>HYPERLINK(".\links\CDD\AGAP001015-PA-CDD.txt","ANK, ankyrin repeats")</f>
        <v>ANK, ankyrin repeats</v>
      </c>
      <c r="CC439" s="15">
        <v>6.0000000000000005E-29</v>
      </c>
      <c r="CD439" s="2">
        <v>100.8</v>
      </c>
      <c r="CE439" s="2" t="s">
        <v>2258</v>
      </c>
      <c r="CF439" s="2" t="s">
        <v>4684</v>
      </c>
      <c r="CG439" s="9" t="str">
        <f>HYPERLINK(".\links\KOG\AGAP001015-PA-KOG.txt","contains laminin, cadherin and EGF domains")</f>
        <v>contains laminin, cadherin and EGF domains</v>
      </c>
      <c r="CH439" s="15">
        <v>5.0000000000000004E-32</v>
      </c>
      <c r="CI439" s="2">
        <v>2.9</v>
      </c>
      <c r="CJ439" s="2" t="s">
        <v>4685</v>
      </c>
      <c r="CK439" s="2" t="s">
        <v>173</v>
      </c>
      <c r="CL439" s="9" t="str">
        <f>HYPERLINK(".\links\PFAM\AGAP001015-PA-PFAM.txt","NOD, NOTCH protein")</f>
        <v>NOD, NOTCH protein</v>
      </c>
      <c r="CM439" s="15">
        <v>6.0000000000000006E-20</v>
      </c>
      <c r="CN439" s="2">
        <v>100</v>
      </c>
      <c r="CO439" s="2" t="s">
        <v>4686</v>
      </c>
      <c r="CP439" s="9" t="str">
        <f>HYPERLINK(".\links\SMART\AGAP001015-PA-SMART.txt","Amelogenin, Amelogenins, cell adhesion proteins, play a role in the biomineralisation of teeth")</f>
        <v>Amelogenin, Amelogenins, cell adhesion proteins, play a role in the biomineralisation of teeth</v>
      </c>
      <c r="CQ439" s="15">
        <v>2.0000000000000001E-10</v>
      </c>
      <c r="CR439" s="2">
        <v>68.5</v>
      </c>
      <c r="CS439" s="2" t="s">
        <v>311</v>
      </c>
      <c r="CT439" s="2" t="s">
        <v>4680</v>
      </c>
      <c r="CU439" s="2" t="s">
        <v>4680</v>
      </c>
      <c r="CV439" s="2" t="s">
        <v>4680</v>
      </c>
      <c r="CW439" s="2" t="str">
        <f>HYPERLINK(".\links\pep\AGAP001015-PA-pep.txt","AGAP001015-PA")</f>
        <v>AGAP001015-PA</v>
      </c>
      <c r="CX439" s="2" t="s">
        <v>95</v>
      </c>
      <c r="CY439" s="2">
        <v>2777</v>
      </c>
      <c r="CZ439" s="2" t="s">
        <v>113</v>
      </c>
      <c r="DA439" s="2" t="s">
        <v>4687</v>
      </c>
      <c r="DB439" s="2">
        <v>0</v>
      </c>
      <c r="DC439" s="2">
        <v>4</v>
      </c>
      <c r="DD439" s="2" t="str">
        <f>HYPERLINK("https://www.kegg.jp/kegg-bin/search_pathway_text?map=aga&amp;keyword=AGAP001015&amp;mode=1&amp;viewImage=true","AGAP001015")</f>
        <v>AGAP001015</v>
      </c>
      <c r="DE439" s="2" t="s">
        <v>4675</v>
      </c>
      <c r="DF439" s="2" t="s">
        <v>4676</v>
      </c>
      <c r="DG439" s="2" t="s">
        <v>94</v>
      </c>
      <c r="DH439" s="2" t="str">
        <f>HYPERLINK("https://vectorbase.org/vectorbase/app/record/gene/AGAP001015","AGAP001015-RA")</f>
        <v>AGAP001015-RA</v>
      </c>
      <c r="DI439" s="2" t="s">
        <v>90</v>
      </c>
      <c r="DJ439" s="2">
        <v>11816</v>
      </c>
      <c r="DK439" s="2" t="str">
        <f>HYPERLINK(".\links\netoglyc\AGAP001015-PA-netoglyc.txt","3")</f>
        <v>3</v>
      </c>
      <c r="DL439" s="2">
        <v>13</v>
      </c>
      <c r="DM439" s="2">
        <v>11.5</v>
      </c>
      <c r="DN439" s="2">
        <v>5.3</v>
      </c>
      <c r="DO439" s="2">
        <v>0.2</v>
      </c>
      <c r="DP439" s="2" t="s">
        <v>4688</v>
      </c>
      <c r="DQ439" s="2" t="str">
        <f>HYPERLINK(".\links\Sigp\AGAP001015-PA-SigP.txt","SIG")</f>
        <v>SIG</v>
      </c>
      <c r="DR439" s="2" t="s">
        <v>3425</v>
      </c>
      <c r="DS439" s="2">
        <v>295.54000000000002</v>
      </c>
      <c r="DT439" s="2">
        <v>5.25</v>
      </c>
      <c r="DU439" s="2">
        <v>292.73200000000003</v>
      </c>
      <c r="DV439" s="2">
        <v>5.23</v>
      </c>
      <c r="DW439" s="2" t="s">
        <v>4683</v>
      </c>
      <c r="DX439" s="2">
        <v>2777</v>
      </c>
      <c r="DY439" s="12" t="str">
        <f>HYPERLINK(".\links\tmhmm\AGAP001015-PA-tmhmm.txt","1")</f>
        <v>1</v>
      </c>
      <c r="DZ439" s="2">
        <v>0.8</v>
      </c>
      <c r="EA439" s="2">
        <v>98.7</v>
      </c>
      <c r="EB439" s="2">
        <v>0.5</v>
      </c>
      <c r="EC439" s="2" t="str">
        <f>HYPERLINK(".\links\gpi\AGAP001015-PA-gpi.txt","Y-NoSP")</f>
        <v>Y-NoSP</v>
      </c>
      <c r="ED439" s="2">
        <v>0.34</v>
      </c>
      <c r="EE439" s="2" t="s">
        <v>4689</v>
      </c>
      <c r="EF439" s="2">
        <v>244</v>
      </c>
      <c r="EG439" s="2" t="str">
        <f>HYPERLINK(".\links\pep\AGAP001015-PA-sulf.txt","3")</f>
        <v>3</v>
      </c>
      <c r="EH439" s="2" t="s">
        <v>102</v>
      </c>
      <c r="EI439" s="2">
        <v>13.035649981995</v>
      </c>
      <c r="EJ439" s="2">
        <v>5.25747209218581</v>
      </c>
      <c r="EK439" s="2">
        <v>11.4512063377746</v>
      </c>
      <c r="EL439" s="2">
        <v>16.708678429960401</v>
      </c>
      <c r="EM439" s="2">
        <v>6</v>
      </c>
      <c r="EN439" s="2">
        <v>9</v>
      </c>
      <c r="EO439" s="2">
        <v>9</v>
      </c>
      <c r="EP439" s="2" t="s">
        <v>102</v>
      </c>
      <c r="EQ439" s="2" t="s">
        <v>102</v>
      </c>
      <c r="ER439" s="2" t="s">
        <v>102</v>
      </c>
      <c r="ES439" s="2" t="s">
        <v>576</v>
      </c>
      <c r="ET439" s="2" t="str">
        <f>HYPERLINK(".\links\REFSEQ-INVERTEBRATE\AGAP001015-PA-REFSEQ-INVERTEBRATE.txt","neurogenic locus Notch protein isoform X1")</f>
        <v>neurogenic locus Notch protein isoform X1</v>
      </c>
      <c r="EU439" s="2" t="str">
        <f>HYPERLINK("http://www.ncbi.nlm.nih.gov/sutils/blink.cgi?pid=XP_035892304.1","0.0")</f>
        <v>0.0</v>
      </c>
      <c r="EV439" s="2" t="str">
        <f>HYPERLINK("http://www.ncbi.nlm.nih.gov/protein/XP_035892304.1","XP_035892304.1")</f>
        <v>XP_035892304.1</v>
      </c>
      <c r="EW439" s="2">
        <v>94</v>
      </c>
      <c r="EX439" s="2">
        <v>95</v>
      </c>
      <c r="EY439" s="2">
        <v>101</v>
      </c>
      <c r="EZ439" s="2" t="s">
        <v>370</v>
      </c>
    </row>
    <row r="440" spans="1:156" x14ac:dyDescent="0.25">
      <c r="A440" s="2" t="s">
        <v>4690</v>
      </c>
      <c r="B440" s="2">
        <v>-0.36232432637526202</v>
      </c>
      <c r="C440" s="2">
        <f t="shared" si="6"/>
        <v>0.77791027806707091</v>
      </c>
      <c r="D440" s="2">
        <v>6.2565198903947596</v>
      </c>
      <c r="E440" s="2">
        <v>10.192630167451901</v>
      </c>
      <c r="F440" s="2">
        <v>1.41003052928251E-3</v>
      </c>
      <c r="G440" s="2">
        <v>3.7152645524746501E-2</v>
      </c>
      <c r="H440" s="2" t="s">
        <v>4691</v>
      </c>
      <c r="I440" s="2" t="s">
        <v>102</v>
      </c>
      <c r="J440" s="2" t="str">
        <f>HYPERLINK("https://vectorbase.org/vectorbase/app/record/gene/AGAP029642","AGAP029642-RA")</f>
        <v>AGAP029642-RA</v>
      </c>
      <c r="K440" s="2" t="str">
        <f>HYPERLINK(".\links\pep\AGAP029642-PA-pep.txt","AGAP029642-PA")</f>
        <v>AGAP029642-PA</v>
      </c>
      <c r="L440" s="12" t="s">
        <v>95</v>
      </c>
      <c r="M440" s="2">
        <v>1074</v>
      </c>
      <c r="N440" s="2">
        <v>0</v>
      </c>
      <c r="O440" s="2">
        <v>0</v>
      </c>
      <c r="P440" s="2" t="s">
        <v>4692</v>
      </c>
      <c r="Q440" s="9" t="s">
        <v>4693</v>
      </c>
      <c r="R440" s="2" t="s">
        <v>318</v>
      </c>
      <c r="S440" s="2" t="str">
        <f>HYPERLINK(".\links\KOG\AGAP029642-PA-KOG.txt","KOG")</f>
        <v>KOG</v>
      </c>
      <c r="T440" s="2">
        <v>5.0000000000000004E-44</v>
      </c>
      <c r="U440" s="2">
        <v>98</v>
      </c>
      <c r="V440" s="2" t="s">
        <v>4694</v>
      </c>
      <c r="W440" s="10" t="s">
        <v>4695</v>
      </c>
      <c r="X440" s="2" t="s">
        <v>318</v>
      </c>
      <c r="Y440" s="2" t="str">
        <f>HYPERLINK(".\links\KOG\AGAP029642-PA-KOG.txt","KOG")</f>
        <v>KOG</v>
      </c>
      <c r="Z440" s="15">
        <v>9.9999999999999994E-37</v>
      </c>
      <c r="AA440" s="2">
        <v>98</v>
      </c>
      <c r="AB440" s="13" t="str">
        <f>HYPERLINK(".\links\pep\AGAP029642-PA-sulf.txt","2")</f>
        <v>2</v>
      </c>
      <c r="AC440" s="13" t="str">
        <f>HYPERLINK(".\links\Sigp\AGAP029642-PA-SigP.txt","BL")</f>
        <v>BL</v>
      </c>
      <c r="AD440" s="2" t="s">
        <v>2450</v>
      </c>
      <c r="AE440" s="2">
        <v>120.128</v>
      </c>
      <c r="AF440" s="2">
        <v>6.87</v>
      </c>
      <c r="AG440" s="2">
        <v>118.517</v>
      </c>
      <c r="AH440" s="2">
        <v>6.75</v>
      </c>
      <c r="AI440" s="2" t="s">
        <v>4696</v>
      </c>
      <c r="AJ440" s="13">
        <v>0</v>
      </c>
      <c r="AK440" s="2" t="s">
        <v>102</v>
      </c>
      <c r="AL440" s="2" t="s">
        <v>102</v>
      </c>
      <c r="AM440" s="2" t="s">
        <v>102</v>
      </c>
      <c r="AN440" s="9" t="str">
        <f>HYPERLINK(".\links\gpi\AGAP029642-PA-gpi.txt","N")</f>
        <v>N</v>
      </c>
      <c r="AO440" s="14" t="str">
        <f>HYPERLINK(".\links\netoglyc\AGAP029642-PA-netoglyc.txt","24")</f>
        <v>24</v>
      </c>
      <c r="AP440" s="13">
        <v>14.2</v>
      </c>
      <c r="AQ440" s="2">
        <v>8</v>
      </c>
      <c r="AR440" s="2">
        <v>4.2</v>
      </c>
      <c r="AS440" s="2" t="s">
        <v>104</v>
      </c>
      <c r="AT440" s="9" t="str">
        <f>HYPERLINK(".\links\NR-LIGHT\AGAP029642-PA-NR-LIGHT.txt","hypothetical protein ZHAS_00012695")</f>
        <v>hypothetical protein ZHAS_00012695</v>
      </c>
      <c r="AU440" s="2" t="str">
        <f>HYPERLINK("http://www.ncbi.nlm.nih.gov/sutils/blink.cgi?pid=KFB44788.1","0.0")</f>
        <v>0.0</v>
      </c>
      <c r="AV440" s="2" t="str">
        <f>HYPERLINK("http://www.ncbi.nlm.nih.gov/protein/KFB44788.1","KFB44788.1")</f>
        <v>KFB44788.1</v>
      </c>
      <c r="AW440" s="2">
        <v>84</v>
      </c>
      <c r="AX440" s="2">
        <v>89</v>
      </c>
      <c r="AY440" s="2">
        <v>100</v>
      </c>
      <c r="AZ440" s="2" t="s">
        <v>1522</v>
      </c>
      <c r="BA440" s="9" t="str">
        <f>HYPERLINK(".\links\REFSEQ-INVERTEBRATE\AGAP029642-PA-REFSEQ-INVERTEBRATE.txt","spermine oxidase-like")</f>
        <v>spermine oxidase-like</v>
      </c>
      <c r="BB440" s="2" t="str">
        <f>HYPERLINK("http://www.ncbi.nlm.nih.gov/sutils/blink.cgi?pid=XP_019548371.1","0.0")</f>
        <v>0.0</v>
      </c>
      <c r="BC440" s="2" t="str">
        <f>HYPERLINK("http://www.ncbi.nlm.nih.gov/protein/XP_019548371.1","XP_019548371.1")</f>
        <v>XP_019548371.1</v>
      </c>
      <c r="BD440" s="2">
        <v>68</v>
      </c>
      <c r="BE440" s="2">
        <v>82</v>
      </c>
      <c r="BF440" s="2">
        <v>99</v>
      </c>
      <c r="BG440" s="2" t="s">
        <v>361</v>
      </c>
      <c r="BH440" s="9" t="str">
        <f>HYPERLINK(".\links\REFSEQ-PROTOZOA\AGAP029642-PA-REFSEQ-PROTOZOA.txt","spermine oxidase")</f>
        <v>spermine oxidase</v>
      </c>
      <c r="BI440" s="2" t="str">
        <f>HYPERLINK("http://www.ncbi.nlm.nih.gov/sutils/blink.cgi?pid=XP_005706126.1","6E-050")</f>
        <v>6E-050</v>
      </c>
      <c r="BJ440" s="2" t="str">
        <f>HYPERLINK("http://www.ncbi.nlm.nih.gov/protein/XP_005706126.1","XP_005706126.1")</f>
        <v>XP_005706126.1</v>
      </c>
      <c r="BK440" s="2">
        <v>32</v>
      </c>
      <c r="BL440" s="2">
        <v>50</v>
      </c>
      <c r="BM440" s="2">
        <v>103</v>
      </c>
      <c r="BN440" s="2" t="s">
        <v>1814</v>
      </c>
      <c r="BO440" s="9" t="str">
        <f>HYPERLINK(".\links\SWISSP\AGAP029642-PA-SWISSP.txt","Spermine oxidase")</f>
        <v>Spermine oxidase</v>
      </c>
      <c r="BP440" s="2" t="str">
        <f>HYPERLINK("http://www.uniprot.org/uniprot/Q99K82","1E-062")</f>
        <v>1E-062</v>
      </c>
      <c r="BQ440" s="2" t="str">
        <f>HYPERLINK("http://www.uniprot.org/uniprot/Q99K82#expression","Q99K82")</f>
        <v>Q99K82</v>
      </c>
      <c r="BR440" s="2">
        <v>32</v>
      </c>
      <c r="BS440" s="2">
        <v>47</v>
      </c>
      <c r="BT440" s="2">
        <v>97</v>
      </c>
      <c r="BU440" s="2" t="s">
        <v>662</v>
      </c>
      <c r="BV440" s="9" t="str">
        <f>HYPERLINK(".\links\FLYBASE\AGAP029642-PA-FLYBASE.txt","FBpp0087206")</f>
        <v>FBpp0087206</v>
      </c>
      <c r="BW440" s="2" t="str">
        <f>HYPERLINK("http://flybase.org/reports/FBgn0033584#alliance_summary_container","1E-152")</f>
        <v>1E-152</v>
      </c>
      <c r="BX440" s="2">
        <v>509</v>
      </c>
      <c r="BY440" s="2">
        <v>46</v>
      </c>
      <c r="BZ440" s="2">
        <v>63</v>
      </c>
      <c r="CA440" s="2">
        <v>96</v>
      </c>
      <c r="CB440" s="9" t="str">
        <f>HYPERLINK(".\links\CDD\AGAP029642-PA-CDD.txt","Amino_oxidase, Flavin containing amine oxidoreductase")</f>
        <v>Amino_oxidase, Flavin containing amine oxidoreductase</v>
      </c>
      <c r="CC440" s="15">
        <v>3.0000000000000001E-59</v>
      </c>
      <c r="CD440" s="2">
        <v>107</v>
      </c>
      <c r="CE440" s="2" t="s">
        <v>4697</v>
      </c>
      <c r="CF440" s="2" t="s">
        <v>4698</v>
      </c>
      <c r="CG440" s="9" t="str">
        <f>HYPERLINK(".\links\KOG\AGAP029642-PA-KOG.txt","Flavin-containing amine oxidase")</f>
        <v>Flavin-containing amine oxidase</v>
      </c>
      <c r="CH440" s="15">
        <v>1E-155</v>
      </c>
      <c r="CI440" s="2">
        <v>95.8</v>
      </c>
      <c r="CJ440" s="2" t="s">
        <v>4699</v>
      </c>
      <c r="CK440" s="2" t="s">
        <v>786</v>
      </c>
      <c r="CL440" s="9" t="str">
        <f>HYPERLINK(".\links\PFAM\AGAP029642-PA-PFAM.txt","Amino_oxidase, Flavin containing amine oxidoreductase")</f>
        <v>Amino_oxidase, Flavin containing amine oxidoreductase</v>
      </c>
      <c r="CM440" s="15">
        <v>6.9999999999999995E-60</v>
      </c>
      <c r="CN440" s="2">
        <v>107</v>
      </c>
      <c r="CO440" s="2" t="s">
        <v>4697</v>
      </c>
      <c r="CP440" s="9" t="str">
        <f>HYPERLINK(".\links\SMART\AGAP029642-PA-SMART.txt","Malic_M, Malic enzyme, NAD binding domain")</f>
        <v>Malic_M, Malic enzyme, NAD binding domain</v>
      </c>
      <c r="CQ440" s="15">
        <v>1E-3</v>
      </c>
      <c r="CR440" s="2">
        <v>12.1</v>
      </c>
      <c r="CS440" s="2" t="s">
        <v>4700</v>
      </c>
      <c r="CT440" s="2" t="s">
        <v>4694</v>
      </c>
      <c r="CU440" s="2" t="s">
        <v>4694</v>
      </c>
      <c r="CV440" s="2" t="s">
        <v>4694</v>
      </c>
      <c r="CW440" s="2" t="str">
        <f>HYPERLINK(".\links\pep\AGAP029642-PA-pep.txt","AGAP029642-PA")</f>
        <v>AGAP029642-PA</v>
      </c>
      <c r="CX440" s="2" t="s">
        <v>95</v>
      </c>
      <c r="CY440" s="2">
        <v>1074</v>
      </c>
      <c r="CZ440" s="2" t="s">
        <v>113</v>
      </c>
      <c r="DA440" s="2">
        <v>0</v>
      </c>
      <c r="DB440" s="2">
        <v>0</v>
      </c>
      <c r="DD440" s="2" t="str">
        <f>HYPERLINK("https://www.kegg.jp/kegg-bin/search_pathway_text?map=aga&amp;keyword=AGAP029642&amp;mode=1&amp;viewImage=true","AGAP029642")</f>
        <v>AGAP029642</v>
      </c>
      <c r="DE440" s="2" t="s">
        <v>4690</v>
      </c>
      <c r="DF440" s="2" t="s">
        <v>4691</v>
      </c>
      <c r="DG440" s="2" t="s">
        <v>102</v>
      </c>
      <c r="DH440" s="2" t="str">
        <f>HYPERLINK("https://vectorbase.org/vectorbase/app/record/gene/AGAP029642","AGAP029642-RA")</f>
        <v>AGAP029642-RA</v>
      </c>
      <c r="DI440" s="2" t="s">
        <v>135</v>
      </c>
      <c r="DJ440" s="2">
        <v>4718</v>
      </c>
      <c r="DK440" s="2" t="str">
        <f>HYPERLINK(".\links\netoglyc\AGAP029642-PA-netoglyc.txt","24")</f>
        <v>24</v>
      </c>
      <c r="DL440" s="2">
        <v>14.2</v>
      </c>
      <c r="DM440" s="2">
        <v>8</v>
      </c>
      <c r="DN440" s="2">
        <v>4.2</v>
      </c>
      <c r="DO440" s="2" t="s">
        <v>104</v>
      </c>
      <c r="DP440" s="2" t="s">
        <v>4701</v>
      </c>
      <c r="DQ440" s="2" t="str">
        <f>HYPERLINK(".\links\Sigp\AGAP029642-PA-SigP.txt","BL")</f>
        <v>BL</v>
      </c>
      <c r="DR440" s="2" t="s">
        <v>2450</v>
      </c>
      <c r="DS440" s="2">
        <v>120.128</v>
      </c>
      <c r="DT440" s="2">
        <v>6.87</v>
      </c>
      <c r="DU440" s="2">
        <v>118.517</v>
      </c>
      <c r="DV440" s="2">
        <v>6.75</v>
      </c>
      <c r="DW440" s="2" t="s">
        <v>4696</v>
      </c>
      <c r="DX440" s="2">
        <v>1074</v>
      </c>
      <c r="DY440" s="12">
        <v>0</v>
      </c>
      <c r="DZ440" s="2" t="s">
        <v>102</v>
      </c>
      <c r="EA440" s="2" t="s">
        <v>102</v>
      </c>
      <c r="EB440" s="2" t="s">
        <v>102</v>
      </c>
      <c r="EC440" s="2" t="str">
        <f>HYPERLINK(".\links\gpi\AGAP029642-PA-gpi.txt","Y-NoSP")</f>
        <v>Y-NoSP</v>
      </c>
      <c r="ED440" s="2">
        <v>0.1</v>
      </c>
      <c r="EF440" s="2">
        <v>24</v>
      </c>
      <c r="EG440" s="2" t="str">
        <f>HYPERLINK(".\links\pep\AGAP029642-PA-sulf.txt","2")</f>
        <v>2</v>
      </c>
      <c r="EH440" s="2" t="s">
        <v>102</v>
      </c>
      <c r="EI440" s="2">
        <v>14.1527001862197</v>
      </c>
      <c r="EJ440" s="2">
        <v>4.1899441340782104</v>
      </c>
      <c r="EK440" s="2">
        <v>8.0074487895717006</v>
      </c>
      <c r="EL440" s="2">
        <v>12.1973929236499</v>
      </c>
      <c r="EM440" s="2">
        <v>1</v>
      </c>
      <c r="EN440" s="2">
        <v>4</v>
      </c>
      <c r="EO440" s="2">
        <v>5</v>
      </c>
      <c r="EP440" s="2" t="s">
        <v>102</v>
      </c>
      <c r="EQ440" s="2" t="s">
        <v>102</v>
      </c>
      <c r="ER440" s="2" t="s">
        <v>102</v>
      </c>
      <c r="ES440" s="2" t="s">
        <v>102</v>
      </c>
      <c r="ET440" s="2" t="str">
        <f>HYPERLINK(".\links\REFSEQ-INVERTEBRATE\AGAP029642-PA-REFSEQ-INVERTEBRATE.txt","amine oxidase family member 1-like")</f>
        <v>amine oxidase family member 1-like</v>
      </c>
      <c r="EU440" s="2" t="str">
        <f>HYPERLINK("http://www.ncbi.nlm.nih.gov/sutils/blink.cgi?pid=XP_035903666.1","0.0")</f>
        <v>0.0</v>
      </c>
      <c r="EV440" s="2" t="str">
        <f>HYPERLINK("http://www.ncbi.nlm.nih.gov/protein/XP_035903666.1","XP_035903666.1")</f>
        <v>XP_035903666.1</v>
      </c>
      <c r="EW440" s="2">
        <v>89</v>
      </c>
      <c r="EX440" s="2">
        <v>92</v>
      </c>
      <c r="EY440" s="2">
        <v>101</v>
      </c>
      <c r="EZ440" s="2" t="s">
        <v>370</v>
      </c>
    </row>
    <row r="441" spans="1:156" x14ac:dyDescent="0.25">
      <c r="A441" s="2" t="s">
        <v>4702</v>
      </c>
      <c r="B441" s="2">
        <v>-0.36791898564518999</v>
      </c>
      <c r="C441" s="2">
        <f t="shared" si="6"/>
        <v>0.77489944411622602</v>
      </c>
      <c r="D441" s="2">
        <v>8.2686457561870093</v>
      </c>
      <c r="E441" s="2">
        <v>16.0660759378496</v>
      </c>
      <c r="F441" s="2">
        <v>6.1170092751183794E-5</v>
      </c>
      <c r="G441" s="2">
        <v>8.6118752008988095E-3</v>
      </c>
      <c r="H441" s="2" t="s">
        <v>4703</v>
      </c>
      <c r="I441" s="2" t="s">
        <v>94</v>
      </c>
      <c r="J441" s="2" t="str">
        <f>HYPERLINK("https://vectorbase.org/vectorbase/app/record/gene/AGAP004039","AGAP004039-RB")</f>
        <v>AGAP004039-RB</v>
      </c>
      <c r="K441" s="2" t="str">
        <f>HYPERLINK(".\links\pep\AGAP004039-PB-pep.txt","AGAP004039-PB")</f>
        <v>AGAP004039-PB</v>
      </c>
      <c r="L441" s="12" t="s">
        <v>95</v>
      </c>
      <c r="M441" s="2">
        <v>2195</v>
      </c>
      <c r="N441" s="2">
        <v>0</v>
      </c>
      <c r="O441" s="2">
        <v>3</v>
      </c>
      <c r="P441" s="2" t="s">
        <v>4704</v>
      </c>
      <c r="Q441" s="9" t="s">
        <v>4705</v>
      </c>
      <c r="R441" s="2" t="s">
        <v>358</v>
      </c>
      <c r="S441" s="2" t="str">
        <f>HYPERLINK(".\links\KOG\AGAP004039-PB-KOG.txt","KOG")</f>
        <v>KOG</v>
      </c>
      <c r="T441" s="2">
        <v>0</v>
      </c>
      <c r="U441" s="2">
        <v>62.4</v>
      </c>
      <c r="V441" s="2" t="s">
        <v>4706</v>
      </c>
      <c r="W441" s="10" t="s">
        <v>4707</v>
      </c>
      <c r="X441" s="2" t="s">
        <v>358</v>
      </c>
      <c r="Y441" s="2" t="str">
        <f>HYPERLINK(".\links\CDD\AGAP004039-PB-CDD.txt","CDD")</f>
        <v>CDD</v>
      </c>
      <c r="Z441" s="2">
        <v>0</v>
      </c>
      <c r="AA441" s="2">
        <v>99.3</v>
      </c>
      <c r="AB441" s="13" t="str">
        <f>HYPERLINK(".\links\pep\AGAP004039-PB-sulf.txt","3")</f>
        <v>3</v>
      </c>
      <c r="AC441" s="13" t="str">
        <f>HYPERLINK(".\links\Sigp\AGAP004039-PB-SigP.txt","CYT")</f>
        <v>CYT</v>
      </c>
      <c r="AD441" s="2" t="s">
        <v>102</v>
      </c>
      <c r="AE441" s="2">
        <v>240.20500000000001</v>
      </c>
      <c r="AF441" s="2">
        <v>7</v>
      </c>
      <c r="AG441" s="2" t="s">
        <v>102</v>
      </c>
      <c r="AH441" s="2" t="s">
        <v>102</v>
      </c>
      <c r="AI441" s="2" t="s">
        <v>124</v>
      </c>
      <c r="AJ441" s="13">
        <v>0</v>
      </c>
      <c r="AK441" s="2" t="s">
        <v>102</v>
      </c>
      <c r="AL441" s="2" t="s">
        <v>102</v>
      </c>
      <c r="AM441" s="2" t="s">
        <v>102</v>
      </c>
      <c r="AN441" s="13" t="str">
        <f>HYPERLINK(".\links\gpi\AGAP004039-PB-gpi.txt","N")</f>
        <v>N</v>
      </c>
      <c r="AO441" s="14" t="str">
        <f>HYPERLINK(".\links\netoglyc\AGAP004039-PB-netoglyc.txt","3")</f>
        <v>3</v>
      </c>
      <c r="AP441" s="13">
        <v>14.3</v>
      </c>
      <c r="AQ441" s="2">
        <v>7.7</v>
      </c>
      <c r="AR441" s="2">
        <v>6.7</v>
      </c>
      <c r="AS441" s="2" t="s">
        <v>104</v>
      </c>
      <c r="AT441" s="9" t="str">
        <f>HYPERLINK(".\links\NR-LIGHT\AGAP004039-PB-NR-LIGHT.txt","AGAP004039-PB")</f>
        <v>AGAP004039-PB</v>
      </c>
      <c r="AU441" s="2" t="str">
        <f>HYPERLINK("http://www.ncbi.nlm.nih.gov/sutils/blink.cgi?pid=XP_003436693.1","0.0")</f>
        <v>0.0</v>
      </c>
      <c r="AV441" s="2" t="str">
        <f>HYPERLINK("http://www.ncbi.nlm.nih.gov/protein/XP_003436693.1","XP_003436693.1")</f>
        <v>XP_003436693.1</v>
      </c>
      <c r="AW441" s="2">
        <v>100</v>
      </c>
      <c r="AX441" s="2">
        <v>100</v>
      </c>
      <c r="AY441" s="2">
        <v>100</v>
      </c>
      <c r="AZ441" s="2" t="s">
        <v>105</v>
      </c>
      <c r="BA441" s="9" t="str">
        <f>HYPERLINK(".\links\REFSEQ-INVERTEBRATE\AGAP004039-PB-REFSEQ-INVERTEBRATE.txt","AGAP004039-PB")</f>
        <v>AGAP004039-PB</v>
      </c>
      <c r="BB441" s="2" t="str">
        <f>HYPERLINK("http://www.ncbi.nlm.nih.gov/sutils/blink.cgi?pid=XP_003436693.1","0.0")</f>
        <v>0.0</v>
      </c>
      <c r="BC441" s="2" t="str">
        <f>HYPERLINK("http://www.ncbi.nlm.nih.gov/protein/XP_003436693.1","XP_003436693.1")</f>
        <v>XP_003436693.1</v>
      </c>
      <c r="BD441" s="2">
        <v>100</v>
      </c>
      <c r="BE441" s="2">
        <v>100</v>
      </c>
      <c r="BF441" s="2">
        <v>100</v>
      </c>
      <c r="BG441" s="2" t="s">
        <v>105</v>
      </c>
      <c r="BH441" s="9" t="str">
        <f>HYPERLINK(".\links\REFSEQ-PROTOZOA\AGAP004039-PB-REFSEQ-PROTOZOA.txt","hypothetical protein DDB_G0293586")</f>
        <v>hypothetical protein DDB_G0293586</v>
      </c>
      <c r="BI441" s="2" t="str">
        <f>HYPERLINK("http://www.ncbi.nlm.nih.gov/sutils/blink.cgi?pid=XP_629025.1","2E-035")</f>
        <v>2E-035</v>
      </c>
      <c r="BJ441" s="2" t="str">
        <f>HYPERLINK("http://www.ncbi.nlm.nih.gov/protein/XP_629025.1","XP_629025.1")</f>
        <v>XP_629025.1</v>
      </c>
      <c r="BK441" s="2">
        <v>23</v>
      </c>
      <c r="BL441" s="2">
        <v>33</v>
      </c>
      <c r="BM441" s="2">
        <v>45</v>
      </c>
      <c r="BN441" s="2" t="s">
        <v>612</v>
      </c>
      <c r="BO441" s="9" t="str">
        <f>HYPERLINK(".\links\SWISSP\AGAP004039-PB-SWISSP.txt","Afadin")</f>
        <v>Afadin</v>
      </c>
      <c r="BP441" s="2" t="str">
        <f>HYPERLINK("http://www.uniprot.org/uniprot/P55196","1E-141")</f>
        <v>1E-141</v>
      </c>
      <c r="BQ441" s="2" t="str">
        <f>HYPERLINK("http://www.uniprot.org/uniprot/P55196#expression","P55196")</f>
        <v>P55196</v>
      </c>
      <c r="BR441" s="2">
        <v>46</v>
      </c>
      <c r="BS441" s="2">
        <v>62</v>
      </c>
      <c r="BT441" s="2">
        <v>34</v>
      </c>
      <c r="BU441" s="2" t="s">
        <v>127</v>
      </c>
      <c r="BV441" s="9" t="str">
        <f>HYPERLINK(".\links\FLYBASE\AGAP004039-PB-FLYBASE.txt","FBpp0312543")</f>
        <v>FBpp0312543</v>
      </c>
      <c r="BW441" s="2" t="str">
        <f>HYPERLINK("http://flybase.org/reports/FBgn0259212#alliance_summary_container","0.0")</f>
        <v>0.0</v>
      </c>
      <c r="BX441" s="2">
        <v>2051</v>
      </c>
      <c r="BY441" s="2">
        <v>70</v>
      </c>
      <c r="BZ441" s="2">
        <v>77</v>
      </c>
      <c r="CA441" s="2">
        <v>63</v>
      </c>
      <c r="CB441" s="9" t="str">
        <f>HYPERLINK(".\links\CDD\AGAP004039-PB-CDD.txt","Myo5p-like_CBD_afadin, cargo binding domain of myosin 5-like of afadin")</f>
        <v>Myo5p-like_CBD_afadin, cargo binding domain of myosin 5-like of afadin</v>
      </c>
      <c r="CC441" s="15">
        <v>9.9999999999999998E-141</v>
      </c>
      <c r="CD441" s="2">
        <v>99.4</v>
      </c>
      <c r="CE441" s="2" t="s">
        <v>4708</v>
      </c>
      <c r="CF441" s="2" t="s">
        <v>4709</v>
      </c>
      <c r="CG441" s="9" t="str">
        <f>HYPERLINK(".\links\KOG\AGAP004039-PB-KOG.txt","Actin filament-binding protein Afadin")</f>
        <v>Actin filament-binding protein Afadin</v>
      </c>
      <c r="CH441" s="15">
        <v>0</v>
      </c>
      <c r="CI441" s="2">
        <v>62.5</v>
      </c>
      <c r="CJ441" s="2" t="s">
        <v>4710</v>
      </c>
      <c r="CK441" s="2" t="s">
        <v>131</v>
      </c>
      <c r="CL441" s="9" t="str">
        <f>HYPERLINK(".\links\PFAM\AGAP004039-PB-PFAM.txt","DIL, DIL domain")</f>
        <v>DIL, DIL domain</v>
      </c>
      <c r="CM441" s="15">
        <v>2.0000000000000001E-27</v>
      </c>
      <c r="CN441" s="2">
        <v>95.1</v>
      </c>
      <c r="CO441" s="2" t="s">
        <v>4711</v>
      </c>
      <c r="CP441" s="9" t="str">
        <f>HYPERLINK(".\links\SMART\AGAP004039-PB-SMART.txt","RA, Ras association (RalGDS/AF-6) domain")</f>
        <v>RA, Ras association (RalGDS/AF-6) domain</v>
      </c>
      <c r="CQ441" s="15">
        <v>6.0000000000000006E-20</v>
      </c>
      <c r="CR441" s="2">
        <v>104.4</v>
      </c>
      <c r="CS441" s="2" t="s">
        <v>4712</v>
      </c>
      <c r="CT441" s="2" t="s">
        <v>4706</v>
      </c>
      <c r="CU441" s="2" t="s">
        <v>4706</v>
      </c>
      <c r="CV441" s="2" t="s">
        <v>4706</v>
      </c>
      <c r="CW441" s="2" t="str">
        <f>HYPERLINK(".\links\pep\AGAP004039-PB-pep.txt","AGAP004039-PB")</f>
        <v>AGAP004039-PB</v>
      </c>
      <c r="CX441" s="2" t="s">
        <v>95</v>
      </c>
      <c r="CY441" s="2">
        <v>2195</v>
      </c>
      <c r="CZ441" s="2" t="s">
        <v>113</v>
      </c>
      <c r="DA441" s="2" t="s">
        <v>4713</v>
      </c>
      <c r="DB441" s="2">
        <v>0</v>
      </c>
      <c r="DC441" s="2">
        <v>3</v>
      </c>
      <c r="DD441" s="2" t="str">
        <f>HYPERLINK("https://www.kegg.jp/kegg-bin/search_pathway_text?map=aga&amp;keyword=AGAP004039&amp;mode=1&amp;viewImage=true","AGAP004039")</f>
        <v>AGAP004039</v>
      </c>
      <c r="DE441" s="2" t="s">
        <v>4702</v>
      </c>
      <c r="DF441" s="2" t="s">
        <v>4703</v>
      </c>
      <c r="DG441" s="2" t="s">
        <v>94</v>
      </c>
      <c r="DH441" s="2" t="str">
        <f>HYPERLINK("https://vectorbase.org/vectorbase/app/record/gene/AGAP004039","AGAP004039-RB")</f>
        <v>AGAP004039-RB</v>
      </c>
      <c r="DI441" s="2" t="s">
        <v>135</v>
      </c>
      <c r="DJ441" s="2">
        <v>6988</v>
      </c>
      <c r="DK441" s="2" t="str">
        <f>HYPERLINK(".\links\netoglyc\AGAP004039-PB-netoglyc.txt","3")</f>
        <v>3</v>
      </c>
      <c r="DL441" s="2">
        <v>14.3</v>
      </c>
      <c r="DM441" s="2">
        <v>7.7</v>
      </c>
      <c r="DN441" s="2">
        <v>6.7</v>
      </c>
      <c r="DO441" s="2" t="s">
        <v>104</v>
      </c>
      <c r="DP441" s="2" t="s">
        <v>4714</v>
      </c>
      <c r="DQ441" s="2" t="str">
        <f>HYPERLINK(".\links\Sigp\AGAP004039-PB-SigP.txt","CYT")</f>
        <v>CYT</v>
      </c>
      <c r="DR441" s="2" t="s">
        <v>102</v>
      </c>
      <c r="DS441" s="2">
        <v>240.20500000000001</v>
      </c>
      <c r="DT441" s="2">
        <v>7</v>
      </c>
      <c r="DU441" s="2" t="s">
        <v>102</v>
      </c>
      <c r="DV441" s="2" t="s">
        <v>102</v>
      </c>
      <c r="DW441" s="2" t="s">
        <v>124</v>
      </c>
      <c r="DX441" s="2">
        <v>2195</v>
      </c>
      <c r="DY441" s="12">
        <v>0</v>
      </c>
      <c r="DZ441" s="2" t="s">
        <v>102</v>
      </c>
      <c r="EA441" s="2" t="s">
        <v>102</v>
      </c>
      <c r="EB441" s="2" t="s">
        <v>102</v>
      </c>
      <c r="EC441" s="2" t="str">
        <f>HYPERLINK(".\links\gpi\AGAP004039-PB-gpi.txt","N")</f>
        <v>N</v>
      </c>
      <c r="ED441" s="2">
        <v>0.24</v>
      </c>
      <c r="EF441" s="2">
        <v>19</v>
      </c>
      <c r="EG441" s="2" t="str">
        <f>HYPERLINK(".\links\pep\AGAP004039-PB-sulf.txt","3")</f>
        <v>3</v>
      </c>
      <c r="EH441" s="2" t="s">
        <v>102</v>
      </c>
      <c r="EI441" s="2">
        <v>14.2596810933941</v>
      </c>
      <c r="EJ441" s="2">
        <v>6.7425968109339403</v>
      </c>
      <c r="EK441" s="2">
        <v>7.6993166287015899</v>
      </c>
      <c r="EL441" s="2">
        <v>14.441913439635499</v>
      </c>
      <c r="EM441" s="2">
        <v>4</v>
      </c>
      <c r="EN441" s="2">
        <v>3</v>
      </c>
      <c r="EO441" s="2">
        <v>4</v>
      </c>
      <c r="EP441" s="2" t="s">
        <v>102</v>
      </c>
      <c r="EQ441" s="2" t="s">
        <v>102</v>
      </c>
      <c r="ER441" s="2" t="s">
        <v>102</v>
      </c>
      <c r="ES441" s="2" t="s">
        <v>102</v>
      </c>
      <c r="ET441" s="2" t="str">
        <f>HYPERLINK(".\links\REFSEQ-INVERTEBRATE\AGAP004039-PB-REFSEQ-INVERTEBRATE.txt","AGAP004039-PB")</f>
        <v>AGAP004039-PB</v>
      </c>
      <c r="EU441" s="2" t="str">
        <f>HYPERLINK("http://www.ncbi.nlm.nih.gov/sutils/blink.cgi?pid=XP_003436693.1","0.0")</f>
        <v>0.0</v>
      </c>
      <c r="EV441" s="2" t="str">
        <f>HYPERLINK("http://www.ncbi.nlm.nih.gov/protein/XP_003436693.1","XP_003436693.1")</f>
        <v>XP_003436693.1</v>
      </c>
      <c r="EW441" s="2">
        <v>100</v>
      </c>
      <c r="EX441" s="2">
        <v>100</v>
      </c>
      <c r="EY441" s="2">
        <v>100</v>
      </c>
      <c r="EZ441" s="2" t="s">
        <v>105</v>
      </c>
    </row>
    <row r="442" spans="1:156" x14ac:dyDescent="0.25">
      <c r="A442" s="2" t="s">
        <v>4715</v>
      </c>
      <c r="B442" s="2">
        <v>-0.36885269688139199</v>
      </c>
      <c r="C442" s="2">
        <f t="shared" si="6"/>
        <v>0.77439809198490794</v>
      </c>
      <c r="D442" s="2">
        <v>8.4065612095781308</v>
      </c>
      <c r="E442" s="2">
        <v>9.4451579840133508</v>
      </c>
      <c r="F442" s="2">
        <v>2.1170726288951901E-3</v>
      </c>
      <c r="G442" s="2">
        <v>4.4498173263083501E-2</v>
      </c>
      <c r="H442" s="2" t="s">
        <v>93</v>
      </c>
      <c r="I442" s="2" t="s">
        <v>94</v>
      </c>
      <c r="J442" s="2" t="str">
        <f>HYPERLINK("https://vectorbase.org/vectorbase/app/record/gene/AGAP006534","AGAP006534-RA")</f>
        <v>AGAP006534-RA</v>
      </c>
      <c r="K442" s="2" t="str">
        <f>HYPERLINK(".\links\pep\AGAP006534-PA-pep.txt","AGAP006534-PA")</f>
        <v>AGAP006534-PA</v>
      </c>
      <c r="L442" s="12" t="s">
        <v>95</v>
      </c>
      <c r="M442" s="2">
        <v>1148</v>
      </c>
      <c r="N442" s="2">
        <v>0</v>
      </c>
      <c r="O442" s="2">
        <v>0</v>
      </c>
      <c r="P442" s="2" t="s">
        <v>102</v>
      </c>
      <c r="Q442" s="9" t="s">
        <v>4716</v>
      </c>
      <c r="R442" s="2" t="s">
        <v>355</v>
      </c>
      <c r="S442" s="2" t="str">
        <f>HYPERLINK(".\links\SWISSP\AGAP006534-PA-SWISSP.txt","SWISSP")</f>
        <v>SWISSP</v>
      </c>
      <c r="T442" s="2">
        <v>5.0000000000000004E-18</v>
      </c>
      <c r="U442" s="2">
        <v>40.299999999999997</v>
      </c>
      <c r="V442" s="2" t="s">
        <v>4717</v>
      </c>
      <c r="W442" s="10" t="s">
        <v>4718</v>
      </c>
      <c r="X442" s="2" t="s">
        <v>196</v>
      </c>
      <c r="Y442" s="2" t="str">
        <f>HYPERLINK(".\links\ARTHORPODA\AGAP006534-PA-ARTHORPODA.txt","ARTHORPODA")</f>
        <v>ARTHORPODA</v>
      </c>
      <c r="Z442" s="15">
        <v>0</v>
      </c>
      <c r="AA442" s="2">
        <v>100.4</v>
      </c>
      <c r="AB442" s="13" t="str">
        <f>HYPERLINK(".\links\pep\AGAP006534-PA-sulf.txt","1")</f>
        <v>1</v>
      </c>
      <c r="AC442" s="13" t="str">
        <f>HYPERLINK(".\links\Sigp\AGAP006534-PA-SigP.txt","CYT")</f>
        <v>CYT</v>
      </c>
      <c r="AD442" s="2" t="s">
        <v>102</v>
      </c>
      <c r="AE442" s="2">
        <v>122.59699999999999</v>
      </c>
      <c r="AF442" s="2">
        <v>5.3</v>
      </c>
      <c r="AG442" s="2" t="s">
        <v>102</v>
      </c>
      <c r="AH442" s="2" t="s">
        <v>102</v>
      </c>
      <c r="AI442" s="2" t="s">
        <v>124</v>
      </c>
      <c r="AJ442" s="13">
        <v>0</v>
      </c>
      <c r="AK442" s="2" t="s">
        <v>102</v>
      </c>
      <c r="AL442" s="2" t="s">
        <v>102</v>
      </c>
      <c r="AM442" s="2" t="s">
        <v>102</v>
      </c>
      <c r="AN442" s="13" t="str">
        <f>HYPERLINK(".\links\gpi\AGAP006534-PA-gpi.txt","N")</f>
        <v>N</v>
      </c>
      <c r="AO442" s="14" t="str">
        <f>HYPERLINK(".\links\netoglyc\AGAP006534-PA-netoglyc.txt","14")</f>
        <v>14</v>
      </c>
      <c r="AP442" s="13">
        <v>19.600000000000001</v>
      </c>
      <c r="AQ442" s="2">
        <v>9.5</v>
      </c>
      <c r="AR442" s="2">
        <v>2.9</v>
      </c>
      <c r="AS442" s="2" t="s">
        <v>104</v>
      </c>
      <c r="AT442" s="9" t="str">
        <f>HYPERLINK(".\links\NR-LIGHT\AGAP006534-PA-NR-LIGHT.txt","AGAP006534-PB")</f>
        <v>AGAP006534-PB</v>
      </c>
      <c r="AU442" s="2" t="str">
        <f>HYPERLINK("http://www.ncbi.nlm.nih.gov/sutils/blink.cgi?pid=XP_316571.4","0.0")</f>
        <v>0.0</v>
      </c>
      <c r="AV442" s="2" t="str">
        <f>HYPERLINK("http://www.ncbi.nlm.nih.gov/protein/XP_316571.4","XP_316571.4")</f>
        <v>XP_316571.4</v>
      </c>
      <c r="AW442" s="2">
        <v>100</v>
      </c>
      <c r="AX442" s="2">
        <v>100</v>
      </c>
      <c r="AY442" s="2">
        <v>100</v>
      </c>
      <c r="AZ442" s="2" t="s">
        <v>105</v>
      </c>
      <c r="BA442" s="9" t="str">
        <f>HYPERLINK(".\links\REFSEQ-INVERTEBRATE\AGAP006534-PA-REFSEQ-INVERTEBRATE.txt","AGAP006534-PB")</f>
        <v>AGAP006534-PB</v>
      </c>
      <c r="BB442" s="2" t="str">
        <f>HYPERLINK("http://www.ncbi.nlm.nih.gov/sutils/blink.cgi?pid=XP_316571.4","0.0")</f>
        <v>0.0</v>
      </c>
      <c r="BC442" s="2" t="str">
        <f>HYPERLINK("http://www.ncbi.nlm.nih.gov/protein/XP_316571.4","XP_316571.4")</f>
        <v>XP_316571.4</v>
      </c>
      <c r="BD442" s="2">
        <v>100</v>
      </c>
      <c r="BE442" s="2">
        <v>100</v>
      </c>
      <c r="BF442" s="2">
        <v>100</v>
      </c>
      <c r="BG442" s="2" t="s">
        <v>105</v>
      </c>
      <c r="BH442" s="9" t="str">
        <f>HYPERLINK(".\links\REFSEQ-PROTOZOA\AGAP006534-PA-REFSEQ-PROTOZOA.txt","indole-3-glycerol phosphate synthase domain containing protein, putative")</f>
        <v>indole-3-glycerol phosphate synthase domain containing protein, putative</v>
      </c>
      <c r="BI442" s="2" t="str">
        <f>HYPERLINK("http://www.ncbi.nlm.nih.gov/sutils/blink.cgi?pid=XP_013249809.1","2E-025")</f>
        <v>2E-025</v>
      </c>
      <c r="BJ442" s="2" t="str">
        <f>HYPERLINK("http://www.ncbi.nlm.nih.gov/protein/XP_013249809.1","XP_013249809.1")</f>
        <v>XP_013249809.1</v>
      </c>
      <c r="BK442" s="2">
        <v>24</v>
      </c>
      <c r="BL442" s="2">
        <v>40</v>
      </c>
      <c r="BM442" s="2">
        <v>57</v>
      </c>
      <c r="BN442" s="2" t="s">
        <v>1646</v>
      </c>
      <c r="BO442" s="9" t="str">
        <f>HYPERLINK(".\links\SWISSP\AGAP006534-PA-SWISSP.txt","Myb-like protein AA")</f>
        <v>Myb-like protein AA</v>
      </c>
      <c r="BP442" s="2" t="str">
        <f>HYPERLINK("http://www.uniprot.org/uniprot/B0G0Y5","6E-019")</f>
        <v>6E-019</v>
      </c>
      <c r="BQ442" s="2" t="str">
        <f>HYPERLINK("http://www.uniprot.org/uniprot/B0G0Y5#expression","B0G0Y5")</f>
        <v>B0G0Y5</v>
      </c>
      <c r="BR442" s="2">
        <v>23</v>
      </c>
      <c r="BS442" s="2">
        <v>39</v>
      </c>
      <c r="BT442" s="2">
        <v>37</v>
      </c>
      <c r="BU442" s="2" t="s">
        <v>1919</v>
      </c>
      <c r="BV442" s="9" t="str">
        <f>HYPERLINK(".\links\FLYBASE\AGAP006534-PA-FLYBASE.txt","FBpp0304178")</f>
        <v>FBpp0304178</v>
      </c>
      <c r="BW442" s="2" t="str">
        <f>HYPERLINK("http://flybase.org/reports/FBgn0259785#alliance_summary_container","5E-66")</f>
        <v>5E-66</v>
      </c>
      <c r="BX442" s="2">
        <v>996</v>
      </c>
      <c r="BY442" s="2">
        <v>29</v>
      </c>
      <c r="BZ442" s="2">
        <v>44</v>
      </c>
      <c r="CA442" s="2">
        <v>58</v>
      </c>
      <c r="CB442" s="9" t="str">
        <f>HYPERLINK(".\links\CDD\AGAP006534-PA-CDD.txt","ZF_C2H2, Zinc finger, C2H2 type")</f>
        <v>ZF_C2H2, Zinc finger, C2H2 type</v>
      </c>
      <c r="CC442" s="15">
        <v>3.9999999999999998E-6</v>
      </c>
      <c r="CD442" s="2">
        <v>103.8</v>
      </c>
      <c r="CE442" s="2" t="s">
        <v>569</v>
      </c>
      <c r="CF442" s="2" t="s">
        <v>4719</v>
      </c>
      <c r="CG442" s="9" t="str">
        <f>HYPERLINK(".\links\KOG\AGAP006534-PA-KOG.txt","Aryl-hydrocarbon receptor nuclear translocator")</f>
        <v>Aryl-hydrocarbon receptor nuclear translocator</v>
      </c>
      <c r="CH442" s="15">
        <v>3.9999999999999998E-7</v>
      </c>
      <c r="CI442" s="2">
        <v>42.6</v>
      </c>
      <c r="CJ442" s="2" t="s">
        <v>4720</v>
      </c>
      <c r="CK442" s="2" t="s">
        <v>309</v>
      </c>
      <c r="CL442" s="9" t="str">
        <f>HYPERLINK(".\links\PFAM\AGAP006534-PA-PFAM.txt","PAT1, Topoisomerase II-associated protein PAT1")</f>
        <v>PAT1, Topoisomerase II-associated protein PAT1</v>
      </c>
      <c r="CM442" s="15">
        <v>4.0000000000000002E-4</v>
      </c>
      <c r="CN442" s="2">
        <v>9</v>
      </c>
      <c r="CO442" s="2" t="s">
        <v>3695</v>
      </c>
      <c r="CP442" s="9" t="str">
        <f>HYPERLINK(".\links\SMART\AGAP006534-PA-SMART.txt","ZnF_C2H2, zinc finger")</f>
        <v>ZnF_C2H2, zinc finger</v>
      </c>
      <c r="CQ442" s="15">
        <v>3.0000000000000001E-3</v>
      </c>
      <c r="CR442" s="2">
        <v>100</v>
      </c>
      <c r="CS442" s="2" t="s">
        <v>573</v>
      </c>
      <c r="CT442" s="2" t="s">
        <v>4717</v>
      </c>
      <c r="CU442" s="2" t="s">
        <v>4717</v>
      </c>
      <c r="CV442" s="2" t="s">
        <v>4717</v>
      </c>
      <c r="CW442" s="2" t="str">
        <f>HYPERLINK(".\links\pep\AGAP006534-PA-pep.txt","AGAP006534-PA")</f>
        <v>AGAP006534-PA</v>
      </c>
      <c r="CX442" s="2" t="s">
        <v>95</v>
      </c>
      <c r="CY442" s="2">
        <v>1148</v>
      </c>
      <c r="CZ442" s="2" t="s">
        <v>113</v>
      </c>
      <c r="DA442" s="2" t="s">
        <v>4721</v>
      </c>
      <c r="DB442" s="2">
        <v>0</v>
      </c>
      <c r="DC442" s="2">
        <v>0</v>
      </c>
      <c r="DD442" s="2" t="str">
        <f>HYPERLINK("https://www.kegg.jp/kegg-bin/search_pathway_text?map=aga&amp;keyword=AGAP006534&amp;mode=1&amp;viewImage=true","AGAP006534")</f>
        <v>AGAP006534</v>
      </c>
      <c r="DE442" s="2" t="s">
        <v>4715</v>
      </c>
      <c r="DF442" s="2" t="s">
        <v>93</v>
      </c>
      <c r="DG442" s="2" t="s">
        <v>94</v>
      </c>
      <c r="DH442" s="2" t="str">
        <f>HYPERLINK("https://vectorbase.org/vectorbase/app/record/gene/AGAP006534","AGAP006534-RA")</f>
        <v>AGAP006534-RA</v>
      </c>
      <c r="DI442" s="2" t="s">
        <v>90</v>
      </c>
      <c r="DJ442" s="2">
        <v>8646</v>
      </c>
      <c r="DK442" s="2" t="str">
        <f>HYPERLINK(".\links\netoglyc\AGAP006534-PA-netoglyc.txt","14")</f>
        <v>14</v>
      </c>
      <c r="DL442" s="2">
        <v>19.600000000000001</v>
      </c>
      <c r="DM442" s="2">
        <v>9.5</v>
      </c>
      <c r="DN442" s="2">
        <v>2.9</v>
      </c>
      <c r="DO442" s="2" t="s">
        <v>104</v>
      </c>
      <c r="DP442" s="2" t="s">
        <v>102</v>
      </c>
      <c r="DQ442" s="2" t="str">
        <f>HYPERLINK(".\links\Sigp\AGAP006534-PA-SigP.txt","CYT")</f>
        <v>CYT</v>
      </c>
      <c r="DR442" s="2" t="s">
        <v>102</v>
      </c>
      <c r="DS442" s="2">
        <v>122.59699999999999</v>
      </c>
      <c r="DT442" s="2">
        <v>5.3</v>
      </c>
      <c r="DU442" s="2" t="s">
        <v>102</v>
      </c>
      <c r="DV442" s="2" t="s">
        <v>102</v>
      </c>
      <c r="DW442" s="2" t="s">
        <v>124</v>
      </c>
      <c r="DX442" s="2">
        <v>1148</v>
      </c>
      <c r="DY442" s="12">
        <v>0</v>
      </c>
      <c r="DZ442" s="2" t="s">
        <v>102</v>
      </c>
      <c r="EA442" s="2" t="s">
        <v>102</v>
      </c>
      <c r="EB442" s="2" t="s">
        <v>102</v>
      </c>
      <c r="EC442" s="2" t="str">
        <f>HYPERLINK(".\links\gpi\AGAP006534-PA-gpi.txt","Y-NoSP")</f>
        <v>Y-NoSP</v>
      </c>
      <c r="ED442" s="2">
        <v>0.37</v>
      </c>
      <c r="EF442" s="2">
        <v>17</v>
      </c>
      <c r="EG442" s="2" t="str">
        <f>HYPERLINK(".\links\pep\AGAP006534-PA-sulf.txt","1")</f>
        <v>1</v>
      </c>
      <c r="EH442" s="2" t="s">
        <v>102</v>
      </c>
      <c r="EI442" s="2">
        <v>19.599303135888501</v>
      </c>
      <c r="EJ442" s="2">
        <v>2.8745644599303102</v>
      </c>
      <c r="EK442" s="2">
        <v>9.4947735191637594</v>
      </c>
      <c r="EL442" s="2">
        <v>12.3693379790941</v>
      </c>
      <c r="EM442" s="2" t="s">
        <v>102</v>
      </c>
      <c r="EN442" s="2">
        <v>3</v>
      </c>
      <c r="EO442" s="2">
        <v>3</v>
      </c>
      <c r="EP442" s="2" t="s">
        <v>102</v>
      </c>
      <c r="EQ442" s="2" t="s">
        <v>102</v>
      </c>
      <c r="ER442" s="2" t="s">
        <v>102</v>
      </c>
      <c r="ES442" s="2" t="s">
        <v>102</v>
      </c>
      <c r="ET442" s="2" t="str">
        <f>HYPERLINK(".\links\REFSEQ-INVERTEBRATE\AGAP006534-PA-REFSEQ-INVERTEBRATE.txt","AGAP006534-PB")</f>
        <v>AGAP006534-PB</v>
      </c>
      <c r="EU442" s="2" t="str">
        <f>HYPERLINK("http://www.ncbi.nlm.nih.gov/sutils/blink.cgi?pid=XP_316571.4","0.0")</f>
        <v>0.0</v>
      </c>
      <c r="EV442" s="2" t="str">
        <f>HYPERLINK("http://www.ncbi.nlm.nih.gov/protein/XP_316571.4","XP_316571.4")</f>
        <v>XP_316571.4</v>
      </c>
      <c r="EW442" s="2">
        <v>100</v>
      </c>
      <c r="EX442" s="2">
        <v>100</v>
      </c>
      <c r="EY442" s="2">
        <v>100</v>
      </c>
      <c r="EZ442" s="2" t="s">
        <v>105</v>
      </c>
    </row>
    <row r="443" spans="1:156" x14ac:dyDescent="0.25">
      <c r="A443" s="2" t="s">
        <v>4722</v>
      </c>
      <c r="B443" s="2">
        <v>-0.36896869438721402</v>
      </c>
      <c r="C443" s="2">
        <f t="shared" si="6"/>
        <v>0.77433583029169573</v>
      </c>
      <c r="D443" s="2">
        <v>5.2177561044454599</v>
      </c>
      <c r="E443" s="2">
        <v>10.8682822081624</v>
      </c>
      <c r="F443" s="2">
        <v>9.7825224075636795E-4</v>
      </c>
      <c r="G443" s="2">
        <v>3.1950330044713503E-2</v>
      </c>
      <c r="H443" s="2" t="s">
        <v>93</v>
      </c>
      <c r="I443" s="2" t="s">
        <v>94</v>
      </c>
      <c r="J443" s="2" t="str">
        <f>HYPERLINK("https://vectorbase.org/vectorbase/app/record/gene/AGAP011964","AGAP011964-RA")</f>
        <v>AGAP011964-RA</v>
      </c>
      <c r="K443" s="2" t="str">
        <f>HYPERLINK(".\links\pep\AGAP011964-PA-pep.txt","AGAP011964-PA")</f>
        <v>AGAP011964-PA</v>
      </c>
      <c r="L443" s="12" t="s">
        <v>95</v>
      </c>
      <c r="M443" s="2">
        <v>609</v>
      </c>
      <c r="N443" s="2">
        <v>0</v>
      </c>
      <c r="O443" s="2">
        <v>0</v>
      </c>
      <c r="P443" s="2" t="s">
        <v>102</v>
      </c>
      <c r="Q443" s="9" t="s">
        <v>4723</v>
      </c>
      <c r="R443" s="2" t="s">
        <v>1825</v>
      </c>
      <c r="S443" s="2" t="str">
        <f>HYPERLINK(".\links\REFSEQ-INVERTEBRATE\AGAP011964-PA-REFSEQ-INVERTEBRATE.txt","REFSEQ-INVERTEBRATE")</f>
        <v>REFSEQ-INVERTEBRATE</v>
      </c>
      <c r="T443" s="2">
        <v>0</v>
      </c>
      <c r="U443" s="2">
        <v>100.4</v>
      </c>
      <c r="V443" s="2" t="s">
        <v>4724</v>
      </c>
      <c r="W443" s="10" t="s">
        <v>4725</v>
      </c>
      <c r="X443" s="2" t="s">
        <v>1825</v>
      </c>
      <c r="Y443" s="2" t="str">
        <f>HYPERLINK(".\links\REFSEQVERTEBRATE95\AGAP011964-PA-REFSEQVERTEBRATE95.txt","REFSEQVERTEBRATE95")</f>
        <v>REFSEQVERTEBRATE95</v>
      </c>
      <c r="Z443" s="15">
        <v>0</v>
      </c>
      <c r="AA443" s="2">
        <v>101.8</v>
      </c>
      <c r="AB443" s="13" t="s">
        <v>102</v>
      </c>
      <c r="AC443" s="13" t="str">
        <f>HYPERLINK(".\links\Sigp\AGAP011964-PA-SigP.txt","BL")</f>
        <v>BL</v>
      </c>
      <c r="AD443" s="2" t="s">
        <v>4726</v>
      </c>
      <c r="AE443" s="2">
        <v>68.790000000000006</v>
      </c>
      <c r="AF443" s="2">
        <v>5.63</v>
      </c>
      <c r="AG443" s="2">
        <v>65.540000000000006</v>
      </c>
      <c r="AH443" s="2">
        <v>5.45</v>
      </c>
      <c r="AI443" s="2" t="s">
        <v>4727</v>
      </c>
      <c r="AJ443" s="13" t="str">
        <f>HYPERLINK(".\links\tmhmm\AGAP011964-PA-tmhmm.txt","1")</f>
        <v>1</v>
      </c>
      <c r="AK443" s="2">
        <v>3.6</v>
      </c>
      <c r="AL443" s="2">
        <v>92.8</v>
      </c>
      <c r="AM443" s="2">
        <v>3.6</v>
      </c>
      <c r="AN443" s="13" t="str">
        <f>HYPERLINK(".\links\gpi\AGAP011964-PA-gpi.txt","N")</f>
        <v>N</v>
      </c>
      <c r="AO443" s="14" t="str">
        <f>HYPERLINK(".\links\netoglyc\AGAP011964-PA-netoglyc.txt","1")</f>
        <v>1</v>
      </c>
      <c r="AP443" s="13">
        <v>12.2</v>
      </c>
      <c r="AQ443" s="2">
        <v>6.7</v>
      </c>
      <c r="AR443" s="2">
        <v>5.3</v>
      </c>
      <c r="AS443" s="2" t="s">
        <v>104</v>
      </c>
      <c r="AT443" s="9" t="str">
        <f>HYPERLINK(".\links\NR-LIGHT\AGAP011964-PA-NR-LIGHT.txt","AGAP011964-PA")</f>
        <v>AGAP011964-PA</v>
      </c>
      <c r="AU443" s="2" t="str">
        <f>HYPERLINK("http://www.ncbi.nlm.nih.gov/sutils/blink.cgi?pid=XP_320569.3","0.0")</f>
        <v>0.0</v>
      </c>
      <c r="AV443" s="2" t="str">
        <f>HYPERLINK("http://www.ncbi.nlm.nih.gov/protein/XP_320569.3","XP_320569.3")</f>
        <v>XP_320569.3</v>
      </c>
      <c r="AW443" s="2">
        <v>100</v>
      </c>
      <c r="AX443" s="2">
        <v>100</v>
      </c>
      <c r="AY443" s="2">
        <v>100</v>
      </c>
      <c r="AZ443" s="2" t="s">
        <v>105</v>
      </c>
      <c r="BA443" s="9" t="str">
        <f>HYPERLINK(".\links\REFSEQ-INVERTEBRATE\AGAP011964-PA-REFSEQ-INVERTEBRATE.txt","AGAP011964-PA")</f>
        <v>AGAP011964-PA</v>
      </c>
      <c r="BB443" s="2" t="str">
        <f>HYPERLINK("http://www.ncbi.nlm.nih.gov/sutils/blink.cgi?pid=XP_320569.3","0.0")</f>
        <v>0.0</v>
      </c>
      <c r="BC443" s="2" t="str">
        <f>HYPERLINK("http://www.ncbi.nlm.nih.gov/protein/XP_320569.3","XP_320569.3")</f>
        <v>XP_320569.3</v>
      </c>
      <c r="BD443" s="2">
        <v>100</v>
      </c>
      <c r="BE443" s="2">
        <v>100</v>
      </c>
      <c r="BF443" s="2">
        <v>100</v>
      </c>
      <c r="BG443" s="2" t="s">
        <v>105</v>
      </c>
      <c r="BH443" s="9" t="str">
        <f>HYPERLINK(".\links\REFSEQ-PROTOZOA\AGAP011964-PA-REFSEQ-PROTOZOA.txt","putative integrin alpha FG-GAP repeat-containing protein")</f>
        <v>putative integrin alpha FG-GAP repeat-containing protein</v>
      </c>
      <c r="BI443" s="2" t="str">
        <f>HYPERLINK("http://www.ncbi.nlm.nih.gov/sutils/blink.cgi?pid=XP_020437162.1","2E-051")</f>
        <v>2E-051</v>
      </c>
      <c r="BJ443" s="2" t="str">
        <f>HYPERLINK("http://www.ncbi.nlm.nih.gov/protein/XP_020437162.1","XP_020437162.1")</f>
        <v>XP_020437162.1</v>
      </c>
      <c r="BK443" s="2">
        <v>28</v>
      </c>
      <c r="BL443" s="2">
        <v>43</v>
      </c>
      <c r="BM443" s="2">
        <v>44</v>
      </c>
      <c r="BN443" s="2" t="s">
        <v>762</v>
      </c>
      <c r="BO443" s="9" t="str">
        <f>HYPERLINK(".\links\SWISSP\AGAP011964-PA-SWISSP.txt","T-cell immunomodulatory protein")</f>
        <v>T-cell immunomodulatory protein</v>
      </c>
      <c r="BP443" s="2" t="str">
        <f>HYPERLINK("http://www.uniprot.org/uniprot/Q8TB96","2E-094")</f>
        <v>2E-094</v>
      </c>
      <c r="BQ443" s="2" t="str">
        <f>HYPERLINK("http://www.uniprot.org/uniprot/Q8TB96#expression","Q8TB96")</f>
        <v>Q8TB96</v>
      </c>
      <c r="BR443" s="2">
        <v>36</v>
      </c>
      <c r="BS443" s="2">
        <v>53</v>
      </c>
      <c r="BT443" s="2">
        <v>100</v>
      </c>
      <c r="BU443" s="2" t="s">
        <v>127</v>
      </c>
      <c r="BV443" s="9" t="str">
        <f>HYPERLINK(".\links\FLYBASE\AGAP011964-PA-FLYBASE.txt","FBpp0075349")</f>
        <v>FBpp0075349</v>
      </c>
      <c r="BW443" s="2" t="str">
        <f>HYPERLINK("http://flybase.org/reports/FBgn0036509#alliance_summary_container","0.0")</f>
        <v>0.0</v>
      </c>
      <c r="BX443" s="2">
        <v>596</v>
      </c>
      <c r="BY443" s="2">
        <v>54</v>
      </c>
      <c r="BZ443" s="2">
        <v>68</v>
      </c>
      <c r="CA443" s="2">
        <v>99</v>
      </c>
      <c r="CB443" s="9" t="str">
        <f>HYPERLINK(".\links\CDD\AGAP011964-PA-CDD.txt","VCBS, Repeat domain in Vibrio, Colwellia, Bradyrhizobium and Shewanella")</f>
        <v>VCBS, Repeat domain in Vibrio, Colwellia, Bradyrhizobium and Shewanella</v>
      </c>
      <c r="CC443" s="15">
        <v>5.0000000000000001E-3</v>
      </c>
      <c r="CD443" s="2">
        <v>103.3</v>
      </c>
      <c r="CE443" s="2" t="s">
        <v>4728</v>
      </c>
      <c r="CF443" s="2" t="s">
        <v>4729</v>
      </c>
      <c r="CG443" s="9" t="str">
        <f>HYPERLINK(".\links\KOG\AGAP011964-PA-KOG.txt","Predicted membrane protein")</f>
        <v>Predicted membrane protein</v>
      </c>
      <c r="CH443" s="15">
        <v>1.0000000000000001E-152</v>
      </c>
      <c r="CI443" s="2">
        <v>100.7</v>
      </c>
      <c r="CJ443" s="2" t="s">
        <v>4730</v>
      </c>
      <c r="CK443" s="2" t="s">
        <v>284</v>
      </c>
      <c r="CL443" s="9" t="str">
        <f>HYPERLINK(".\links\PFAM\AGAP011964-PA-PFAM.txt","VCBS, Repeat domain in Vibrio, Colwellia, Bradyrhizobium and Shewanella")</f>
        <v>VCBS, Repeat domain in Vibrio, Colwellia, Bradyrhizobium and Shewanella</v>
      </c>
      <c r="CM443" s="15">
        <v>1E-3</v>
      </c>
      <c r="CN443" s="2">
        <v>103.3</v>
      </c>
      <c r="CO443" s="2" t="s">
        <v>4728</v>
      </c>
      <c r="CP443" s="9" t="str">
        <f>HYPERLINK(".\links\SMART\AGAP011964-PA-SMART.txt","Int_alpha, Integrin alpha (beta-propellor repeats)")</f>
        <v>Int_alpha, Integrin alpha (beta-propellor repeats)</v>
      </c>
      <c r="CQ443" s="15">
        <v>0.64</v>
      </c>
      <c r="CR443" s="2">
        <v>24.6</v>
      </c>
      <c r="CS443" s="2" t="s">
        <v>4731</v>
      </c>
      <c r="CT443" s="2" t="s">
        <v>4724</v>
      </c>
      <c r="CU443" s="2" t="s">
        <v>4724</v>
      </c>
      <c r="CV443" s="2" t="s">
        <v>4724</v>
      </c>
      <c r="CW443" s="2" t="str">
        <f>HYPERLINK(".\links\pep\AGAP011964-PA-pep.txt","AGAP011964-PA")</f>
        <v>AGAP011964-PA</v>
      </c>
      <c r="CX443" s="2" t="s">
        <v>95</v>
      </c>
      <c r="CY443" s="2">
        <v>609</v>
      </c>
      <c r="CZ443" s="2" t="s">
        <v>113</v>
      </c>
      <c r="DA443" s="2" t="s">
        <v>4732</v>
      </c>
      <c r="DB443" s="2">
        <v>0</v>
      </c>
      <c r="DC443" s="2">
        <v>0</v>
      </c>
      <c r="DD443" s="2" t="str">
        <f>HYPERLINK("https://www.kegg.jp/kegg-bin/search_pathway_text?map=aga&amp;keyword=AGAP011964&amp;mode=1&amp;viewImage=true","AGAP011964")</f>
        <v>AGAP011964</v>
      </c>
      <c r="DE443" s="2" t="s">
        <v>4722</v>
      </c>
      <c r="DF443" s="2" t="s">
        <v>93</v>
      </c>
      <c r="DG443" s="2" t="s">
        <v>94</v>
      </c>
      <c r="DH443" s="2" t="str">
        <f>HYPERLINK("https://vectorbase.org/vectorbase/app/record/gene/AGAP011964","AGAP011964-RA")</f>
        <v>AGAP011964-RA</v>
      </c>
      <c r="DI443" s="2" t="s">
        <v>90</v>
      </c>
      <c r="DJ443" s="2">
        <v>2557</v>
      </c>
      <c r="DK443" s="2" t="str">
        <f>HYPERLINK(".\links\netoglyc\AGAP011964-PA-netoglyc.txt","1")</f>
        <v>1</v>
      </c>
      <c r="DL443" s="2">
        <v>12.2</v>
      </c>
      <c r="DM443" s="2">
        <v>6.7</v>
      </c>
      <c r="DN443" s="2">
        <v>5.3</v>
      </c>
      <c r="DO443" s="2" t="s">
        <v>104</v>
      </c>
      <c r="DP443" s="2" t="s">
        <v>4733</v>
      </c>
      <c r="DQ443" s="2" t="str">
        <f>HYPERLINK(".\links\Sigp\AGAP011964-PA-SigP.txt","BL")</f>
        <v>BL</v>
      </c>
      <c r="DR443" s="2" t="s">
        <v>4726</v>
      </c>
      <c r="DS443" s="2">
        <v>68.790000000000006</v>
      </c>
      <c r="DT443" s="2">
        <v>5.63</v>
      </c>
      <c r="DU443" s="2">
        <v>65.540000000000006</v>
      </c>
      <c r="DV443" s="2">
        <v>5.45</v>
      </c>
      <c r="DW443" s="2" t="s">
        <v>4727</v>
      </c>
      <c r="DX443" s="2">
        <v>609</v>
      </c>
      <c r="DY443" s="12" t="str">
        <f>HYPERLINK(".\links\tmhmm\AGAP011964-PA-tmhmm.txt","1")</f>
        <v>1</v>
      </c>
      <c r="DZ443" s="2">
        <v>3.6</v>
      </c>
      <c r="EA443" s="2">
        <v>92.8</v>
      </c>
      <c r="EB443" s="2">
        <v>3.6</v>
      </c>
      <c r="EC443" s="2" t="str">
        <f>HYPERLINK(".\links\gpi\AGAP011964-PA-gpi.txt","N")</f>
        <v>N</v>
      </c>
      <c r="ED443" s="2">
        <v>0.25</v>
      </c>
      <c r="EF443" s="2">
        <v>7</v>
      </c>
      <c r="EG443" s="2" t="s">
        <v>102</v>
      </c>
      <c r="EH443" s="2" t="s">
        <v>102</v>
      </c>
      <c r="EI443" s="2">
        <v>12.151067323481101</v>
      </c>
      <c r="EJ443" s="2">
        <v>5.2545155993431898</v>
      </c>
      <c r="EK443" s="2">
        <v>6.7323481116584603</v>
      </c>
      <c r="EL443" s="2">
        <v>11.9868637110016</v>
      </c>
      <c r="EM443" s="2">
        <v>1</v>
      </c>
      <c r="EN443" s="2" t="s">
        <v>102</v>
      </c>
      <c r="EO443" s="2">
        <v>2</v>
      </c>
      <c r="EP443" s="2" t="s">
        <v>102</v>
      </c>
      <c r="EQ443" s="2" t="s">
        <v>102</v>
      </c>
      <c r="ER443" s="2" t="s">
        <v>102</v>
      </c>
      <c r="ES443" s="2" t="s">
        <v>102</v>
      </c>
      <c r="ET443" s="2" t="str">
        <f>HYPERLINK(".\links\REFSEQ-INVERTEBRATE\AGAP011964-PA-REFSEQ-INVERTEBRATE.txt","AGAP011964-PA")</f>
        <v>AGAP011964-PA</v>
      </c>
      <c r="EU443" s="2" t="str">
        <f>HYPERLINK("http://www.ncbi.nlm.nih.gov/sutils/blink.cgi?pid=XP_320569.3","0.0")</f>
        <v>0.0</v>
      </c>
      <c r="EV443" s="2" t="str">
        <f>HYPERLINK("http://www.ncbi.nlm.nih.gov/protein/XP_320569.3","XP_320569.3")</f>
        <v>XP_320569.3</v>
      </c>
      <c r="EW443" s="2">
        <v>100</v>
      </c>
      <c r="EX443" s="2">
        <v>100</v>
      </c>
      <c r="EY443" s="2">
        <v>100</v>
      </c>
      <c r="EZ443" s="2" t="s">
        <v>105</v>
      </c>
    </row>
    <row r="444" spans="1:156" x14ac:dyDescent="0.25">
      <c r="A444" s="2" t="s">
        <v>4734</v>
      </c>
      <c r="B444" s="2">
        <v>-0.36985944678291199</v>
      </c>
      <c r="C444" s="2">
        <f t="shared" si="6"/>
        <v>0.77385788548061851</v>
      </c>
      <c r="D444" s="2">
        <v>8.6301153461360496</v>
      </c>
      <c r="E444" s="2">
        <v>8.9483874443283309</v>
      </c>
      <c r="F444" s="2">
        <v>2.7771462718234E-3</v>
      </c>
      <c r="G444" s="2">
        <v>4.8612391667530397E-2</v>
      </c>
      <c r="H444" s="2" t="s">
        <v>4735</v>
      </c>
      <c r="I444" s="2" t="s">
        <v>94</v>
      </c>
      <c r="J444" s="2" t="str">
        <f>HYPERLINK("https://vectorbase.org/vectorbase/app/record/gene/AGAP012252","AGAP012252-RA")</f>
        <v>AGAP012252-RA</v>
      </c>
      <c r="K444" s="2" t="str">
        <f>HYPERLINK(".\links\pep\AGAP012252-PA-pep.txt","AGAP012252-PA")</f>
        <v>AGAP012252-PA</v>
      </c>
      <c r="L444" s="12" t="s">
        <v>95</v>
      </c>
      <c r="M444" s="2">
        <v>670</v>
      </c>
      <c r="N444" s="2">
        <v>0</v>
      </c>
      <c r="O444" s="2">
        <v>2</v>
      </c>
      <c r="P444" s="2" t="s">
        <v>4736</v>
      </c>
      <c r="Q444" s="9" t="s">
        <v>4737</v>
      </c>
      <c r="R444" s="2" t="s">
        <v>355</v>
      </c>
      <c r="S444" s="2" t="str">
        <f>HYPERLINK(".\links\KOG\AGAP012252-PA-KOG.txt","KOG")</f>
        <v>KOG</v>
      </c>
      <c r="T444" s="2">
        <v>0</v>
      </c>
      <c r="U444" s="2">
        <v>56.3</v>
      </c>
      <c r="V444" s="2" t="s">
        <v>4738</v>
      </c>
      <c r="W444" s="10" t="s">
        <v>4739</v>
      </c>
      <c r="X444" s="2" t="s">
        <v>355</v>
      </c>
      <c r="Y444" s="2" t="str">
        <f>HYPERLINK(".\links\REFSEQ-PROTOZOA\AGAP012252-PA-REFSEQ-PROTOZOA.txt","REFSEQ-PROTOZOA")</f>
        <v>REFSEQ-PROTOZOA</v>
      </c>
      <c r="Z444" s="2">
        <v>0</v>
      </c>
      <c r="AA444" s="2">
        <v>79.900000000000006</v>
      </c>
      <c r="AB444" s="13" t="str">
        <f>HYPERLINK(".\links\pep\AGAP012252-PA-sulf.txt","2")</f>
        <v>2</v>
      </c>
      <c r="AC444" s="13" t="str">
        <f>HYPERLINK(".\links\Sigp\AGAP012252-PA-SigP.txt","CYT")</f>
        <v>CYT</v>
      </c>
      <c r="AD444" s="2" t="s">
        <v>102</v>
      </c>
      <c r="AE444" s="2">
        <v>76.989000000000004</v>
      </c>
      <c r="AF444" s="2">
        <v>6.64</v>
      </c>
      <c r="AG444" s="2" t="s">
        <v>102</v>
      </c>
      <c r="AH444" s="2" t="s">
        <v>102</v>
      </c>
      <c r="AI444" s="2" t="s">
        <v>696</v>
      </c>
      <c r="AJ444" s="13">
        <v>0</v>
      </c>
      <c r="AK444" s="2" t="s">
        <v>102</v>
      </c>
      <c r="AL444" s="2" t="s">
        <v>102</v>
      </c>
      <c r="AM444" s="2" t="s">
        <v>102</v>
      </c>
      <c r="AN444" s="13" t="str">
        <f>HYPERLINK(".\links\gpi\AGAP012252-PA-gpi.txt","N")</f>
        <v>N</v>
      </c>
      <c r="AO444" s="14" t="str">
        <f>HYPERLINK(".\links\netoglyc\AGAP012252-PA-netoglyc.txt","0")</f>
        <v>0</v>
      </c>
      <c r="AP444" s="13">
        <v>8.8000000000000007</v>
      </c>
      <c r="AQ444" s="2">
        <v>6.7</v>
      </c>
      <c r="AR444" s="2">
        <v>4.8</v>
      </c>
      <c r="AS444" s="2" t="s">
        <v>104</v>
      </c>
      <c r="AT444" s="9" t="str">
        <f>HYPERLINK(".\links\NR-LIGHT\AGAP012252-PA-NR-LIGHT.txt","AGAP012252-PA-like protein")</f>
        <v>AGAP012252-PA-like protein</v>
      </c>
      <c r="AU444" s="2" t="str">
        <f>HYPERLINK("http://www.ncbi.nlm.nih.gov/sutils/blink.cgi?pid=KFB53884.1","0.0")</f>
        <v>0.0</v>
      </c>
      <c r="AV444" s="2" t="str">
        <f>HYPERLINK("http://www.ncbi.nlm.nih.gov/protein/KFB53884.1","KFB53884.1")</f>
        <v>KFB53884.1</v>
      </c>
      <c r="AW444" s="2">
        <v>95</v>
      </c>
      <c r="AX444" s="2">
        <v>96</v>
      </c>
      <c r="AY444" s="2">
        <v>101</v>
      </c>
      <c r="AZ444" s="2" t="s">
        <v>1522</v>
      </c>
      <c r="BA444" s="9" t="str">
        <f>HYPERLINK(".\links\REFSEQ-INVERTEBRATE\AGAP012252-PA-REFSEQ-INVERTEBRATE.txt","AGAP012252-PA, partial")</f>
        <v>AGAP012252-PA, partial</v>
      </c>
      <c r="BB444" s="2" t="str">
        <f>HYPERLINK("http://www.ncbi.nlm.nih.gov/sutils/blink.cgi?pid=XP_320290.4","0.0")</f>
        <v>0.0</v>
      </c>
      <c r="BC444" s="2" t="str">
        <f>HYPERLINK("http://www.ncbi.nlm.nih.gov/protein/XP_320290.4","XP_320290.4")</f>
        <v>XP_320290.4</v>
      </c>
      <c r="BD444" s="2">
        <v>94</v>
      </c>
      <c r="BE444" s="2">
        <v>95</v>
      </c>
      <c r="BF444" s="2">
        <v>99</v>
      </c>
      <c r="BG444" s="2" t="s">
        <v>105</v>
      </c>
      <c r="BH444" s="9" t="str">
        <f>HYPERLINK(".\links\REFSEQ-PROTOZOA\AGAP012252-PA-REFSEQ-PROTOZOA.txt","hypothetical protein")</f>
        <v>hypothetical protein</v>
      </c>
      <c r="BI444" s="2" t="str">
        <f>HYPERLINK("http://www.ncbi.nlm.nih.gov/sutils/blink.cgi?pid=XP_001748495.1","1E-128")</f>
        <v>1E-128</v>
      </c>
      <c r="BJ444" s="2" t="str">
        <f>HYPERLINK("http://www.ncbi.nlm.nih.gov/protein/XP_001748495.1","XP_001748495.1")</f>
        <v>XP_001748495.1</v>
      </c>
      <c r="BK444" s="2">
        <v>47</v>
      </c>
      <c r="BL444" s="2">
        <v>65</v>
      </c>
      <c r="BM444" s="2">
        <v>79</v>
      </c>
      <c r="BN444" s="2" t="s">
        <v>248</v>
      </c>
      <c r="BO444" s="9" t="str">
        <f>HYPERLINK(".\links\SWISSP\AGAP012252-PA-SWISSP.txt","Protein kinase C, brain isozyme")</f>
        <v>Protein kinase C, brain isozyme</v>
      </c>
      <c r="BP444" s="2" t="str">
        <f>HYPERLINK("http://www.uniprot.org/uniprot/P05130","0.0")</f>
        <v>0.0</v>
      </c>
      <c r="BQ444" s="2" t="str">
        <f>HYPERLINK("http://www.uniprot.org/uniprot/P05130#expression","P05130")</f>
        <v>P05130</v>
      </c>
      <c r="BR444" s="2">
        <v>80</v>
      </c>
      <c r="BS444" s="2">
        <v>89</v>
      </c>
      <c r="BT444" s="2">
        <v>97</v>
      </c>
      <c r="BU444" s="2" t="s">
        <v>107</v>
      </c>
      <c r="BV444" s="9" t="str">
        <f>HYPERLINK(".\links\FLYBASE\AGAP012252-PA-FLYBASE.txt","FBpp0086197")</f>
        <v>FBpp0086197</v>
      </c>
      <c r="BW444" s="2" t="str">
        <f>HYPERLINK("http://flybase.org/reports/FBgn0003091#alliance_summary_container","0.0")</f>
        <v>0.0</v>
      </c>
      <c r="BX444" s="2">
        <v>679</v>
      </c>
      <c r="BY444" s="2">
        <v>80</v>
      </c>
      <c r="BZ444" s="2">
        <v>89</v>
      </c>
      <c r="CA444" s="2">
        <v>97</v>
      </c>
      <c r="CB444" s="9" t="str">
        <f>HYPERLINK(".\links\CDD\AGAP012252-PA-CDD.txt","STKc_cPKC, Catalytic domain of the Serine/Threonine Kinase, Classical (or Conventional) Protein Kinase C")</f>
        <v>STKc_cPKC, Catalytic domain of the Serine/Threonine Kinase, Classical (or Conventional) Protein Kinase C</v>
      </c>
      <c r="CC444" s="15">
        <v>0</v>
      </c>
      <c r="CD444" s="2">
        <v>100</v>
      </c>
      <c r="CE444" s="2" t="s">
        <v>4740</v>
      </c>
      <c r="CF444" s="2" t="s">
        <v>4741</v>
      </c>
      <c r="CG444" s="9" t="str">
        <f>HYPERLINK(".\links\KOG\AGAP012252-PA-KOG.txt","Serine/threonine protein kinase")</f>
        <v>Serine/threonine protein kinase</v>
      </c>
      <c r="CH444" s="15">
        <v>0</v>
      </c>
      <c r="CI444" s="2">
        <v>98.8</v>
      </c>
      <c r="CJ444" s="2" t="s">
        <v>4742</v>
      </c>
      <c r="CK444" s="2" t="s">
        <v>173</v>
      </c>
      <c r="CL444" s="9" t="str">
        <f>HYPERLINK(".\links\PFAM\AGAP012252-PA-PFAM.txt","Pkinase, Protein kinase domain")</f>
        <v>Pkinase, Protein kinase domain</v>
      </c>
      <c r="CM444" s="15">
        <v>6.0000000000000001E-74</v>
      </c>
      <c r="CN444" s="2">
        <v>104</v>
      </c>
      <c r="CO444" s="2" t="s">
        <v>1574</v>
      </c>
      <c r="CP444" s="9" t="str">
        <f>HYPERLINK(".\links\SMART\AGAP012252-PA-SMART.txt","S_TKc, Serine/Threonine protein kinases, catalytic domain")</f>
        <v>S_TKc, Serine/Threonine protein kinases, catalytic domain</v>
      </c>
      <c r="CQ444" s="15">
        <v>7.0000000000000006E-83</v>
      </c>
      <c r="CR444" s="2">
        <v>103.5</v>
      </c>
      <c r="CS444" s="2" t="s">
        <v>1575</v>
      </c>
      <c r="CT444" s="2" t="s">
        <v>4738</v>
      </c>
      <c r="CU444" s="2" t="s">
        <v>4738</v>
      </c>
      <c r="CV444" s="2" t="s">
        <v>4738</v>
      </c>
      <c r="CW444" s="2" t="str">
        <f>HYPERLINK(".\links\pep\AGAP012252-PA-pep.txt","AGAP012252-PA")</f>
        <v>AGAP012252-PA</v>
      </c>
      <c r="CX444" s="2" t="s">
        <v>95</v>
      </c>
      <c r="CY444" s="2">
        <v>670</v>
      </c>
      <c r="CZ444" s="2" t="s">
        <v>113</v>
      </c>
      <c r="DA444" s="2" t="s">
        <v>4743</v>
      </c>
      <c r="DB444" s="2">
        <v>0</v>
      </c>
      <c r="DC444" s="2">
        <v>2</v>
      </c>
      <c r="DD444" s="2" t="str">
        <f>HYPERLINK("https://www.kegg.jp/kegg-bin/search_pathway_text?map=aga&amp;keyword=AGAP012252&amp;mode=1&amp;viewImage=true","AGAP012252")</f>
        <v>AGAP012252</v>
      </c>
      <c r="DE444" s="2" t="s">
        <v>4734</v>
      </c>
      <c r="DF444" s="2" t="s">
        <v>4735</v>
      </c>
      <c r="DG444" s="2" t="s">
        <v>94</v>
      </c>
      <c r="DH444" s="2" t="str">
        <f>HYPERLINK("https://vectorbase.org/vectorbase/app/record/gene/AGAP012252","AGAP012252-RA")</f>
        <v>AGAP012252-RA</v>
      </c>
      <c r="DI444" s="2" t="s">
        <v>135</v>
      </c>
      <c r="DJ444" s="2">
        <v>9518</v>
      </c>
      <c r="DK444" s="2" t="str">
        <f>HYPERLINK(".\links\netoglyc\AGAP012252-PA-netoglyc.txt","0")</f>
        <v>0</v>
      </c>
      <c r="DL444" s="2">
        <v>8.8000000000000007</v>
      </c>
      <c r="DM444" s="2">
        <v>6.7</v>
      </c>
      <c r="DN444" s="2">
        <v>4.8</v>
      </c>
      <c r="DO444" s="2" t="s">
        <v>104</v>
      </c>
      <c r="DP444" s="2" t="s">
        <v>102</v>
      </c>
      <c r="DQ444" s="2" t="str">
        <f>HYPERLINK(".\links\Sigp\AGAP012252-PA-SigP.txt","CYT")</f>
        <v>CYT</v>
      </c>
      <c r="DR444" s="2" t="s">
        <v>102</v>
      </c>
      <c r="DS444" s="2">
        <v>76.989000000000004</v>
      </c>
      <c r="DT444" s="2">
        <v>6.64</v>
      </c>
      <c r="DU444" s="2" t="s">
        <v>102</v>
      </c>
      <c r="DV444" s="2" t="s">
        <v>102</v>
      </c>
      <c r="DW444" s="2" t="s">
        <v>696</v>
      </c>
      <c r="DX444" s="2">
        <v>670</v>
      </c>
      <c r="DY444" s="12">
        <v>0</v>
      </c>
      <c r="DZ444" s="2" t="s">
        <v>102</v>
      </c>
      <c r="EA444" s="2" t="s">
        <v>102</v>
      </c>
      <c r="EB444" s="2" t="s">
        <v>102</v>
      </c>
      <c r="EC444" s="2" t="str">
        <f>HYPERLINK(".\links\gpi\AGAP012252-PA-gpi.txt","N")</f>
        <v>N</v>
      </c>
      <c r="ED444" s="2">
        <v>0.25</v>
      </c>
      <c r="EF444" s="2">
        <v>22</v>
      </c>
      <c r="EG444" s="2" t="str">
        <f>HYPERLINK(".\links\pep\AGAP012252-PA-sulf.txt","2")</f>
        <v>2</v>
      </c>
      <c r="EH444" s="2" t="s">
        <v>102</v>
      </c>
      <c r="EI444" s="2">
        <v>8.8059701492537297</v>
      </c>
      <c r="EJ444" s="2">
        <v>4.7761194029850698</v>
      </c>
      <c r="EK444" s="2">
        <v>6.7164179104477597</v>
      </c>
      <c r="EL444" s="2">
        <v>11.4925373134328</v>
      </c>
      <c r="EM444" s="2" t="s">
        <v>102</v>
      </c>
      <c r="EN444" s="2">
        <v>5</v>
      </c>
      <c r="EO444" s="2">
        <v>5</v>
      </c>
      <c r="EP444" s="2" t="s">
        <v>102</v>
      </c>
      <c r="EQ444" s="2" t="s">
        <v>102</v>
      </c>
      <c r="ER444" s="2" t="s">
        <v>102</v>
      </c>
      <c r="ES444" s="2" t="s">
        <v>102</v>
      </c>
      <c r="ET444" s="2" t="str">
        <f>HYPERLINK(".\links\REFSEQ-INVERTEBRATE\AGAP012252-PA-REFSEQ-INVERTEBRATE.txt","protein kinase C, brain isozyme-like isoform X1")</f>
        <v>protein kinase C, brain isozyme-like isoform X1</v>
      </c>
      <c r="EU444" s="2" t="str">
        <f>HYPERLINK("http://www.ncbi.nlm.nih.gov/sutils/blink.cgi?pid=XP_035891921.1","0.0")</f>
        <v>0.0</v>
      </c>
      <c r="EV444" s="2" t="str">
        <f>HYPERLINK("http://www.ncbi.nlm.nih.gov/protein/XP_035891921.1","XP_035891921.1")</f>
        <v>XP_035891921.1</v>
      </c>
      <c r="EW444" s="2">
        <v>96</v>
      </c>
      <c r="EX444" s="2">
        <v>97</v>
      </c>
      <c r="EY444" s="2">
        <v>101</v>
      </c>
      <c r="EZ444" s="2" t="s">
        <v>370</v>
      </c>
    </row>
    <row r="445" spans="1:156" x14ac:dyDescent="0.25">
      <c r="A445" s="2" t="s">
        <v>4744</v>
      </c>
      <c r="B445" s="2">
        <v>-0.37106174458982899</v>
      </c>
      <c r="C445" s="2">
        <f t="shared" si="6"/>
        <v>0.77321324469840502</v>
      </c>
      <c r="D445" s="2">
        <v>8.0426635382716398</v>
      </c>
      <c r="E445" s="2">
        <v>12.2273099458404</v>
      </c>
      <c r="F445" s="2">
        <v>4.7095050483769398E-4</v>
      </c>
      <c r="G445" s="2">
        <v>2.4952780780513301E-2</v>
      </c>
      <c r="H445" s="2" t="s">
        <v>4745</v>
      </c>
      <c r="I445" s="2" t="s">
        <v>94</v>
      </c>
      <c r="J445" s="2" t="str">
        <f>HYPERLINK("https://vectorbase.org/vectorbase/app/record/gene/AGAP000313","AGAP000313-RA")</f>
        <v>AGAP000313-RA</v>
      </c>
      <c r="K445" s="2" t="str">
        <f>HYPERLINK(".\links\pep\AGAP000313-PA-pep.txt","AGAP000313-PA")</f>
        <v>AGAP000313-PA</v>
      </c>
      <c r="L445" s="12" t="s">
        <v>95</v>
      </c>
      <c r="M445" s="2">
        <v>493</v>
      </c>
      <c r="N445" s="2">
        <v>0</v>
      </c>
      <c r="O445" s="2">
        <v>2</v>
      </c>
      <c r="P445" s="2" t="s">
        <v>4746</v>
      </c>
      <c r="Q445" s="9" t="s">
        <v>4747</v>
      </c>
      <c r="R445" s="2" t="s">
        <v>1558</v>
      </c>
      <c r="S445" s="2" t="str">
        <f>HYPERLINK(".\links\CDD\AGAP000313-PA-CDD.txt","CDD")</f>
        <v>CDD</v>
      </c>
      <c r="T445" s="2">
        <v>0</v>
      </c>
      <c r="U445" s="2">
        <v>98.8</v>
      </c>
      <c r="V445" s="2" t="s">
        <v>4748</v>
      </c>
      <c r="W445" s="10" t="s">
        <v>183</v>
      </c>
      <c r="X445" s="2" t="s">
        <v>781</v>
      </c>
      <c r="Y445" s="2" t="str">
        <f>HYPERLINK(".\links\COG\AGAP000313-PA-COG.txt","COG")</f>
        <v>COG</v>
      </c>
      <c r="Z445" s="15">
        <v>4.0000000000000002E-62</v>
      </c>
      <c r="AA445" s="2">
        <v>94.8</v>
      </c>
      <c r="AB445" s="13" t="str">
        <f>HYPERLINK(".\links\pep\AGAP000313-PA-sulf.txt","2")</f>
        <v>2</v>
      </c>
      <c r="AC445" s="13" t="str">
        <f>HYPERLINK(".\links\Sigp\AGAP000313-PA-SigP.txt","CYT")</f>
        <v>CYT</v>
      </c>
      <c r="AD445" s="2" t="s">
        <v>102</v>
      </c>
      <c r="AE445" s="2">
        <v>54.000999999999998</v>
      </c>
      <c r="AF445" s="2">
        <v>6.47</v>
      </c>
      <c r="AG445" s="2" t="s">
        <v>102</v>
      </c>
      <c r="AH445" s="2" t="s">
        <v>102</v>
      </c>
      <c r="AI445" s="2" t="s">
        <v>124</v>
      </c>
      <c r="AJ445" s="13">
        <v>0</v>
      </c>
      <c r="AK445" s="2" t="s">
        <v>102</v>
      </c>
      <c r="AL445" s="2" t="s">
        <v>102</v>
      </c>
      <c r="AM445" s="2" t="s">
        <v>102</v>
      </c>
      <c r="AN445" s="13" t="str">
        <f>HYPERLINK(".\links\gpi\AGAP000313-PA-gpi.txt","N")</f>
        <v>N</v>
      </c>
      <c r="AO445" s="14" t="str">
        <f>HYPERLINK(".\links\netoglyc\AGAP000313-PA-netoglyc.txt","2")</f>
        <v>2</v>
      </c>
      <c r="AP445" s="13">
        <v>9.5</v>
      </c>
      <c r="AQ445" s="2">
        <v>8.1</v>
      </c>
      <c r="AR445" s="2">
        <v>5.9</v>
      </c>
      <c r="AS445" s="2" t="s">
        <v>104</v>
      </c>
      <c r="AT445" s="9" t="str">
        <f>HYPERLINK(".\links\NR-LIGHT\AGAP000313-PA-NR-LIGHT.txt","AGAP000313-PA")</f>
        <v>AGAP000313-PA</v>
      </c>
      <c r="AU445" s="2" t="str">
        <f>HYPERLINK("http://www.ncbi.nlm.nih.gov/sutils/blink.cgi?pid=XP_310808.5","0.0")</f>
        <v>0.0</v>
      </c>
      <c r="AV445" s="2" t="str">
        <f>HYPERLINK("http://www.ncbi.nlm.nih.gov/protein/XP_310808.5","XP_310808.5")</f>
        <v>XP_310808.5</v>
      </c>
      <c r="AW445" s="2">
        <v>100</v>
      </c>
      <c r="AX445" s="2">
        <v>100</v>
      </c>
      <c r="AY445" s="2">
        <v>100</v>
      </c>
      <c r="AZ445" s="2" t="s">
        <v>105</v>
      </c>
      <c r="BA445" s="9" t="str">
        <f>HYPERLINK(".\links\REFSEQ-INVERTEBRATE\AGAP000313-PA-REFSEQ-INVERTEBRATE.txt","AGAP000313-PA")</f>
        <v>AGAP000313-PA</v>
      </c>
      <c r="BB445" s="2" t="str">
        <f>HYPERLINK("http://www.ncbi.nlm.nih.gov/sutils/blink.cgi?pid=XP_310808.5","0.0")</f>
        <v>0.0</v>
      </c>
      <c r="BC445" s="2" t="str">
        <f>HYPERLINK("http://www.ncbi.nlm.nih.gov/protein/XP_310808.5","XP_310808.5")</f>
        <v>XP_310808.5</v>
      </c>
      <c r="BD445" s="2">
        <v>100</v>
      </c>
      <c r="BE445" s="2">
        <v>100</v>
      </c>
      <c r="BF445" s="2">
        <v>100</v>
      </c>
      <c r="BG445" s="2" t="s">
        <v>105</v>
      </c>
      <c r="BH445" s="9" t="str">
        <f>HYPERLINK(".\links\REFSEQ-PROTOZOA\AGAP000313-PA-REFSEQ-PROTOZOA.txt","4-aminobutyrate transaminase")</f>
        <v>4-aminobutyrate transaminase</v>
      </c>
      <c r="BI445" s="2" t="str">
        <f>HYPERLINK("http://www.ncbi.nlm.nih.gov/sutils/blink.cgi?pid=XP_013758726.1","1E-117")</f>
        <v>1E-117</v>
      </c>
      <c r="BJ445" s="2" t="str">
        <f>HYPERLINK("http://www.ncbi.nlm.nih.gov/protein/XP_013758726.1","XP_013758726.1")</f>
        <v>XP_013758726.1</v>
      </c>
      <c r="BK445" s="2">
        <v>52</v>
      </c>
      <c r="BL445" s="2">
        <v>67</v>
      </c>
      <c r="BM445" s="2">
        <v>48</v>
      </c>
      <c r="BN445" s="2" t="s">
        <v>1686</v>
      </c>
      <c r="BO445" s="9" t="str">
        <f>HYPERLINK(".\links\SWISSP\AGAP000313-PA-SWISSP.txt","Alanine--glyoxylate aminotransferase 2-like")</f>
        <v>Alanine--glyoxylate aminotransferase 2-like</v>
      </c>
      <c r="BP445" s="2" t="str">
        <f>HYPERLINK("http://www.uniprot.org/uniprot/Q9VU95","0.0")</f>
        <v>0.0</v>
      </c>
      <c r="BQ445" s="2" t="str">
        <f>HYPERLINK("http://www.uniprot.org/uniprot/Q9VU95#expression","Q9VU95")</f>
        <v>Q9VU95</v>
      </c>
      <c r="BR445" s="2">
        <v>72</v>
      </c>
      <c r="BS445" s="2">
        <v>83</v>
      </c>
      <c r="BT445" s="2">
        <v>92</v>
      </c>
      <c r="BU445" s="2" t="s">
        <v>107</v>
      </c>
      <c r="BV445" s="9" t="str">
        <f>HYPERLINK(".\links\FLYBASE\AGAP000313-PA-FLYBASE.txt","FBpp0075543")</f>
        <v>FBpp0075543</v>
      </c>
      <c r="BW445" s="2" t="str">
        <f>HYPERLINK("http://flybase.org/reports/FBgn0036381#alliance_summary_container","0.0")</f>
        <v>0.0</v>
      </c>
      <c r="BX445" s="2">
        <v>494</v>
      </c>
      <c r="BY445" s="2">
        <v>72</v>
      </c>
      <c r="BZ445" s="2">
        <v>84</v>
      </c>
      <c r="CA445" s="2">
        <v>90</v>
      </c>
      <c r="CB445" s="9" t="str">
        <f>HYPERLINK(".\links\CDD\AGAP000313-PA-CDD.txt","PRK06148, hypothetical protein")</f>
        <v>PRK06148, hypothetical protein</v>
      </c>
      <c r="CC445" s="15">
        <v>1E-175</v>
      </c>
      <c r="CD445" s="2">
        <v>43.1</v>
      </c>
      <c r="CE445" s="2" t="s">
        <v>4749</v>
      </c>
      <c r="CF445" s="2" t="s">
        <v>4750</v>
      </c>
      <c r="CG445" s="9" t="str">
        <f>HYPERLINK(".\links\KOG\AGAP000313-PA-KOG.txt","Predicted alanine-glyoxylate aminotransferase")</f>
        <v>Predicted alanine-glyoxylate aminotransferase</v>
      </c>
      <c r="CH445" s="15">
        <v>0</v>
      </c>
      <c r="CI445" s="2">
        <v>100.7</v>
      </c>
      <c r="CJ445" s="2" t="s">
        <v>4751</v>
      </c>
      <c r="CK445" s="2" t="s">
        <v>191</v>
      </c>
      <c r="CL445" s="9" t="str">
        <f>HYPERLINK(".\links\PFAM\AGAP000313-PA-PFAM.txt","Aminotran_3, Aminotransferase class-III")</f>
        <v>Aminotran_3, Aminotransferase class-III</v>
      </c>
      <c r="CM445" s="15">
        <v>9.9999999999999996E-81</v>
      </c>
      <c r="CN445" s="2">
        <v>104.8</v>
      </c>
      <c r="CO445" s="2" t="s">
        <v>4752</v>
      </c>
      <c r="CP445" s="9" t="str">
        <f>HYPERLINK(".\links\SMART\AGAP000313-PA-SMART.txt","MA, Methyl-accepting chemotaxis-like domains (chemotaxis sensory transducer)")</f>
        <v>MA, Methyl-accepting chemotaxis-like domains (chemotaxis sensory transducer)</v>
      </c>
      <c r="CQ445" s="15">
        <v>2.4</v>
      </c>
      <c r="CR445" s="2">
        <v>24</v>
      </c>
      <c r="CS445" s="2" t="s">
        <v>237</v>
      </c>
      <c r="CT445" s="2" t="s">
        <v>4748</v>
      </c>
      <c r="CU445" s="2" t="s">
        <v>4748</v>
      </c>
      <c r="CV445" s="2" t="s">
        <v>4748</v>
      </c>
      <c r="CW445" s="2" t="str">
        <f>HYPERLINK(".\links\pep\AGAP000313-PA-pep.txt","AGAP000313-PA")</f>
        <v>AGAP000313-PA</v>
      </c>
      <c r="CX445" s="2" t="s">
        <v>95</v>
      </c>
      <c r="CY445" s="2">
        <v>493</v>
      </c>
      <c r="CZ445" s="2" t="s">
        <v>113</v>
      </c>
      <c r="DA445" s="2" t="s">
        <v>4753</v>
      </c>
      <c r="DB445" s="2">
        <v>0</v>
      </c>
      <c r="DC445" s="2">
        <v>2</v>
      </c>
      <c r="DD445" s="2" t="str">
        <f>HYPERLINK("https://www.kegg.jp/kegg-bin/search_pathway_text?map=aga&amp;keyword=AGAP000313&amp;mode=1&amp;viewImage=true","AGAP000313")</f>
        <v>AGAP000313</v>
      </c>
      <c r="DE445" s="2" t="s">
        <v>4744</v>
      </c>
      <c r="DF445" s="2" t="s">
        <v>4745</v>
      </c>
      <c r="DG445" s="2" t="s">
        <v>94</v>
      </c>
      <c r="DH445" s="2" t="str">
        <f>HYPERLINK("https://vectorbase.org/vectorbase/app/record/gene/AGAP000313","AGAP000313-RA")</f>
        <v>AGAP000313-RA</v>
      </c>
      <c r="DI445" s="2" t="s">
        <v>115</v>
      </c>
      <c r="DJ445" s="2">
        <v>2207</v>
      </c>
      <c r="DK445" s="2" t="str">
        <f>HYPERLINK(".\links\netoglyc\AGAP000313-PA-netoglyc.txt","2")</f>
        <v>2</v>
      </c>
      <c r="DL445" s="2">
        <v>9.5</v>
      </c>
      <c r="DM445" s="2">
        <v>8.1</v>
      </c>
      <c r="DN445" s="2">
        <v>5.9</v>
      </c>
      <c r="DO445" s="2" t="s">
        <v>104</v>
      </c>
      <c r="DP445" s="2" t="s">
        <v>4754</v>
      </c>
      <c r="DQ445" s="2" t="str">
        <f>HYPERLINK(".\links\Sigp\AGAP000313-PA-SigP.txt","CYT")</f>
        <v>CYT</v>
      </c>
      <c r="DR445" s="2" t="s">
        <v>102</v>
      </c>
      <c r="DS445" s="2">
        <v>54.000999999999998</v>
      </c>
      <c r="DT445" s="2">
        <v>6.47</v>
      </c>
      <c r="DU445" s="2" t="s">
        <v>102</v>
      </c>
      <c r="DV445" s="2" t="s">
        <v>102</v>
      </c>
      <c r="DW445" s="2" t="s">
        <v>124</v>
      </c>
      <c r="DX445" s="2">
        <v>493</v>
      </c>
      <c r="DY445" s="12">
        <v>0</v>
      </c>
      <c r="DZ445" s="2" t="s">
        <v>102</v>
      </c>
      <c r="EA445" s="2" t="s">
        <v>102</v>
      </c>
      <c r="EB445" s="2" t="s">
        <v>102</v>
      </c>
      <c r="EC445" s="2" t="str">
        <f>HYPERLINK(".\links\gpi\AGAP000313-PA-gpi.txt","N")</f>
        <v>N</v>
      </c>
      <c r="ED445" s="2">
        <v>0.24</v>
      </c>
      <c r="EF445" s="2">
        <v>12</v>
      </c>
      <c r="EG445" s="2" t="str">
        <f>HYPERLINK(".\links\pep\AGAP000313-PA-sulf.txt","2")</f>
        <v>2</v>
      </c>
      <c r="EH445" s="2" t="s">
        <v>102</v>
      </c>
      <c r="EI445" s="2">
        <v>9.5334685598377291</v>
      </c>
      <c r="EJ445" s="2">
        <v>5.8823529411764701</v>
      </c>
      <c r="EK445" s="2">
        <v>8.1135902636916803</v>
      </c>
      <c r="EL445" s="2">
        <v>13.995943204868199</v>
      </c>
      <c r="EM445" s="2" t="s">
        <v>102</v>
      </c>
      <c r="EN445" s="2" t="s">
        <v>102</v>
      </c>
      <c r="EO445" s="2">
        <v>2</v>
      </c>
      <c r="EP445" s="2" t="s">
        <v>102</v>
      </c>
      <c r="EQ445" s="2" t="s">
        <v>102</v>
      </c>
      <c r="ER445" s="2" t="s">
        <v>102</v>
      </c>
      <c r="ES445" s="2" t="s">
        <v>102</v>
      </c>
      <c r="ET445" s="2" t="str">
        <f>HYPERLINK(".\links\REFSEQ-INVERTEBRATE\AGAP000313-PA-REFSEQ-INVERTEBRATE.txt","AGAP000313-PA")</f>
        <v>AGAP000313-PA</v>
      </c>
      <c r="EU445" s="2" t="str">
        <f>HYPERLINK("http://www.ncbi.nlm.nih.gov/sutils/blink.cgi?pid=XP_310808.5","0.0")</f>
        <v>0.0</v>
      </c>
      <c r="EV445" s="2" t="str">
        <f>HYPERLINK("http://www.ncbi.nlm.nih.gov/protein/XP_310808.5","XP_310808.5")</f>
        <v>XP_310808.5</v>
      </c>
      <c r="EW445" s="2">
        <v>100</v>
      </c>
      <c r="EX445" s="2">
        <v>100</v>
      </c>
      <c r="EY445" s="2">
        <v>100</v>
      </c>
      <c r="EZ445" s="2" t="s">
        <v>105</v>
      </c>
    </row>
    <row r="446" spans="1:156" x14ac:dyDescent="0.25">
      <c r="A446" s="2" t="s">
        <v>4755</v>
      </c>
      <c r="B446" s="2">
        <v>-0.37243134940734401</v>
      </c>
      <c r="C446" s="2">
        <f t="shared" si="6"/>
        <v>0.7724795525172885</v>
      </c>
      <c r="D446" s="2">
        <v>5.3970783252448697</v>
      </c>
      <c r="E446" s="2">
        <v>11.1654993929694</v>
      </c>
      <c r="F446" s="2">
        <v>8.3332534730461301E-4</v>
      </c>
      <c r="G446" s="2">
        <v>3.0183174475144601E-2</v>
      </c>
      <c r="H446" s="2" t="s">
        <v>4756</v>
      </c>
      <c r="I446" s="2" t="s">
        <v>94</v>
      </c>
      <c r="J446" s="2" t="str">
        <f>HYPERLINK("https://vectorbase.org/vectorbase/app/record/gene/AGAP004292","AGAP004292-RA")</f>
        <v>AGAP004292-RA</v>
      </c>
      <c r="K446" s="2" t="str">
        <f>HYPERLINK(".\links\pep\AGAP004292-PA-pep.txt","AGAP004292-PA")</f>
        <v>AGAP004292-PA</v>
      </c>
      <c r="L446" s="12" t="s">
        <v>95</v>
      </c>
      <c r="M446" s="2">
        <v>769</v>
      </c>
      <c r="N446" s="2">
        <v>0</v>
      </c>
      <c r="O446" s="2">
        <v>1</v>
      </c>
      <c r="P446" s="2" t="s">
        <v>4757</v>
      </c>
      <c r="Q446" s="9" t="s">
        <v>4758</v>
      </c>
      <c r="R446" s="2" t="s">
        <v>420</v>
      </c>
      <c r="S446" s="2" t="str">
        <f>HYPERLINK(".\links\REFSEQ-INVERTEBRATE\AGAP004292-PA-REFSEQ-INVERTEBRATE.txt","REFSEQ-INVERTEBRATE")</f>
        <v>REFSEQ-INVERTEBRATE</v>
      </c>
      <c r="T446" s="2">
        <v>0</v>
      </c>
      <c r="U446" s="2">
        <v>99.7</v>
      </c>
      <c r="V446" s="2" t="s">
        <v>4759</v>
      </c>
      <c r="W446" s="10" t="s">
        <v>4760</v>
      </c>
      <c r="X446" s="2" t="s">
        <v>420</v>
      </c>
      <c r="Y446" s="2" t="str">
        <f>HYPERLINK(".\links\REFSEQ-PROTOZOA\AGAP004292-PA-REFSEQ-PROTOZOA.txt","REFSEQ-PROTOZOA")</f>
        <v>REFSEQ-PROTOZOA</v>
      </c>
      <c r="Z446" s="15">
        <v>0</v>
      </c>
      <c r="AA446" s="2">
        <v>37</v>
      </c>
      <c r="AB446" s="13" t="str">
        <f>HYPERLINK(".\links\pep\AGAP004292-PA-sulf.txt","1")</f>
        <v>1</v>
      </c>
      <c r="AC446" s="13" t="str">
        <f>HYPERLINK(".\links\Sigp\AGAP004292-PA-SigP.txt","CYT")</f>
        <v>CYT</v>
      </c>
      <c r="AD446" s="2" t="s">
        <v>102</v>
      </c>
      <c r="AE446" s="2">
        <v>87.427999999999997</v>
      </c>
      <c r="AF446" s="2">
        <v>6.77</v>
      </c>
      <c r="AG446" s="2" t="s">
        <v>102</v>
      </c>
      <c r="AH446" s="2" t="s">
        <v>102</v>
      </c>
      <c r="AI446" s="2" t="s">
        <v>611</v>
      </c>
      <c r="AJ446" s="13">
        <v>0</v>
      </c>
      <c r="AK446" s="2" t="s">
        <v>102</v>
      </c>
      <c r="AL446" s="2" t="s">
        <v>102</v>
      </c>
      <c r="AM446" s="2" t="s">
        <v>102</v>
      </c>
      <c r="AN446" s="13" t="str">
        <f>HYPERLINK(".\links\gpi\AGAP004292-PA-gpi.txt","N")</f>
        <v>N</v>
      </c>
      <c r="AO446" s="14" t="str">
        <f>HYPERLINK(".\links\netoglyc\AGAP004292-PA-netoglyc.txt","3")</f>
        <v>3</v>
      </c>
      <c r="AP446" s="13">
        <v>12.1</v>
      </c>
      <c r="AQ446" s="2">
        <v>5.7</v>
      </c>
      <c r="AR446" s="2">
        <v>4</v>
      </c>
      <c r="AS446" s="2">
        <v>0.4</v>
      </c>
      <c r="AT446" s="9" t="str">
        <f>HYPERLINK(".\links\NR-LIGHT\AGAP004292-PA-NR-LIGHT.txt","AGAP004292-PA")</f>
        <v>AGAP004292-PA</v>
      </c>
      <c r="AU446" s="2" t="str">
        <f>HYPERLINK("http://www.ncbi.nlm.nih.gov/sutils/blink.cgi?pid=XP_313566.5","0.0")</f>
        <v>0.0</v>
      </c>
      <c r="AV446" s="2" t="str">
        <f>HYPERLINK("http://www.ncbi.nlm.nih.gov/protein/XP_313566.5","XP_313566.5")</f>
        <v>XP_313566.5</v>
      </c>
      <c r="AW446" s="2">
        <v>100</v>
      </c>
      <c r="AX446" s="2">
        <v>100</v>
      </c>
      <c r="AY446" s="2">
        <v>100</v>
      </c>
      <c r="AZ446" s="2" t="s">
        <v>105</v>
      </c>
      <c r="BA446" s="9" t="str">
        <f>HYPERLINK(".\links\REFSEQ-INVERTEBRATE\AGAP004292-PA-REFSEQ-INVERTEBRATE.txt","AGAP004292-PA")</f>
        <v>AGAP004292-PA</v>
      </c>
      <c r="BB446" s="2" t="str">
        <f>HYPERLINK("http://www.ncbi.nlm.nih.gov/sutils/blink.cgi?pid=XP_313566.5","0.0")</f>
        <v>0.0</v>
      </c>
      <c r="BC446" s="2" t="str">
        <f>HYPERLINK("http://www.ncbi.nlm.nih.gov/protein/XP_313566.5","XP_313566.5")</f>
        <v>XP_313566.5</v>
      </c>
      <c r="BD446" s="2">
        <v>100</v>
      </c>
      <c r="BE446" s="2">
        <v>100</v>
      </c>
      <c r="BF446" s="2">
        <v>100</v>
      </c>
      <c r="BG446" s="2" t="s">
        <v>105</v>
      </c>
      <c r="BH446" s="9" t="str">
        <f>HYPERLINK(".\links\REFSEQ-PROTOZOA\AGAP004292-PA-REFSEQ-PROTOZOA.txt","leucine-zipper-like transcriptional regulator")</f>
        <v>leucine-zipper-like transcriptional regulator</v>
      </c>
      <c r="BI446" s="2" t="str">
        <f>HYPERLINK("http://www.ncbi.nlm.nih.gov/sutils/blink.cgi?pid=XP_004364637.1","1E-119")</f>
        <v>1E-119</v>
      </c>
      <c r="BJ446" s="2" t="str">
        <f>HYPERLINK("http://www.ncbi.nlm.nih.gov/protein/XP_004364637.1","XP_004364637.1")</f>
        <v>XP_004364637.1</v>
      </c>
      <c r="BK446" s="2">
        <v>50</v>
      </c>
      <c r="BL446" s="2">
        <v>66</v>
      </c>
      <c r="BM446" s="2">
        <v>37</v>
      </c>
      <c r="BN446" s="2" t="s">
        <v>106</v>
      </c>
      <c r="BO446" s="9" t="str">
        <f>HYPERLINK(".\links\SWISSP\AGAP004292-PA-SWISSP.txt","Leucine-zipper-like transcriptional regulator 1")</f>
        <v>Leucine-zipper-like transcriptional regulator 1</v>
      </c>
      <c r="BP446" s="2" t="str">
        <f>HYPERLINK("http://www.uniprot.org/uniprot/Q8N653","0.0")</f>
        <v>0.0</v>
      </c>
      <c r="BQ446" s="2" t="str">
        <f>HYPERLINK("http://www.uniprot.org/uniprot/Q8N653#expression","Q8N653")</f>
        <v>Q8N653</v>
      </c>
      <c r="BR446" s="2">
        <v>55</v>
      </c>
      <c r="BS446" s="2">
        <v>69</v>
      </c>
      <c r="BT446" s="2">
        <v>96</v>
      </c>
      <c r="BU446" s="2" t="s">
        <v>127</v>
      </c>
      <c r="BV446" s="9" t="str">
        <f>HYPERLINK(".\links\FLYBASE\AGAP004292-PA-FLYBASE.txt","FBpp0303735")</f>
        <v>FBpp0303735</v>
      </c>
      <c r="BW446" s="2" t="str">
        <f>HYPERLINK("http://flybase.org/reports/FBgn0040344#alliance_summary_container","0.0")</f>
        <v>0.0</v>
      </c>
      <c r="BX446" s="2">
        <v>998</v>
      </c>
      <c r="BY446" s="2">
        <v>70</v>
      </c>
      <c r="BZ446" s="2">
        <v>84</v>
      </c>
      <c r="CA446" s="2">
        <v>74</v>
      </c>
      <c r="CB446" s="9" t="str">
        <f>HYPERLINK(".\links\CDD\AGAP004292-PA-CDD.txt","Kelch, Kelch repeat")</f>
        <v>Kelch, Kelch repeat</v>
      </c>
      <c r="CC446" s="15">
        <v>1E-25</v>
      </c>
      <c r="CD446" s="2">
        <v>107.9</v>
      </c>
      <c r="CE446" s="2" t="s">
        <v>4761</v>
      </c>
      <c r="CF446" s="2" t="s">
        <v>4762</v>
      </c>
      <c r="CG446" s="9" t="str">
        <f>HYPERLINK(".\links\KOG\AGAP004292-PA-KOG.txt","Kelch repeat-containing proteins")</f>
        <v>Kelch repeat-containing proteins</v>
      </c>
      <c r="CH446" s="15">
        <v>9.9999999999999993E-35</v>
      </c>
      <c r="CI446" s="2">
        <v>65.400000000000006</v>
      </c>
      <c r="CJ446" s="2" t="s">
        <v>4350</v>
      </c>
      <c r="CK446" s="2" t="s">
        <v>191</v>
      </c>
      <c r="CL446" s="9" t="str">
        <f>HYPERLINK(".\links\PFAM\AGAP004292-PA-PFAM.txt","BTB, BTB/POZ domain")</f>
        <v>BTB, BTB/POZ domain</v>
      </c>
      <c r="CM446" s="15">
        <v>9.9999999999999998E-17</v>
      </c>
      <c r="CN446" s="2">
        <v>98.1</v>
      </c>
      <c r="CO446" s="2" t="s">
        <v>364</v>
      </c>
      <c r="CP446" s="9" t="str">
        <f>HYPERLINK(".\links\SMART\AGAP004292-PA-SMART.txt","predicts BTB/POZ domains without the beta1- and alpha1-secondary structures")</f>
        <v>predicts BTB/POZ domains without the beta1- and alpha1-secondary structures</v>
      </c>
      <c r="CQ446" s="15">
        <v>2.9999999999999999E-16</v>
      </c>
      <c r="CR446" s="2">
        <v>104.1</v>
      </c>
      <c r="CS446" s="2" t="s">
        <v>368</v>
      </c>
      <c r="CT446" s="2" t="s">
        <v>4759</v>
      </c>
      <c r="CU446" s="2" t="s">
        <v>4759</v>
      </c>
      <c r="CV446" s="2" t="s">
        <v>4759</v>
      </c>
      <c r="CW446" s="2" t="str">
        <f>HYPERLINK(".\links\pep\AGAP004292-PA-pep.txt","AGAP004292-PA")</f>
        <v>AGAP004292-PA</v>
      </c>
      <c r="CX446" s="2" t="s">
        <v>95</v>
      </c>
      <c r="CY446" s="2">
        <v>769</v>
      </c>
      <c r="CZ446" s="2" t="s">
        <v>113</v>
      </c>
      <c r="DA446" s="2" t="s">
        <v>4763</v>
      </c>
      <c r="DB446" s="2">
        <v>0</v>
      </c>
      <c r="DC446" s="2">
        <v>1</v>
      </c>
      <c r="DD446" s="2" t="str">
        <f>HYPERLINK("https://www.kegg.jp/kegg-bin/search_pathway_text?map=aga&amp;keyword=AGAP004292&amp;mode=1&amp;viewImage=true","AGAP004292")</f>
        <v>AGAP004292</v>
      </c>
      <c r="DE446" s="2" t="s">
        <v>4755</v>
      </c>
      <c r="DF446" s="2" t="s">
        <v>4756</v>
      </c>
      <c r="DG446" s="2" t="s">
        <v>94</v>
      </c>
      <c r="DH446" s="2" t="str">
        <f>HYPERLINK("https://vectorbase.org/vectorbase/app/record/gene/AGAP004292","AGAP004292-RA")</f>
        <v>AGAP004292-RA</v>
      </c>
      <c r="DI446" s="2" t="s">
        <v>115</v>
      </c>
      <c r="DJ446" s="2">
        <v>2538</v>
      </c>
      <c r="DK446" s="2" t="str">
        <f>HYPERLINK(".\links\netoglyc\AGAP004292-PA-netoglyc.txt","3")</f>
        <v>3</v>
      </c>
      <c r="DL446" s="2">
        <v>12.1</v>
      </c>
      <c r="DM446" s="2">
        <v>5.7</v>
      </c>
      <c r="DN446" s="2">
        <v>4</v>
      </c>
      <c r="DO446" s="2">
        <v>0.4</v>
      </c>
      <c r="DP446" s="2" t="s">
        <v>102</v>
      </c>
      <c r="DQ446" s="2" t="str">
        <f>HYPERLINK(".\links\Sigp\AGAP004292-PA-SigP.txt","CYT")</f>
        <v>CYT</v>
      </c>
      <c r="DR446" s="2" t="s">
        <v>102</v>
      </c>
      <c r="DS446" s="2">
        <v>87.427999999999997</v>
      </c>
      <c r="DT446" s="2">
        <v>6.77</v>
      </c>
      <c r="DU446" s="2" t="s">
        <v>102</v>
      </c>
      <c r="DV446" s="2" t="s">
        <v>102</v>
      </c>
      <c r="DW446" s="2" t="s">
        <v>611</v>
      </c>
      <c r="DX446" s="2">
        <v>769</v>
      </c>
      <c r="DY446" s="12">
        <v>0</v>
      </c>
      <c r="DZ446" s="2" t="s">
        <v>102</v>
      </c>
      <c r="EA446" s="2" t="s">
        <v>102</v>
      </c>
      <c r="EB446" s="2" t="s">
        <v>102</v>
      </c>
      <c r="EC446" s="2" t="str">
        <f>HYPERLINK(".\links\gpi\AGAP004292-PA-gpi.txt","N")</f>
        <v>N</v>
      </c>
      <c r="ED446" s="2">
        <v>0.19</v>
      </c>
      <c r="EF446" s="2">
        <v>13</v>
      </c>
      <c r="EG446" s="2" t="str">
        <f>HYPERLINK(".\links\pep\AGAP004292-PA-sulf.txt","1")</f>
        <v>1</v>
      </c>
      <c r="EH446" s="2" t="s">
        <v>102</v>
      </c>
      <c r="EI446" s="2">
        <v>12.093628088426501</v>
      </c>
      <c r="EJ446" s="2">
        <v>4.0312093628088403</v>
      </c>
      <c r="EK446" s="2">
        <v>5.7217165149544904</v>
      </c>
      <c r="EL446" s="2">
        <v>9.7529258777633299</v>
      </c>
      <c r="EM446" s="2" t="s">
        <v>102</v>
      </c>
      <c r="EN446" s="2">
        <v>1</v>
      </c>
      <c r="EO446" s="2">
        <v>1</v>
      </c>
      <c r="EP446" s="2" t="s">
        <v>102</v>
      </c>
      <c r="EQ446" s="2" t="s">
        <v>102</v>
      </c>
      <c r="ER446" s="2" t="s">
        <v>102</v>
      </c>
      <c r="ES446" s="2" t="s">
        <v>102</v>
      </c>
      <c r="ET446" s="2" t="str">
        <f>HYPERLINK(".\links\REFSEQ-INVERTEBRATE\AGAP004292-PA-REFSEQ-INVERTEBRATE.txt","AGAP004292-PA")</f>
        <v>AGAP004292-PA</v>
      </c>
      <c r="EU446" s="2" t="str">
        <f>HYPERLINK("http://www.ncbi.nlm.nih.gov/sutils/blink.cgi?pid=XP_313566.5","0.0")</f>
        <v>0.0</v>
      </c>
      <c r="EV446" s="2" t="str">
        <f>HYPERLINK("http://www.ncbi.nlm.nih.gov/protein/XP_313566.5","XP_313566.5")</f>
        <v>XP_313566.5</v>
      </c>
      <c r="EW446" s="2">
        <v>100</v>
      </c>
      <c r="EX446" s="2">
        <v>100</v>
      </c>
      <c r="EY446" s="2">
        <v>100</v>
      </c>
      <c r="EZ446" s="2" t="s">
        <v>105</v>
      </c>
    </row>
    <row r="447" spans="1:156" x14ac:dyDescent="0.25">
      <c r="A447" s="2" t="s">
        <v>4764</v>
      </c>
      <c r="B447" s="2">
        <v>-0.37262158747540802</v>
      </c>
      <c r="C447" s="2">
        <f t="shared" si="6"/>
        <v>0.77237769777669019</v>
      </c>
      <c r="D447" s="2">
        <v>7.7305465261157398</v>
      </c>
      <c r="E447" s="2">
        <v>11.974471761757499</v>
      </c>
      <c r="F447" s="2">
        <v>5.39343538601807E-4</v>
      </c>
      <c r="G447" s="2">
        <v>2.6293505281983199E-2</v>
      </c>
      <c r="H447" s="2" t="s">
        <v>93</v>
      </c>
      <c r="I447" s="2" t="s">
        <v>94</v>
      </c>
      <c r="J447" s="2" t="str">
        <f>HYPERLINK("https://vectorbase.org/vectorbase/app/record/gene/AGAP028522","AGAP028522-RA")</f>
        <v>AGAP028522-RA</v>
      </c>
      <c r="K447" s="2" t="str">
        <f>HYPERLINK(".\links\pep\AGAP028522-PA-pep.txt","AGAP028522-PA")</f>
        <v>AGAP028522-PA</v>
      </c>
      <c r="L447" s="12" t="s">
        <v>95</v>
      </c>
      <c r="M447" s="2">
        <v>1207</v>
      </c>
      <c r="N447" s="2">
        <v>0</v>
      </c>
      <c r="O447" s="2">
        <v>3</v>
      </c>
      <c r="P447" s="2" t="s">
        <v>102</v>
      </c>
      <c r="Q447" s="9" t="s">
        <v>4765</v>
      </c>
      <c r="R447" s="2" t="s">
        <v>196</v>
      </c>
      <c r="S447" s="2" t="str">
        <f>HYPERLINK(".\links\REFSEQ-INVERTEBRATE\AGAP028522-PA-REFSEQ-INVERTEBRATE.txt","REFSEQ-INVERTEBRATE")</f>
        <v>REFSEQ-INVERTEBRATE</v>
      </c>
      <c r="T447" s="2">
        <v>0</v>
      </c>
      <c r="U447" s="2">
        <v>120</v>
      </c>
      <c r="V447" s="2" t="s">
        <v>4766</v>
      </c>
      <c r="W447" s="10" t="s">
        <v>4767</v>
      </c>
      <c r="X447" s="2" t="s">
        <v>196</v>
      </c>
      <c r="Y447" s="2" t="str">
        <f>HYPERLINK(".\links\ARTHORPODA\AGAP028522-PA-ARTHORPODA.txt","ARTHORPODA")</f>
        <v>ARTHORPODA</v>
      </c>
      <c r="Z447" s="2">
        <v>0</v>
      </c>
      <c r="AA447" s="2">
        <v>100.3</v>
      </c>
      <c r="AB447" s="13" t="str">
        <f>HYPERLINK(".\links\pep\AGAP028522-PA-sulf.txt","1")</f>
        <v>1</v>
      </c>
      <c r="AC447" s="13" t="str">
        <f>HYPERLINK(".\links\Sigp\AGAP028522-PA-SigP.txt","CYT")</f>
        <v>CYT</v>
      </c>
      <c r="AD447" s="2" t="s">
        <v>102</v>
      </c>
      <c r="AE447" s="2">
        <v>130.739</v>
      </c>
      <c r="AF447" s="2">
        <v>9.52</v>
      </c>
      <c r="AG447" s="2" t="s">
        <v>102</v>
      </c>
      <c r="AH447" s="2" t="s">
        <v>102</v>
      </c>
      <c r="AI447" s="2" t="s">
        <v>124</v>
      </c>
      <c r="AJ447" s="13">
        <v>0</v>
      </c>
      <c r="AK447" s="2" t="s">
        <v>102</v>
      </c>
      <c r="AL447" s="2" t="s">
        <v>102</v>
      </c>
      <c r="AM447" s="2" t="s">
        <v>102</v>
      </c>
      <c r="AN447" s="13" t="str">
        <f>HYPERLINK(".\links\gpi\AGAP028522-PA-gpi.txt","N")</f>
        <v>N</v>
      </c>
      <c r="AO447" s="14" t="str">
        <f>HYPERLINK(".\links\netoglyc\AGAP028522-PA-netoglyc.txt","12")</f>
        <v>12</v>
      </c>
      <c r="AP447" s="13">
        <v>17.399999999999999</v>
      </c>
      <c r="AQ447" s="2">
        <v>7.4</v>
      </c>
      <c r="AR447" s="2">
        <v>6</v>
      </c>
      <c r="AS447" s="2" t="s">
        <v>104</v>
      </c>
      <c r="AT447" s="9" t="str">
        <f>HYPERLINK(".\links\NR-LIGHT\AGAP028522-PA-NR-LIGHT.txt","hypothetical protein AND_001546")</f>
        <v>hypothetical protein AND_001546</v>
      </c>
      <c r="AU447" s="2" t="str">
        <f>HYPERLINK("http://www.ncbi.nlm.nih.gov/sutils/blink.cgi?pid=ETN66653.1","0.0")</f>
        <v>0.0</v>
      </c>
      <c r="AV447" s="2" t="str">
        <f>HYPERLINK("http://www.ncbi.nlm.nih.gov/protein/ETN66653.1","ETN66653.1")</f>
        <v>ETN66653.1</v>
      </c>
      <c r="AW447" s="2">
        <v>51</v>
      </c>
      <c r="AX447" s="2">
        <v>59</v>
      </c>
      <c r="AY447" s="2">
        <v>104</v>
      </c>
      <c r="AZ447" s="2" t="s">
        <v>360</v>
      </c>
      <c r="BA447" s="9" t="str">
        <f>HYPERLINK(".\links\REFSEQ-INVERTEBRATE\AGAP028522-PA-REFSEQ-INVERTEBRATE.txt","uncharacterized protein LOC109412050 isoform X2")</f>
        <v>uncharacterized protein LOC109412050 isoform X2</v>
      </c>
      <c r="BB447" s="2" t="str">
        <f>HYPERLINK("http://www.ncbi.nlm.nih.gov/sutils/blink.cgi?pid=XP_019541240.1","0.0")</f>
        <v>0.0</v>
      </c>
      <c r="BC447" s="2" t="str">
        <f>HYPERLINK("http://www.ncbi.nlm.nih.gov/protein/XP_019541240.1","XP_019541240.1")</f>
        <v>XP_019541240.1</v>
      </c>
      <c r="BD447" s="2">
        <v>42</v>
      </c>
      <c r="BE447" s="2">
        <v>50</v>
      </c>
      <c r="BF447" s="2">
        <v>121</v>
      </c>
      <c r="BG447" s="2" t="s">
        <v>361</v>
      </c>
      <c r="BH447" s="9" t="str">
        <f>HYPERLINK(".\links\REFSEQ-PROTOZOA\AGAP028522-PA-REFSEQ-PROTOZOA.txt","hypothetical protein, variant")</f>
        <v>hypothetical protein, variant</v>
      </c>
      <c r="BI447" s="2" t="str">
        <f>HYPERLINK("http://www.ncbi.nlm.nih.gov/sutils/blink.cgi?pid=XP_009495001.1","1E-026")</f>
        <v>1E-026</v>
      </c>
      <c r="BJ447" s="2" t="str">
        <f>HYPERLINK("http://www.ncbi.nlm.nih.gov/protein/XP_009495001.1","XP_009495001.1")</f>
        <v>XP_009495001.1</v>
      </c>
      <c r="BK447" s="2">
        <v>24</v>
      </c>
      <c r="BL447" s="2">
        <v>36</v>
      </c>
      <c r="BM447" s="2">
        <v>60</v>
      </c>
      <c r="BN447" s="2" t="s">
        <v>651</v>
      </c>
      <c r="BO447" s="9" t="str">
        <f>HYPERLINK(".\links\SWISSP\AGAP028522-PA-SWISSP.txt","Protein charlatan")</f>
        <v>Protein charlatan</v>
      </c>
      <c r="BP447" s="2" t="str">
        <f>HYPERLINK("http://www.uniprot.org/uniprot/Q7YU81","1E-116")</f>
        <v>1E-116</v>
      </c>
      <c r="BQ447" s="2" t="str">
        <f>HYPERLINK("http://www.uniprot.org/uniprot/Q7YU81#expression","Q7YU81")</f>
        <v>Q7YU81</v>
      </c>
      <c r="BR447" s="2">
        <v>29</v>
      </c>
      <c r="BS447" s="2">
        <v>41</v>
      </c>
      <c r="BT447" s="2">
        <v>107</v>
      </c>
      <c r="BU447" s="2" t="s">
        <v>107</v>
      </c>
      <c r="BV447" s="9" t="str">
        <f>HYPERLINK(".\links\FLYBASE\AGAP028522-PA-FLYBASE.txt","FBpp0086547")</f>
        <v>FBpp0086547</v>
      </c>
      <c r="BW447" s="2" t="str">
        <f>HYPERLINK("http://flybase.org/reports/FBgn0015371#alliance_summary_container","2E-46")</f>
        <v>2E-46</v>
      </c>
      <c r="BX447" s="2">
        <v>1108</v>
      </c>
      <c r="BY447" s="2">
        <v>71</v>
      </c>
      <c r="BZ447" s="2">
        <v>83</v>
      </c>
      <c r="CA447" s="2">
        <v>10</v>
      </c>
      <c r="CB447" s="9" t="str">
        <f>HYPERLINK(".\links\CDD\AGAP028522-PA-CDD.txt","ZF_C2H2, Zinc finger, C2H2 type")</f>
        <v>ZF_C2H2, Zinc finger, C2H2 type</v>
      </c>
      <c r="CC447" s="15">
        <v>9.9999999999999995E-7</v>
      </c>
      <c r="CD447" s="2">
        <v>64.099999999999994</v>
      </c>
      <c r="CE447" s="2" t="s">
        <v>569</v>
      </c>
      <c r="CF447" s="2" t="s">
        <v>4768</v>
      </c>
      <c r="CG447" s="9" t="str">
        <f>HYPERLINK(".\links\KOG\AGAP028522-PA-KOG.txt","Ovo and related transcription factors")</f>
        <v>Ovo and related transcription factors</v>
      </c>
      <c r="CH447" s="15">
        <v>6.9999999999999997E-7</v>
      </c>
      <c r="CI447" s="2">
        <v>73.400000000000006</v>
      </c>
      <c r="CJ447" s="2" t="s">
        <v>571</v>
      </c>
      <c r="CK447" s="2" t="s">
        <v>309</v>
      </c>
      <c r="CL447" s="9" t="str">
        <f>HYPERLINK(".\links\PFAM\AGAP028522-PA-PFAM.txt","PAT1, Topoisomerase II-associated protein PAT1")</f>
        <v>PAT1, Topoisomerase II-associated protein PAT1</v>
      </c>
      <c r="CM447" s="15">
        <v>1.0000000000000001E-5</v>
      </c>
      <c r="CN447" s="2">
        <v>9.6999999999999993</v>
      </c>
      <c r="CO447" s="2" t="s">
        <v>3695</v>
      </c>
      <c r="CP447" s="9" t="str">
        <f>HYPERLINK(".\links\SMART\AGAP028522-PA-SMART.txt","Amelogenin, Amelogenins, cell adhesion proteins, play a role in the biomineralisation of teeth")</f>
        <v>Amelogenin, Amelogenins, cell adhesion proteins, play a role in the biomineralisation of teeth</v>
      </c>
      <c r="CQ447" s="15">
        <v>0.14000000000000001</v>
      </c>
      <c r="CR447" s="2">
        <v>18.8</v>
      </c>
      <c r="CS447" s="2" t="s">
        <v>311</v>
      </c>
      <c r="CT447" s="2" t="s">
        <v>4766</v>
      </c>
      <c r="CU447" s="2" t="s">
        <v>4766</v>
      </c>
      <c r="CV447" s="2" t="s">
        <v>4766</v>
      </c>
      <c r="CW447" s="2" t="str">
        <f>HYPERLINK(".\links\pep\AGAP028522-PA-pep.txt","AGAP028522-PA")</f>
        <v>AGAP028522-PA</v>
      </c>
      <c r="CX447" s="2" t="s">
        <v>95</v>
      </c>
      <c r="CY447" s="2">
        <v>1207</v>
      </c>
      <c r="CZ447" s="2" t="s">
        <v>113</v>
      </c>
      <c r="DA447" s="2" t="s">
        <v>4769</v>
      </c>
      <c r="DB447" s="2">
        <v>0</v>
      </c>
      <c r="DC447" s="2">
        <v>3</v>
      </c>
      <c r="DD447" s="2" t="str">
        <f>HYPERLINK("https://www.kegg.jp/kegg-bin/search_pathway_text?map=aga&amp;keyword=AGAP028522&amp;mode=1&amp;viewImage=true","AGAP028522")</f>
        <v>AGAP028522</v>
      </c>
      <c r="DE447" s="2" t="s">
        <v>4764</v>
      </c>
      <c r="DF447" s="2" t="s">
        <v>93</v>
      </c>
      <c r="DG447" s="2" t="s">
        <v>94</v>
      </c>
      <c r="DH447" s="2" t="str">
        <f>HYPERLINK("https://vectorbase.org/vectorbase/app/record/gene/AGAP028522","AGAP028522-RA")</f>
        <v>AGAP028522-RA</v>
      </c>
      <c r="DI447" s="2" t="s">
        <v>90</v>
      </c>
      <c r="DJ447" s="2">
        <v>4923</v>
      </c>
      <c r="DK447" s="2" t="str">
        <f>HYPERLINK(".\links\netoglyc\AGAP028522-PA-netoglyc.txt","12")</f>
        <v>12</v>
      </c>
      <c r="DL447" s="2">
        <v>17.399999999999999</v>
      </c>
      <c r="DM447" s="2">
        <v>7.4</v>
      </c>
      <c r="DN447" s="2">
        <v>6</v>
      </c>
      <c r="DO447" s="2" t="s">
        <v>104</v>
      </c>
      <c r="DP447" s="2" t="s">
        <v>4770</v>
      </c>
      <c r="DQ447" s="2" t="str">
        <f>HYPERLINK(".\links\Sigp\AGAP028522-PA-SigP.txt","CYT")</f>
        <v>CYT</v>
      </c>
      <c r="DR447" s="2" t="s">
        <v>102</v>
      </c>
      <c r="DS447" s="2">
        <v>130.739</v>
      </c>
      <c r="DT447" s="2">
        <v>9.52</v>
      </c>
      <c r="DU447" s="2" t="s">
        <v>102</v>
      </c>
      <c r="DV447" s="2" t="s">
        <v>102</v>
      </c>
      <c r="DW447" s="2" t="s">
        <v>124</v>
      </c>
      <c r="DX447" s="2">
        <v>1207</v>
      </c>
      <c r="DY447" s="12">
        <v>0</v>
      </c>
      <c r="DZ447" s="2" t="s">
        <v>102</v>
      </c>
      <c r="EA447" s="2" t="s">
        <v>102</v>
      </c>
      <c r="EB447" s="2" t="s">
        <v>102</v>
      </c>
      <c r="EC447" s="2" t="str">
        <f>HYPERLINK(".\links\gpi\AGAP028522-PA-gpi.txt","Y-NoSP")</f>
        <v>Y-NoSP</v>
      </c>
      <c r="ED447" s="2">
        <v>0.32</v>
      </c>
      <c r="EF447" s="2">
        <v>18</v>
      </c>
      <c r="EG447" s="2" t="str">
        <f>HYPERLINK(".\links\pep\AGAP028522-PA-sulf.txt","1")</f>
        <v>1</v>
      </c>
      <c r="EH447" s="2" t="s">
        <v>102</v>
      </c>
      <c r="EI447" s="2">
        <v>17.3985086992544</v>
      </c>
      <c r="EJ447" s="2">
        <v>6.04805302402651</v>
      </c>
      <c r="EK447" s="2">
        <v>7.3736536868268399</v>
      </c>
      <c r="EL447" s="2">
        <v>13.4217067108534</v>
      </c>
      <c r="EM447" s="2">
        <v>3</v>
      </c>
      <c r="EN447" s="2">
        <v>5</v>
      </c>
      <c r="EO447" s="2">
        <v>5</v>
      </c>
      <c r="EP447" s="2" t="s">
        <v>102</v>
      </c>
      <c r="EQ447" s="2" t="s">
        <v>102</v>
      </c>
      <c r="ER447" s="2" t="s">
        <v>102</v>
      </c>
      <c r="ES447" s="2" t="s">
        <v>102</v>
      </c>
      <c r="ET447" s="2" t="str">
        <f>HYPERLINK(".\links\REFSEQ-INVERTEBRATE\AGAP028522-PA-REFSEQ-INVERTEBRATE.txt","protein charlatan isoform X2")</f>
        <v>protein charlatan isoform X2</v>
      </c>
      <c r="EU447" s="2" t="str">
        <f>HYPERLINK("http://www.ncbi.nlm.nih.gov/sutils/blink.cgi?pid=XP_035901377.1","0.0")</f>
        <v>0.0</v>
      </c>
      <c r="EV447" s="2" t="str">
        <f>HYPERLINK("http://www.ncbi.nlm.nih.gov/protein/XP_035901377.1","XP_035901377.1")</f>
        <v>XP_035901377.1</v>
      </c>
      <c r="EW447" s="2">
        <v>60</v>
      </c>
      <c r="EX447" s="2">
        <v>67</v>
      </c>
      <c r="EY447" s="2">
        <v>105</v>
      </c>
      <c r="EZ447" s="2" t="s">
        <v>370</v>
      </c>
    </row>
    <row r="448" spans="1:156" x14ac:dyDescent="0.25">
      <c r="A448" s="2" t="s">
        <v>4771</v>
      </c>
      <c r="B448" s="2">
        <v>-0.37586794983031102</v>
      </c>
      <c r="C448" s="2">
        <f t="shared" si="6"/>
        <v>0.77064164211617248</v>
      </c>
      <c r="D448" s="2">
        <v>6.6822169035176202</v>
      </c>
      <c r="E448" s="2">
        <v>12.691579103057199</v>
      </c>
      <c r="F448" s="2">
        <v>3.6730595312865901E-4</v>
      </c>
      <c r="G448" s="2">
        <v>2.1768426261281001E-2</v>
      </c>
      <c r="H448" s="2" t="s">
        <v>4772</v>
      </c>
      <c r="I448" s="2" t="s">
        <v>94</v>
      </c>
      <c r="J448" s="2" t="str">
        <f>HYPERLINK("https://vectorbase.org/vectorbase/app/record/gene/AGAP011933","AGAP011933-RA")</f>
        <v>AGAP011933-RA</v>
      </c>
      <c r="K448" s="2" t="str">
        <f>HYPERLINK(".\links\pep\AGAP011933-PA-pep.txt","AGAP011933-PA")</f>
        <v>AGAP011933-PA</v>
      </c>
      <c r="L448" s="12" t="s">
        <v>95</v>
      </c>
      <c r="M448" s="2">
        <v>794</v>
      </c>
      <c r="N448" s="2">
        <v>0</v>
      </c>
      <c r="O448" s="2">
        <v>4</v>
      </c>
      <c r="P448" s="2" t="s">
        <v>4773</v>
      </c>
      <c r="Q448" s="9" t="s">
        <v>4774</v>
      </c>
      <c r="R448" s="2" t="s">
        <v>420</v>
      </c>
      <c r="S448" s="2" t="str">
        <f>HYPERLINK(".\links\REFSEQ-INVERTEBRATE\AGAP011933-PA-REFSEQ-INVERTEBRATE.txt","REFSEQ-INVERTEBRATE")</f>
        <v>REFSEQ-INVERTEBRATE</v>
      </c>
      <c r="T448" s="2">
        <v>0</v>
      </c>
      <c r="U448" s="2">
        <v>100</v>
      </c>
      <c r="V448" s="2" t="s">
        <v>4775</v>
      </c>
      <c r="W448" s="10" t="s">
        <v>4776</v>
      </c>
      <c r="X448" s="2" t="s">
        <v>420</v>
      </c>
      <c r="Y448" s="2" t="str">
        <f>HYPERLINK(".\links\REFSEQVERTEBRATE95\AGAP011933-PA-REFSEQVERTEBRATE95.txt","REFSEQVERTEBRATE95")</f>
        <v>REFSEQVERTEBRATE95</v>
      </c>
      <c r="Z448" s="2">
        <v>0</v>
      </c>
      <c r="AA448" s="2">
        <v>95.2</v>
      </c>
      <c r="AB448" s="13" t="str">
        <f>HYPERLINK(".\links\pep\AGAP011933-PA-sulf.txt","2")</f>
        <v>2</v>
      </c>
      <c r="AC448" s="13" t="str">
        <f>HYPERLINK(".\links\Sigp\AGAP011933-PA-SigP.txt","CYT")</f>
        <v>CYT</v>
      </c>
      <c r="AD448" s="2" t="s">
        <v>102</v>
      </c>
      <c r="AE448" s="2">
        <v>89.453999999999994</v>
      </c>
      <c r="AF448" s="2">
        <v>7.39</v>
      </c>
      <c r="AG448" s="2" t="s">
        <v>102</v>
      </c>
      <c r="AH448" s="2" t="s">
        <v>102</v>
      </c>
      <c r="AI448" s="2" t="s">
        <v>211</v>
      </c>
      <c r="AJ448" s="13">
        <v>0</v>
      </c>
      <c r="AK448" s="2" t="s">
        <v>102</v>
      </c>
      <c r="AL448" s="2" t="s">
        <v>102</v>
      </c>
      <c r="AM448" s="2" t="s">
        <v>102</v>
      </c>
      <c r="AN448" s="13" t="str">
        <f>HYPERLINK(".\links\gpi\AGAP011933-PA-gpi.txt","N")</f>
        <v>N</v>
      </c>
      <c r="AO448" s="14" t="str">
        <f>HYPERLINK(".\links\netoglyc\AGAP011933-PA-netoglyc.txt","22")</f>
        <v>22</v>
      </c>
      <c r="AP448" s="13">
        <v>12.7</v>
      </c>
      <c r="AQ448" s="2">
        <v>4.9000000000000004</v>
      </c>
      <c r="AR448" s="2">
        <v>10.199999999999999</v>
      </c>
      <c r="AS448" s="2" t="s">
        <v>104</v>
      </c>
      <c r="AT448" s="9" t="str">
        <f>HYPERLINK(".\links\NR-LIGHT\AGAP011933-PA-NR-LIGHT.txt","AGAP011933-PA")</f>
        <v>AGAP011933-PA</v>
      </c>
      <c r="AU448" s="2" t="str">
        <f>HYPERLINK("http://www.ncbi.nlm.nih.gov/sutils/blink.cgi?pid=XP_320600.4","0.0")</f>
        <v>0.0</v>
      </c>
      <c r="AV448" s="2" t="str">
        <f>HYPERLINK("http://www.ncbi.nlm.nih.gov/protein/XP_320600.4","XP_320600.4")</f>
        <v>XP_320600.4</v>
      </c>
      <c r="AW448" s="2">
        <v>100</v>
      </c>
      <c r="AX448" s="2">
        <v>100</v>
      </c>
      <c r="AY448" s="2">
        <v>100</v>
      </c>
      <c r="AZ448" s="2" t="s">
        <v>105</v>
      </c>
      <c r="BA448" s="9" t="str">
        <f>HYPERLINK(".\links\REFSEQ-INVERTEBRATE\AGAP011933-PA-REFSEQ-INVERTEBRATE.txt","AGAP011933-PA")</f>
        <v>AGAP011933-PA</v>
      </c>
      <c r="BB448" s="2" t="str">
        <f>HYPERLINK("http://www.ncbi.nlm.nih.gov/sutils/blink.cgi?pid=XP_320600.4","0.0")</f>
        <v>0.0</v>
      </c>
      <c r="BC448" s="2" t="str">
        <f>HYPERLINK("http://www.ncbi.nlm.nih.gov/protein/XP_320600.4","XP_320600.4")</f>
        <v>XP_320600.4</v>
      </c>
      <c r="BD448" s="2">
        <v>100</v>
      </c>
      <c r="BE448" s="2">
        <v>100</v>
      </c>
      <c r="BF448" s="2">
        <v>100</v>
      </c>
      <c r="BG448" s="2" t="s">
        <v>105</v>
      </c>
      <c r="BH448" s="9" t="str">
        <f>HYPERLINK(".\links\REFSEQ-PROTOZOA\AGAP011933-PA-REFSEQ-PROTOZOA.txt","phosphorylated CTD interacting factor")</f>
        <v>phosphorylated CTD interacting factor</v>
      </c>
      <c r="BI448" s="2" t="str">
        <f>HYPERLINK("http://www.ncbi.nlm.nih.gov/sutils/blink.cgi?pid=XP_002681446.1","5E-042")</f>
        <v>5E-042</v>
      </c>
      <c r="BJ448" s="2" t="str">
        <f>HYPERLINK("http://www.ncbi.nlm.nih.gov/protein/XP_002681446.1","XP_002681446.1")</f>
        <v>XP_002681446.1</v>
      </c>
      <c r="BK448" s="2">
        <v>28</v>
      </c>
      <c r="BL448" s="2">
        <v>46</v>
      </c>
      <c r="BM448" s="2">
        <v>64</v>
      </c>
      <c r="BN448" s="2" t="s">
        <v>1212</v>
      </c>
      <c r="BO448" s="9" t="str">
        <f>HYPERLINK(".\links\SWISSP\AGAP011933-PA-SWISSP.txt","Phosphorylated CTD-interacting factor 1")</f>
        <v>Phosphorylated CTD-interacting factor 1</v>
      </c>
      <c r="BP448" s="2" t="str">
        <f>HYPERLINK("http://www.uniprot.org/uniprot/Q9H4Z3","1E-162")</f>
        <v>1E-162</v>
      </c>
      <c r="BQ448" s="2" t="str">
        <f>HYPERLINK("http://www.uniprot.org/uniprot/Q9H4Z3#expression","Q9H4Z3")</f>
        <v>Q9H4Z3</v>
      </c>
      <c r="BR448" s="2">
        <v>42</v>
      </c>
      <c r="BS448" s="2">
        <v>62</v>
      </c>
      <c r="BT448" s="2">
        <v>95</v>
      </c>
      <c r="BU448" s="2" t="s">
        <v>127</v>
      </c>
      <c r="BV448" s="9" t="str">
        <f>HYPERLINK(".\links\FLYBASE\AGAP011933-PA-FLYBASE.txt","FBpp0077935")</f>
        <v>FBpp0077935</v>
      </c>
      <c r="BW448" s="2" t="str">
        <f>HYPERLINK("http://flybase.org/reports/FBgn0037021#alliance_summary_container","0.0")</f>
        <v>0.0</v>
      </c>
      <c r="BX448" s="2">
        <v>920</v>
      </c>
      <c r="BY448" s="2">
        <v>61</v>
      </c>
      <c r="BZ448" s="2">
        <v>72</v>
      </c>
      <c r="CA448" s="2">
        <v>79</v>
      </c>
      <c r="CB448" s="9" t="str">
        <f>HYPERLINK(".\links\CDD\AGAP011933-PA-CDD.txt","PCIF1_WW, Phosphorylated CTD interacting factor 1 WW domain")</f>
        <v>PCIF1_WW, Phosphorylated CTD interacting factor 1 WW domain</v>
      </c>
      <c r="CC448" s="15">
        <v>9.9999999999999997E-73</v>
      </c>
      <c r="CD448" s="2">
        <v>104.5</v>
      </c>
      <c r="CE448" s="2" t="s">
        <v>4777</v>
      </c>
      <c r="CF448" s="2" t="s">
        <v>4778</v>
      </c>
      <c r="CG448" s="9" t="str">
        <f>HYPERLINK(".\links\KOG\AGAP011933-PA-KOG.txt","Peptidyl-prolyl cis-trans isomerase")</f>
        <v>Peptidyl-prolyl cis-trans isomerase</v>
      </c>
      <c r="CH448" s="15">
        <v>2.0000000000000001E-4</v>
      </c>
      <c r="CI448" s="2">
        <v>25.2</v>
      </c>
      <c r="CJ448" s="2" t="s">
        <v>4779</v>
      </c>
      <c r="CK448" s="2" t="s">
        <v>111</v>
      </c>
      <c r="CL448" s="9" t="str">
        <f>HYPERLINK(".\links\PFAM\AGAP011933-PA-PFAM.txt","PCIF1_WW, Phosphorylated CTD interacting factor 1 WW domain")</f>
        <v>PCIF1_WW, Phosphorylated CTD interacting factor 1 WW domain</v>
      </c>
      <c r="CM448" s="15">
        <v>3.0000000000000001E-73</v>
      </c>
      <c r="CN448" s="2">
        <v>104.5</v>
      </c>
      <c r="CO448" s="2" t="s">
        <v>4777</v>
      </c>
      <c r="CP448" s="9" t="str">
        <f>HYPERLINK(".\links\SMART\AGAP011933-PA-SMART.txt","WW, Domain with 2 conserved Trp (W) residues")</f>
        <v>WW, Domain with 2 conserved Trp (W) residues</v>
      </c>
      <c r="CQ448" s="15">
        <v>3.0000000000000001E-6</v>
      </c>
      <c r="CR448" s="2">
        <v>90.9</v>
      </c>
      <c r="CS448" s="2" t="s">
        <v>4780</v>
      </c>
      <c r="CT448" s="2" t="s">
        <v>4775</v>
      </c>
      <c r="CU448" s="2" t="s">
        <v>4775</v>
      </c>
      <c r="CV448" s="2" t="s">
        <v>4775</v>
      </c>
      <c r="CW448" s="2" t="str">
        <f>HYPERLINK(".\links\pep\AGAP011933-PA-pep.txt","AGAP011933-PA")</f>
        <v>AGAP011933-PA</v>
      </c>
      <c r="CX448" s="2" t="s">
        <v>95</v>
      </c>
      <c r="CY448" s="2">
        <v>794</v>
      </c>
      <c r="CZ448" s="2" t="s">
        <v>113</v>
      </c>
      <c r="DA448" s="2" t="s">
        <v>4781</v>
      </c>
      <c r="DB448" s="2">
        <v>0</v>
      </c>
      <c r="DC448" s="2">
        <v>4</v>
      </c>
      <c r="DD448" s="2" t="str">
        <f>HYPERLINK("https://www.kegg.jp/kegg-bin/search_pathway_text?map=aga&amp;keyword=AGAP011933&amp;mode=1&amp;viewImage=true","AGAP011933")</f>
        <v>AGAP011933</v>
      </c>
      <c r="DE448" s="2" t="s">
        <v>4771</v>
      </c>
      <c r="DF448" s="2" t="s">
        <v>4772</v>
      </c>
      <c r="DG448" s="2" t="s">
        <v>94</v>
      </c>
      <c r="DH448" s="2" t="str">
        <f>HYPERLINK("https://vectorbase.org/vectorbase/app/record/gene/AGAP011933","AGAP011933-RA")</f>
        <v>AGAP011933-RA</v>
      </c>
      <c r="DI448" s="2" t="s">
        <v>135</v>
      </c>
      <c r="DJ448" s="2">
        <v>5481</v>
      </c>
      <c r="DK448" s="2" t="str">
        <f>HYPERLINK(".\links\netoglyc\AGAP011933-PA-netoglyc.txt","22")</f>
        <v>22</v>
      </c>
      <c r="DL448" s="2">
        <v>12.7</v>
      </c>
      <c r="DM448" s="2">
        <v>4.9000000000000004</v>
      </c>
      <c r="DN448" s="2">
        <v>10.199999999999999</v>
      </c>
      <c r="DO448" s="2" t="s">
        <v>104</v>
      </c>
      <c r="DP448" s="2" t="s">
        <v>102</v>
      </c>
      <c r="DQ448" s="2" t="str">
        <f>HYPERLINK(".\links\Sigp\AGAP011933-PA-SigP.txt","CYT")</f>
        <v>CYT</v>
      </c>
      <c r="DR448" s="2" t="s">
        <v>102</v>
      </c>
      <c r="DS448" s="2">
        <v>89.453999999999994</v>
      </c>
      <c r="DT448" s="2">
        <v>7.39</v>
      </c>
      <c r="DU448" s="2" t="s">
        <v>102</v>
      </c>
      <c r="DV448" s="2" t="s">
        <v>102</v>
      </c>
      <c r="DW448" s="2" t="s">
        <v>211</v>
      </c>
      <c r="DX448" s="2">
        <v>794</v>
      </c>
      <c r="DY448" s="12">
        <v>0</v>
      </c>
      <c r="DZ448" s="2" t="s">
        <v>102</v>
      </c>
      <c r="EA448" s="2" t="s">
        <v>102</v>
      </c>
      <c r="EB448" s="2" t="s">
        <v>102</v>
      </c>
      <c r="EC448" s="2" t="str">
        <f>HYPERLINK(".\links\gpi\AGAP011933-PA-gpi.txt","Y-NoSP")</f>
        <v>Y-NoSP</v>
      </c>
      <c r="ED448" s="2">
        <v>0.18</v>
      </c>
      <c r="EF448" s="2">
        <v>17</v>
      </c>
      <c r="EG448" s="2" t="str">
        <f>HYPERLINK(".\links\pep\AGAP011933-PA-sulf.txt","2")</f>
        <v>2</v>
      </c>
      <c r="EH448" s="2" t="s">
        <v>102</v>
      </c>
      <c r="EI448" s="2">
        <v>12.72040302267</v>
      </c>
      <c r="EJ448" s="2">
        <v>10.201511335012601</v>
      </c>
      <c r="EK448" s="2">
        <v>4.9118387909319896</v>
      </c>
      <c r="EL448" s="2">
        <v>15.113350125944599</v>
      </c>
      <c r="EM448" s="2">
        <v>4</v>
      </c>
      <c r="EN448" s="2" t="s">
        <v>102</v>
      </c>
      <c r="EO448" s="2">
        <v>6</v>
      </c>
      <c r="EP448" s="2" t="s">
        <v>102</v>
      </c>
      <c r="EQ448" s="2" t="s">
        <v>102</v>
      </c>
      <c r="ER448" s="2" t="s">
        <v>102</v>
      </c>
      <c r="ES448" s="2" t="s">
        <v>102</v>
      </c>
      <c r="ET448" s="2" t="str">
        <f>HYPERLINK(".\links\REFSEQ-INVERTEBRATE\AGAP011933-PA-REFSEQ-INVERTEBRATE.txt","AGAP011933-PA")</f>
        <v>AGAP011933-PA</v>
      </c>
      <c r="EU448" s="2" t="str">
        <f>HYPERLINK("http://www.ncbi.nlm.nih.gov/sutils/blink.cgi?pid=XP_320600.4","0.0")</f>
        <v>0.0</v>
      </c>
      <c r="EV448" s="2" t="str">
        <f>HYPERLINK("http://www.ncbi.nlm.nih.gov/protein/XP_320600.4","XP_320600.4")</f>
        <v>XP_320600.4</v>
      </c>
      <c r="EW448" s="2">
        <v>100</v>
      </c>
      <c r="EX448" s="2">
        <v>100</v>
      </c>
      <c r="EY448" s="2">
        <v>100</v>
      </c>
      <c r="EZ448" s="2" t="s">
        <v>105</v>
      </c>
    </row>
    <row r="449" spans="1:156" x14ac:dyDescent="0.25">
      <c r="A449" s="2" t="s">
        <v>4782</v>
      </c>
      <c r="B449" s="2">
        <v>-0.37610222847566399</v>
      </c>
      <c r="C449" s="2">
        <f t="shared" si="6"/>
        <v>0.77051650810216366</v>
      </c>
      <c r="D449" s="2">
        <v>7.1534082707989004</v>
      </c>
      <c r="E449" s="2">
        <v>13.817724901353801</v>
      </c>
      <c r="F449" s="2">
        <v>2.01426991284554E-4</v>
      </c>
      <c r="G449" s="2">
        <v>1.58805039928742E-2</v>
      </c>
      <c r="H449" s="2" t="s">
        <v>93</v>
      </c>
      <c r="I449" s="2" t="s">
        <v>94</v>
      </c>
      <c r="J449" s="2" t="str">
        <f>HYPERLINK("https://vectorbase.org/vectorbase/app/record/gene/AGAP029516","AGAP029516-RA")</f>
        <v>AGAP029516-RA</v>
      </c>
      <c r="K449" s="2" t="str">
        <f>HYPERLINK(".\links\pep\AGAP029516-PA-pep.txt","AGAP029516-PA")</f>
        <v>AGAP029516-PA</v>
      </c>
      <c r="L449" s="12" t="s">
        <v>95</v>
      </c>
      <c r="M449" s="2">
        <v>1984</v>
      </c>
      <c r="N449" s="2">
        <v>0</v>
      </c>
      <c r="O449" s="2">
        <v>6</v>
      </c>
      <c r="P449" s="2" t="s">
        <v>102</v>
      </c>
      <c r="Q449" s="9" t="s">
        <v>4783</v>
      </c>
      <c r="R449" s="2" t="s">
        <v>358</v>
      </c>
      <c r="S449" s="2" t="str">
        <f>HYPERLINK(".\links\PFAM\AGAP029516-PA-PFAM.txt","PFAM")</f>
        <v>PFAM</v>
      </c>
      <c r="T449" s="2">
        <v>5E-56</v>
      </c>
      <c r="U449" s="2">
        <v>100</v>
      </c>
      <c r="V449" s="2" t="s">
        <v>4784</v>
      </c>
      <c r="W449" s="10" t="s">
        <v>4785</v>
      </c>
      <c r="X449" s="2" t="s">
        <v>355</v>
      </c>
      <c r="Y449" s="2" t="str">
        <f>HYPERLINK(".\links\REFSEQVERTEBRATE95\AGAP029516-PA-REFSEQVERTEBRATE95.txt","REFSEQVERTEBRATE95")</f>
        <v>REFSEQVERTEBRATE95</v>
      </c>
      <c r="Z449" s="15">
        <v>9.9999999999999998E-46</v>
      </c>
      <c r="AA449" s="2">
        <v>28.7</v>
      </c>
      <c r="AB449" s="13" t="str">
        <f>HYPERLINK(".\links\pep\AGAP029516-PA-sulf.txt","2")</f>
        <v>2</v>
      </c>
      <c r="AC449" s="13" t="str">
        <f>HYPERLINK(".\links\Sigp\AGAP029516-PA-SigP.txt","CYT")</f>
        <v>CYT</v>
      </c>
      <c r="AD449" s="2" t="s">
        <v>102</v>
      </c>
      <c r="AE449" s="2">
        <v>219.45099999999999</v>
      </c>
      <c r="AF449" s="2">
        <v>8.7799999999999994</v>
      </c>
      <c r="AG449" s="2" t="s">
        <v>102</v>
      </c>
      <c r="AH449" s="2" t="s">
        <v>102</v>
      </c>
      <c r="AI449" s="2" t="s">
        <v>2739</v>
      </c>
      <c r="AJ449" s="13">
        <v>0</v>
      </c>
      <c r="AK449" s="2" t="s">
        <v>102</v>
      </c>
      <c r="AL449" s="2" t="s">
        <v>102</v>
      </c>
      <c r="AM449" s="2" t="s">
        <v>102</v>
      </c>
      <c r="AN449" s="9" t="str">
        <f>HYPERLINK(".\links\gpi\AGAP029516-PA-gpi.txt","N")</f>
        <v>N</v>
      </c>
      <c r="AO449" s="14" t="str">
        <f>HYPERLINK(".\links\netoglyc\AGAP029516-PA-netoglyc.txt","5")</f>
        <v>5</v>
      </c>
      <c r="AP449" s="13">
        <v>16.5</v>
      </c>
      <c r="AQ449" s="2">
        <v>7.9</v>
      </c>
      <c r="AR449" s="2">
        <v>6.1</v>
      </c>
      <c r="AS449" s="2" t="s">
        <v>104</v>
      </c>
      <c r="AT449" s="9" t="str">
        <f>HYPERLINK(".\links\NR-LIGHT\AGAP029516-PA-NR-LIGHT.txt","short spindle 4")</f>
        <v>short spindle 4</v>
      </c>
      <c r="AU449" s="2" t="str">
        <f>HYPERLINK("http://www.ncbi.nlm.nih.gov/sutils/blink.cgi?pid=ETN66984.1","0.0")</f>
        <v>0.0</v>
      </c>
      <c r="AV449" s="2" t="str">
        <f>HYPERLINK("http://www.ncbi.nlm.nih.gov/protein/ETN66984.1","ETN66984.1")</f>
        <v>ETN66984.1</v>
      </c>
      <c r="AW449" s="2">
        <v>82</v>
      </c>
      <c r="AX449" s="2">
        <v>86</v>
      </c>
      <c r="AY449" s="2">
        <v>104</v>
      </c>
      <c r="AZ449" s="2" t="s">
        <v>360</v>
      </c>
      <c r="BA449" s="9" t="str">
        <f>HYPERLINK(".\links\REFSEQ-INVERTEBRATE\AGAP029516-PA-REFSEQ-INVERTEBRATE.txt","patronin isoform X2")</f>
        <v>patronin isoform X2</v>
      </c>
      <c r="BB449" s="2" t="str">
        <f>HYPERLINK("http://www.ncbi.nlm.nih.gov/sutils/blink.cgi?pid=XP_021710395.1","0.0")</f>
        <v>0.0</v>
      </c>
      <c r="BC449" s="2" t="str">
        <f>HYPERLINK("http://www.ncbi.nlm.nih.gov/protein/XP_021710395.1","XP_021710395.1")</f>
        <v>XP_021710395.1</v>
      </c>
      <c r="BD449" s="2">
        <v>72</v>
      </c>
      <c r="BE449" s="2">
        <v>78</v>
      </c>
      <c r="BF449" s="2">
        <v>107</v>
      </c>
      <c r="BG449" s="2" t="s">
        <v>391</v>
      </c>
      <c r="BH449" s="9" t="str">
        <f>HYPERLINK(".\links\REFSEQ-PROTOZOA\AGAP029516-PA-REFSEQ-PROTOZOA.txt","hypothetical protein DDB_G0278749")</f>
        <v>hypothetical protein DDB_G0278749</v>
      </c>
      <c r="BI449" s="2" t="str">
        <f>HYPERLINK("http://www.ncbi.nlm.nih.gov/sutils/blink.cgi?pid=XP_641911.1","3E-017")</f>
        <v>3E-017</v>
      </c>
      <c r="BJ449" s="2" t="str">
        <f>HYPERLINK("http://www.ncbi.nlm.nih.gov/protein/XP_641911.1","XP_641911.1")</f>
        <v>XP_641911.1</v>
      </c>
      <c r="BK449" s="2">
        <v>23</v>
      </c>
      <c r="BL449" s="2">
        <v>37</v>
      </c>
      <c r="BM449" s="2">
        <v>86</v>
      </c>
      <c r="BN449" s="2" t="s">
        <v>612</v>
      </c>
      <c r="BO449" s="9" t="str">
        <f>HYPERLINK(".\links\SWISSP\AGAP029516-PA-SWISSP.txt","Patronin")</f>
        <v>Patronin</v>
      </c>
      <c r="BP449" s="2" t="str">
        <f>HYPERLINK("http://www.uniprot.org/uniprot/A1ZAU8","0.0")</f>
        <v>0.0</v>
      </c>
      <c r="BQ449" s="2" t="str">
        <f>HYPERLINK("http://www.uniprot.org/uniprot/A1ZAU8#expression","A1ZAU8")</f>
        <v>A1ZAU8</v>
      </c>
      <c r="BR449" s="2">
        <v>45</v>
      </c>
      <c r="BS449" s="2">
        <v>56</v>
      </c>
      <c r="BT449" s="2">
        <v>111</v>
      </c>
      <c r="BU449" s="2" t="s">
        <v>107</v>
      </c>
      <c r="BV449" s="9" t="str">
        <f>HYPERLINK(".\links\FLYBASE\AGAP029516-PA-FLYBASE.txt","FBpp0304556")</f>
        <v>FBpp0304556</v>
      </c>
      <c r="BW449" s="2" t="str">
        <f>HYPERLINK("http://flybase.org/reports/FBgn0263197#alliance_summary_container","0.0")</f>
        <v>0.0</v>
      </c>
      <c r="BX449" s="2">
        <v>1683</v>
      </c>
      <c r="BY449" s="2">
        <v>44</v>
      </c>
      <c r="BZ449" s="2">
        <v>55</v>
      </c>
      <c r="CA449" s="2">
        <v>123</v>
      </c>
      <c r="CB449" s="9" t="str">
        <f>HYPERLINK(".\links\CDD\AGAP029516-PA-CDD.txt","CAMSAP_CKK, Microtubule-binding calmodulin-regulated spectrin-associated")</f>
        <v>CAMSAP_CKK, Microtubule-binding calmodulin-regulated spectrin-associated</v>
      </c>
      <c r="CC449" s="15">
        <v>3.0000000000000002E-55</v>
      </c>
      <c r="CD449" s="2">
        <v>100</v>
      </c>
      <c r="CE449" s="2" t="s">
        <v>4786</v>
      </c>
      <c r="CF449" s="2" t="s">
        <v>4787</v>
      </c>
      <c r="CG449" s="9" t="str">
        <f>HYPERLINK(".\links\KOG\AGAP029516-PA-KOG.txt","Uncharacterized CH domain protein")</f>
        <v>Uncharacterized CH domain protein</v>
      </c>
      <c r="CH449" s="15">
        <v>8.0000000000000004E-32</v>
      </c>
      <c r="CI449" s="2">
        <v>39.700000000000003</v>
      </c>
      <c r="CJ449" s="2" t="s">
        <v>4788</v>
      </c>
      <c r="CK449" s="2" t="s">
        <v>131</v>
      </c>
      <c r="CL449" s="9" t="str">
        <f>HYPERLINK(".\links\PFAM\AGAP029516-PA-PFAM.txt","CAMSAP_CKK, Microtubule-binding calmodulin-regulated spectrin-associated")</f>
        <v>CAMSAP_CKK, Microtubule-binding calmodulin-regulated spectrin-associated</v>
      </c>
      <c r="CM449" s="15">
        <v>5E-56</v>
      </c>
      <c r="CN449" s="2">
        <v>100</v>
      </c>
      <c r="CO449" s="2" t="s">
        <v>4786</v>
      </c>
      <c r="CP449" s="9" t="str">
        <f>HYPERLINK(".\links\SMART\AGAP029516-PA-SMART.txt","CAMSAP_CKK, Microtubule-binding calmodulin-regulated spectrin-associated")</f>
        <v>CAMSAP_CKK, Microtubule-binding calmodulin-regulated spectrin-associated</v>
      </c>
      <c r="CQ449" s="15">
        <v>1E-54</v>
      </c>
      <c r="CR449" s="2">
        <v>100</v>
      </c>
      <c r="CS449" s="2" t="s">
        <v>4789</v>
      </c>
      <c r="CT449" s="2" t="s">
        <v>4784</v>
      </c>
      <c r="CU449" s="2" t="s">
        <v>4784</v>
      </c>
      <c r="CV449" s="2" t="s">
        <v>4784</v>
      </c>
      <c r="CW449" s="2" t="str">
        <f>HYPERLINK(".\links\pep\AGAP029516-PA-pep.txt","AGAP029516-PA")</f>
        <v>AGAP029516-PA</v>
      </c>
      <c r="CX449" s="2" t="s">
        <v>95</v>
      </c>
      <c r="CY449" s="2">
        <v>1984</v>
      </c>
      <c r="CZ449" s="2" t="s">
        <v>113</v>
      </c>
      <c r="DA449" s="2" t="s">
        <v>4790</v>
      </c>
      <c r="DB449" s="2">
        <v>0</v>
      </c>
      <c r="DC449" s="2">
        <v>6</v>
      </c>
      <c r="DD449" s="2" t="str">
        <f>HYPERLINK("https://www.kegg.jp/kegg-bin/search_pathway_text?map=aga&amp;keyword=AGAP029516&amp;mode=1&amp;viewImage=true","AGAP029516")</f>
        <v>AGAP029516</v>
      </c>
      <c r="DE449" s="2" t="s">
        <v>4782</v>
      </c>
      <c r="DF449" s="2" t="s">
        <v>93</v>
      </c>
      <c r="DG449" s="2" t="s">
        <v>94</v>
      </c>
      <c r="DH449" s="2" t="str">
        <f>HYPERLINK("https://vectorbase.org/vectorbase/app/record/gene/AGAP029516","AGAP029516-RA")</f>
        <v>AGAP029516-RA</v>
      </c>
      <c r="DI449" s="2" t="s">
        <v>115</v>
      </c>
      <c r="DJ449" s="2">
        <v>11540</v>
      </c>
      <c r="DK449" s="2" t="str">
        <f>HYPERLINK(".\links\netoglyc\AGAP029516-PA-netoglyc.txt","5")</f>
        <v>5</v>
      </c>
      <c r="DL449" s="2">
        <v>16.5</v>
      </c>
      <c r="DM449" s="2">
        <v>7.9</v>
      </c>
      <c r="DN449" s="2">
        <v>6.1</v>
      </c>
      <c r="DO449" s="2" t="s">
        <v>104</v>
      </c>
      <c r="DP449" s="2" t="s">
        <v>4791</v>
      </c>
      <c r="DQ449" s="2" t="str">
        <f>HYPERLINK(".\links\Sigp\AGAP029516-PA-SigP.txt","CYT")</f>
        <v>CYT</v>
      </c>
      <c r="DR449" s="2" t="s">
        <v>102</v>
      </c>
      <c r="DS449" s="2">
        <v>219.45099999999999</v>
      </c>
      <c r="DT449" s="2">
        <v>8.7799999999999994</v>
      </c>
      <c r="DU449" s="2" t="s">
        <v>102</v>
      </c>
      <c r="DV449" s="2" t="s">
        <v>102</v>
      </c>
      <c r="DW449" s="2" t="s">
        <v>2739</v>
      </c>
      <c r="DX449" s="2">
        <v>1984</v>
      </c>
      <c r="DY449" s="12">
        <v>0</v>
      </c>
      <c r="DZ449" s="2" t="s">
        <v>102</v>
      </c>
      <c r="EA449" s="2" t="s">
        <v>102</v>
      </c>
      <c r="EB449" s="2" t="s">
        <v>102</v>
      </c>
      <c r="EC449" s="2" t="str">
        <f>HYPERLINK(".\links\gpi\AGAP029516-PA-gpi.txt","Y-NoSP")</f>
        <v>Y-NoSP</v>
      </c>
      <c r="ED449" s="2">
        <v>0.24</v>
      </c>
      <c r="EF449" s="2">
        <v>14</v>
      </c>
      <c r="EG449" s="2" t="str">
        <f>HYPERLINK(".\links\pep\AGAP029516-PA-sulf.txt","2")</f>
        <v>2</v>
      </c>
      <c r="EH449" s="2" t="s">
        <v>102</v>
      </c>
      <c r="EI449" s="2">
        <v>16.5322580645161</v>
      </c>
      <c r="EJ449" s="2">
        <v>6.0987903225806503</v>
      </c>
      <c r="EK449" s="2">
        <v>7.9133064516129004</v>
      </c>
      <c r="EL449" s="2">
        <v>14.0120967741935</v>
      </c>
      <c r="EM449" s="2">
        <v>4</v>
      </c>
      <c r="EN449" s="2">
        <v>6</v>
      </c>
      <c r="EO449" s="2">
        <v>10</v>
      </c>
      <c r="EP449" s="2" t="s">
        <v>102</v>
      </c>
      <c r="EQ449" s="2" t="s">
        <v>102</v>
      </c>
      <c r="ER449" s="2" t="s">
        <v>102</v>
      </c>
      <c r="ES449" s="2" t="s">
        <v>102</v>
      </c>
      <c r="ET449" s="2" t="str">
        <f>HYPERLINK(".\links\REFSEQ-INVERTEBRATE\AGAP029516-PA-REFSEQ-INVERTEBRATE.txt","patronin isoform X2")</f>
        <v>patronin isoform X2</v>
      </c>
      <c r="EU449" s="2" t="str">
        <f>HYPERLINK("http://www.ncbi.nlm.nih.gov/sutils/blink.cgi?pid=XP_035898283.1","0.0")</f>
        <v>0.0</v>
      </c>
      <c r="EV449" s="2" t="str">
        <f>HYPERLINK("http://www.ncbi.nlm.nih.gov/protein/XP_035898283.1","XP_035898283.1")</f>
        <v>XP_035898283.1</v>
      </c>
      <c r="EW449" s="2">
        <v>89</v>
      </c>
      <c r="EX449" s="2">
        <v>91</v>
      </c>
      <c r="EY449" s="2">
        <v>101</v>
      </c>
      <c r="EZ449" s="2" t="s">
        <v>370</v>
      </c>
    </row>
    <row r="450" spans="1:156" x14ac:dyDescent="0.25">
      <c r="A450" s="2" t="s">
        <v>4792</v>
      </c>
      <c r="B450" s="2">
        <v>-0.37665367608711597</v>
      </c>
      <c r="C450" s="2">
        <f t="shared" ref="C450:C513" si="7">2^B450</f>
        <v>0.77022204650030657</v>
      </c>
      <c r="D450" s="2">
        <v>7.4070784926978996</v>
      </c>
      <c r="E450" s="2">
        <v>8.8579404392627694</v>
      </c>
      <c r="F450" s="2">
        <v>2.9181664657544301E-3</v>
      </c>
      <c r="G450" s="2">
        <v>4.9803632520221103E-2</v>
      </c>
      <c r="H450" s="2" t="s">
        <v>93</v>
      </c>
      <c r="I450" s="2" t="s">
        <v>94</v>
      </c>
      <c r="J450" s="2" t="str">
        <f>HYPERLINK("https://vectorbase.org/vectorbase/app/record/gene/AGAP005533","AGAP005533-RA")</f>
        <v>AGAP005533-RA</v>
      </c>
      <c r="K450" s="2" t="str">
        <f>HYPERLINK(".\links\pep\AGAP005533-PA-pep.txt","AGAP005533-PA")</f>
        <v>AGAP005533-PA</v>
      </c>
      <c r="L450" s="12" t="s">
        <v>95</v>
      </c>
      <c r="M450" s="2">
        <v>4011</v>
      </c>
      <c r="N450" s="2">
        <v>0</v>
      </c>
      <c r="O450" s="2">
        <v>15</v>
      </c>
      <c r="P450" s="2" t="s">
        <v>4793</v>
      </c>
      <c r="Q450" s="9" t="s">
        <v>4794</v>
      </c>
      <c r="R450" s="2" t="s">
        <v>355</v>
      </c>
      <c r="S450" s="2" t="str">
        <f>HYPERLINK(".\links\KOG\AGAP005533-PA-KOG.txt","KOG")</f>
        <v>KOG</v>
      </c>
      <c r="T450" s="2">
        <v>0</v>
      </c>
      <c r="U450" s="2">
        <v>93.7</v>
      </c>
      <c r="V450" s="2" t="s">
        <v>4795</v>
      </c>
      <c r="W450" s="10" t="s">
        <v>4796</v>
      </c>
      <c r="X450" s="2" t="s">
        <v>420</v>
      </c>
      <c r="Y450" s="2" t="str">
        <f>HYPERLINK(".\links\REFSEQVERTEBRATE95\AGAP005533-PA-REFSEQVERTEBRATE95.txt","REFSEQVERTEBRATE95")</f>
        <v>REFSEQVERTEBRATE95</v>
      </c>
      <c r="Z450" s="2">
        <v>0</v>
      </c>
      <c r="AA450" s="2">
        <v>104.9</v>
      </c>
      <c r="AB450" s="13" t="str">
        <f>HYPERLINK(".\links\pep\AGAP005533-PA-sulf.txt","2")</f>
        <v>2</v>
      </c>
      <c r="AC450" s="13" t="str">
        <f>HYPERLINK(".\links\Sigp\AGAP005533-PA-SigP.txt","CYT")</f>
        <v>CYT</v>
      </c>
      <c r="AD450" s="2" t="s">
        <v>102</v>
      </c>
      <c r="AE450" s="2">
        <v>450.363</v>
      </c>
      <c r="AF450" s="2">
        <v>7.98</v>
      </c>
      <c r="AG450" s="2" t="s">
        <v>102</v>
      </c>
      <c r="AH450" s="2" t="s">
        <v>102</v>
      </c>
      <c r="AI450" s="2" t="s">
        <v>4797</v>
      </c>
      <c r="AJ450" s="13">
        <v>0</v>
      </c>
      <c r="AK450" s="2" t="s">
        <v>102</v>
      </c>
      <c r="AL450" s="2" t="s">
        <v>102</v>
      </c>
      <c r="AM450" s="2" t="s">
        <v>102</v>
      </c>
      <c r="AN450" s="13" t="str">
        <f>HYPERLINK(".\links\gpi\AGAP005533-PA-gpi.txt","N")</f>
        <v>N</v>
      </c>
      <c r="AO450" s="14" t="str">
        <f>HYPERLINK(".\links\netoglyc\AGAP005533-PA-netoglyc.txt","17")</f>
        <v>17</v>
      </c>
      <c r="AP450" s="13">
        <v>12.4</v>
      </c>
      <c r="AQ450" s="2">
        <v>4.9000000000000004</v>
      </c>
      <c r="AR450" s="2">
        <v>4.7</v>
      </c>
      <c r="AS450" s="2" t="s">
        <v>104</v>
      </c>
      <c r="AT450" s="9" t="str">
        <f>HYPERLINK(".\links\NR-LIGHT\AGAP005533-PA-NR-LIGHT.txt","AGAP005533-PA-like protein")</f>
        <v>AGAP005533-PA-like protein</v>
      </c>
      <c r="AU450" s="2" t="str">
        <f>HYPERLINK("http://www.ncbi.nlm.nih.gov/sutils/blink.cgi?pid=KFB43270.1","0.0")</f>
        <v>0.0</v>
      </c>
      <c r="AV450" s="2" t="str">
        <f>HYPERLINK("http://www.ncbi.nlm.nih.gov/protein/KFB43270.1","KFB43270.1")</f>
        <v>KFB43270.1</v>
      </c>
      <c r="AW450" s="2">
        <v>89</v>
      </c>
      <c r="AX450" s="2">
        <v>92</v>
      </c>
      <c r="AY450" s="2">
        <v>102</v>
      </c>
      <c r="AZ450" s="2" t="s">
        <v>1522</v>
      </c>
      <c r="BA450" s="9" t="str">
        <f>HYPERLINK(".\links\REFSEQ-INVERTEBRATE\AGAP005533-PA-REFSEQ-INVERTEBRATE.txt","AGAP005533-PA")</f>
        <v>AGAP005533-PA</v>
      </c>
      <c r="BB450" s="2" t="str">
        <f>HYPERLINK("http://www.ncbi.nlm.nih.gov/sutils/blink.cgi?pid=XP_556172.2","0.0")</f>
        <v>0.0</v>
      </c>
      <c r="BC450" s="2" t="str">
        <f>HYPERLINK("http://www.ncbi.nlm.nih.gov/protein/XP_556172.2","XP_556172.2")</f>
        <v>XP_556172.2</v>
      </c>
      <c r="BD450" s="2">
        <v>97</v>
      </c>
      <c r="BE450" s="2">
        <v>97</v>
      </c>
      <c r="BF450" s="2">
        <v>87</v>
      </c>
      <c r="BG450" s="2" t="s">
        <v>105</v>
      </c>
      <c r="BH450" s="9" t="str">
        <f>HYPERLINK(".\links\REFSEQ-PROTOZOA\AGAP005533-PA-REFSEQ-PROTOZOA.txt","TRRAP family protein, partial")</f>
        <v>TRRAP family protein, partial</v>
      </c>
      <c r="BI450" s="2" t="str">
        <f>HYPERLINK("http://www.ncbi.nlm.nih.gov/sutils/blink.cgi?pid=XP_004332860.1","0.0")</f>
        <v>0.0</v>
      </c>
      <c r="BJ450" s="2" t="str">
        <f>HYPERLINK("http://www.ncbi.nlm.nih.gov/protein/XP_004332860.1","XP_004332860.1")</f>
        <v>XP_004332860.1</v>
      </c>
      <c r="BK450" s="2">
        <v>31</v>
      </c>
      <c r="BL450" s="2">
        <v>48</v>
      </c>
      <c r="BM450" s="2">
        <v>105</v>
      </c>
      <c r="BN450" s="2" t="s">
        <v>600</v>
      </c>
      <c r="BO450" s="9" t="str">
        <f>HYPERLINK(".\links\SWISSP\AGAP005533-PA-SWISSP.txt","Transcription-associated protein 1")</f>
        <v>Transcription-associated protein 1</v>
      </c>
      <c r="BP450" s="2" t="str">
        <f>HYPERLINK("http://www.uniprot.org/uniprot/Q8I8U7","0.0")</f>
        <v>0.0</v>
      </c>
      <c r="BQ450" s="2" t="str">
        <f>HYPERLINK("http://www.uniprot.org/uniprot/Q8I8U7#expression","Q8I8U7")</f>
        <v>Q8I8U7</v>
      </c>
      <c r="BR450" s="2">
        <v>59</v>
      </c>
      <c r="BS450" s="2">
        <v>76</v>
      </c>
      <c r="BT450" s="2">
        <v>88</v>
      </c>
      <c r="BU450" s="2" t="s">
        <v>107</v>
      </c>
      <c r="BV450" s="9" t="str">
        <f>HYPERLINK(".\links\FLYBASE\AGAP005533-PA-FLYBASE.txt","FBpp0292385")</f>
        <v>FBpp0292385</v>
      </c>
      <c r="BW450" s="2" t="str">
        <f>HYPERLINK("http://flybase.org/reports/FBgn0053554#alliance_summary_container","0.0")</f>
        <v>0.0</v>
      </c>
      <c r="BX450" s="2">
        <v>3790</v>
      </c>
      <c r="BY450" s="2">
        <v>59</v>
      </c>
      <c r="BZ450" s="2">
        <v>76</v>
      </c>
      <c r="CA450" s="2">
        <v>88</v>
      </c>
      <c r="CB450" s="9" t="str">
        <f>HYPERLINK(".\links\CDD\AGAP005533-PA-CDD.txt","PIKK_TRRAP, Pseudokinase domain of TRansformation/tRanscription domain-Associated Protein")</f>
        <v>PIKK_TRRAP, Pseudokinase domain of TRansformation/tRanscription domain-Associated Protein</v>
      </c>
      <c r="CC450" s="15">
        <v>3.0000000000000001E-94</v>
      </c>
      <c r="CD450" s="2">
        <v>114.3</v>
      </c>
      <c r="CE450" s="2" t="s">
        <v>4798</v>
      </c>
      <c r="CF450" s="2" t="s">
        <v>4799</v>
      </c>
      <c r="CG450" s="9" t="str">
        <f>HYPERLINK(".\links\KOG\AGAP005533-PA-KOG.txt","TRRAP/TRA1 component, PI-3 kinase superfamily")</f>
        <v>TRRAP/TRA1 component, PI-3 kinase superfamily</v>
      </c>
      <c r="CH450" s="15">
        <v>0</v>
      </c>
      <c r="CI450" s="2">
        <v>93.7</v>
      </c>
      <c r="CJ450" s="2" t="s">
        <v>1409</v>
      </c>
      <c r="CK450" s="2" t="s">
        <v>204</v>
      </c>
      <c r="CL450" s="9" t="str">
        <f>HYPERLINK(".\links\PFAM\AGAP005533-PA-PFAM.txt","FAT, FAT domain")</f>
        <v>FAT, FAT domain</v>
      </c>
      <c r="CM450" s="15">
        <v>3.9999999999999997E-71</v>
      </c>
      <c r="CN450" s="2">
        <v>109.6</v>
      </c>
      <c r="CO450" s="2" t="s">
        <v>4800</v>
      </c>
      <c r="CP450" s="9" t="str">
        <f>HYPERLINK(".\links\SMART\AGAP005533-PA-SMART.txt","PI3Kc, Phosphoinositide 3-kinase, catalytic domain")</f>
        <v>PI3Kc, Phosphoinositide 3-kinase, catalytic domain</v>
      </c>
      <c r="CQ450" s="15">
        <v>8.9999999999999996E-29</v>
      </c>
      <c r="CR450" s="2">
        <v>102.9</v>
      </c>
      <c r="CS450" s="2" t="s">
        <v>1241</v>
      </c>
      <c r="CT450" s="2" t="s">
        <v>4795</v>
      </c>
      <c r="CU450" s="2" t="s">
        <v>4795</v>
      </c>
      <c r="CV450" s="2" t="s">
        <v>4795</v>
      </c>
      <c r="CW450" s="2" t="str">
        <f>HYPERLINK(".\links\pep\AGAP005533-PA-pep.txt","AGAP005533-PA")</f>
        <v>AGAP005533-PA</v>
      </c>
      <c r="CX450" s="2" t="s">
        <v>95</v>
      </c>
      <c r="CY450" s="2">
        <v>4010</v>
      </c>
      <c r="CZ450" s="2" t="s">
        <v>113</v>
      </c>
      <c r="DA450" s="2" t="s">
        <v>4801</v>
      </c>
      <c r="DB450" s="2">
        <v>0</v>
      </c>
      <c r="DC450" s="2">
        <v>15</v>
      </c>
      <c r="DD450" s="2" t="str">
        <f>HYPERLINK("https://www.kegg.jp/kegg-bin/search_pathway_text?map=aga&amp;keyword=AGAP005533&amp;mode=1&amp;viewImage=true","AGAP005533")</f>
        <v>AGAP005533</v>
      </c>
      <c r="DE450" s="2" t="s">
        <v>4792</v>
      </c>
      <c r="DF450" s="2" t="s">
        <v>93</v>
      </c>
      <c r="DG450" s="2" t="s">
        <v>94</v>
      </c>
      <c r="DH450" s="2" t="str">
        <f>HYPERLINK("https://vectorbase.org/vectorbase/app/record/gene/AGAP005533","AGAP005533-RA")</f>
        <v>AGAP005533-RA</v>
      </c>
      <c r="DI450" s="2" t="s">
        <v>115</v>
      </c>
      <c r="DJ450" s="2">
        <v>12456</v>
      </c>
      <c r="DK450" s="2" t="str">
        <f>HYPERLINK(".\links\netoglyc\AGAP005533-PA-netoglyc.txt","17")</f>
        <v>17</v>
      </c>
      <c r="DL450" s="2">
        <v>12.4</v>
      </c>
      <c r="DM450" s="2">
        <v>4.9000000000000004</v>
      </c>
      <c r="DN450" s="2">
        <v>4.7</v>
      </c>
      <c r="DO450" s="2" t="s">
        <v>104</v>
      </c>
      <c r="DP450" s="2" t="s">
        <v>102</v>
      </c>
      <c r="DQ450" s="2" t="str">
        <f>HYPERLINK(".\links\Sigp\AGAP005533-PA-SigP.txt","CYT")</f>
        <v>CYT</v>
      </c>
      <c r="DR450" s="2" t="s">
        <v>102</v>
      </c>
      <c r="DS450" s="2">
        <v>450.26400000000001</v>
      </c>
      <c r="DT450" s="2">
        <v>7.98</v>
      </c>
      <c r="DU450" s="2" t="s">
        <v>102</v>
      </c>
      <c r="DV450" s="2" t="s">
        <v>102</v>
      </c>
      <c r="DW450" s="2" t="s">
        <v>4797</v>
      </c>
      <c r="DX450" s="2">
        <v>4010</v>
      </c>
      <c r="DY450" s="12">
        <v>0</v>
      </c>
      <c r="DZ450" s="2" t="s">
        <v>102</v>
      </c>
      <c r="EA450" s="2" t="s">
        <v>102</v>
      </c>
      <c r="EB450" s="2" t="s">
        <v>102</v>
      </c>
      <c r="EC450" s="2" t="str">
        <f>HYPERLINK(".\links\gpi\AGAP005533-PA-gpi.txt","Y-NoSP")</f>
        <v>Y-NoSP</v>
      </c>
      <c r="ED450" s="2">
        <v>0.15</v>
      </c>
      <c r="EF450" s="2">
        <v>70</v>
      </c>
      <c r="EG450" s="2" t="str">
        <f>HYPERLINK(".\links\pep\AGAP005533-PA-sulf.txt","2")</f>
        <v>2</v>
      </c>
      <c r="EH450" s="2" t="s">
        <v>102</v>
      </c>
      <c r="EI450" s="2">
        <v>12.418952618453901</v>
      </c>
      <c r="EJ450" s="2">
        <v>4.7132169576059804</v>
      </c>
      <c r="EK450" s="2">
        <v>4.9127182044887796</v>
      </c>
      <c r="EL450" s="2">
        <v>9.6259351620947609</v>
      </c>
      <c r="EM450" s="2">
        <v>5</v>
      </c>
      <c r="EN450" s="2">
        <v>9</v>
      </c>
      <c r="EO450" s="2">
        <v>11</v>
      </c>
      <c r="EP450" s="2" t="s">
        <v>102</v>
      </c>
      <c r="EQ450" s="2" t="s">
        <v>102</v>
      </c>
      <c r="ER450" s="2" t="s">
        <v>102</v>
      </c>
      <c r="ES450" s="2" t="s">
        <v>102</v>
      </c>
      <c r="ET450" s="2" t="str">
        <f>HYPERLINK(".\links\REFSEQ-INVERTEBRATE\AGAP005533-PA-REFSEQ-INVERTEBRATE.txt","transcription-associated protein 1-like isoform X2")</f>
        <v>transcription-associated protein 1-like isoform X2</v>
      </c>
      <c r="EU450" s="2" t="str">
        <f>HYPERLINK("http://www.ncbi.nlm.nih.gov/sutils/blink.cgi?pid=XP_035793214.1","0.0")</f>
        <v>0.0</v>
      </c>
      <c r="EV450" s="2" t="str">
        <f>HYPERLINK("http://www.ncbi.nlm.nih.gov/protein/XP_035793214.1","XP_035793214.1")</f>
        <v>XP_035793214.1</v>
      </c>
      <c r="EW450" s="2">
        <v>84</v>
      </c>
      <c r="EX450" s="2">
        <v>89</v>
      </c>
      <c r="EY450" s="2">
        <v>100</v>
      </c>
      <c r="EZ450" s="2" t="s">
        <v>3932</v>
      </c>
    </row>
    <row r="451" spans="1:156" x14ac:dyDescent="0.25">
      <c r="A451" s="2" t="s">
        <v>4802</v>
      </c>
      <c r="B451" s="2">
        <v>-0.37763361897683301</v>
      </c>
      <c r="C451" s="2">
        <f t="shared" si="7"/>
        <v>0.76969905493476831</v>
      </c>
      <c r="D451" s="2">
        <v>7.4313282263134903</v>
      </c>
      <c r="E451" s="2">
        <v>11.494184787697799</v>
      </c>
      <c r="F451" s="2">
        <v>6.9814271977197305E-4</v>
      </c>
      <c r="G451" s="2">
        <v>2.8954601187736202E-2</v>
      </c>
      <c r="H451" s="2" t="s">
        <v>93</v>
      </c>
      <c r="I451" s="2" t="s">
        <v>94</v>
      </c>
      <c r="J451" s="2" t="str">
        <f>HYPERLINK("https://vectorbase.org/vectorbase/app/record/gene/AGAP002715","AGAP002715-RA")</f>
        <v>AGAP002715-RA</v>
      </c>
      <c r="K451" s="2" t="str">
        <f>HYPERLINK(".\links\pep\AGAP002715-PA-pep.txt","AGAP002715-PA")</f>
        <v>AGAP002715-PA</v>
      </c>
      <c r="L451" s="12" t="s">
        <v>95</v>
      </c>
      <c r="M451" s="2">
        <v>2534</v>
      </c>
      <c r="N451" s="2">
        <v>0</v>
      </c>
      <c r="O451" s="2">
        <v>2</v>
      </c>
      <c r="P451" s="2" t="s">
        <v>102</v>
      </c>
      <c r="Q451" s="9" t="s">
        <v>4803</v>
      </c>
      <c r="R451" s="2" t="s">
        <v>196</v>
      </c>
      <c r="S451" s="2" t="str">
        <f>HYPERLINK(".\links\REFSEQ-INVERTEBRATE\AGAP002715-PA-REFSEQ-INVERTEBRATE.txt","REFSEQ-INVERTEBRATE")</f>
        <v>REFSEQ-INVERTEBRATE</v>
      </c>
      <c r="T451" s="2">
        <v>0</v>
      </c>
      <c r="U451" s="2">
        <v>100.5</v>
      </c>
      <c r="V451" s="2" t="s">
        <v>4804</v>
      </c>
      <c r="W451" s="10" t="s">
        <v>4805</v>
      </c>
      <c r="X451" s="2" t="s">
        <v>196</v>
      </c>
      <c r="Y451" s="2" t="str">
        <f>HYPERLINK(".\links\ARTHORPODA\AGAP002715-PA-ARTHORPODA.txt","ARTHORPODA")</f>
        <v>ARTHORPODA</v>
      </c>
      <c r="Z451" s="15">
        <v>0</v>
      </c>
      <c r="AA451" s="2">
        <v>100</v>
      </c>
      <c r="AB451" s="13" t="s">
        <v>102</v>
      </c>
      <c r="AC451" s="13" t="str">
        <f>HYPERLINK(".\links\Sigp\AGAP002715-PA-SigP.txt","CYT")</f>
        <v>CYT</v>
      </c>
      <c r="AD451" s="2" t="s">
        <v>102</v>
      </c>
      <c r="AE451" s="2">
        <v>263.988</v>
      </c>
      <c r="AF451" s="2">
        <v>6.42</v>
      </c>
      <c r="AG451" s="2" t="s">
        <v>102</v>
      </c>
      <c r="AH451" s="2" t="s">
        <v>102</v>
      </c>
      <c r="AI451" s="2" t="s">
        <v>4806</v>
      </c>
      <c r="AJ451" s="13">
        <v>0</v>
      </c>
      <c r="AK451" s="2" t="s">
        <v>102</v>
      </c>
      <c r="AL451" s="2" t="s">
        <v>102</v>
      </c>
      <c r="AM451" s="2" t="s">
        <v>102</v>
      </c>
      <c r="AN451" s="13" t="str">
        <f>HYPERLINK(".\links\gpi\AGAP002715-PA-gpi.txt","N")</f>
        <v>N</v>
      </c>
      <c r="AO451" s="14" t="str">
        <f>HYPERLINK(".\links\netoglyc\AGAP002715-PA-netoglyc.txt","67")</f>
        <v>67</v>
      </c>
      <c r="AP451" s="13">
        <v>22.5</v>
      </c>
      <c r="AQ451" s="2">
        <v>7.8</v>
      </c>
      <c r="AR451" s="2">
        <v>5.8</v>
      </c>
      <c r="AS451" s="2" t="s">
        <v>104</v>
      </c>
      <c r="AT451" s="9" t="str">
        <f>HYPERLINK(".\links\NR-LIGHT\AGAP002715-PA-NR-LIGHT.txt","AGAP002715-PA")</f>
        <v>AGAP002715-PA</v>
      </c>
      <c r="AU451" s="2" t="str">
        <f>HYPERLINK("http://www.ncbi.nlm.nih.gov/sutils/blink.cgi?pid=XP_001688367.2","0.0")</f>
        <v>0.0</v>
      </c>
      <c r="AV451" s="2" t="str">
        <f>HYPERLINK("http://www.ncbi.nlm.nih.gov/protein/XP_001688367.2","XP_001688367.2")</f>
        <v>XP_001688367.2</v>
      </c>
      <c r="AW451" s="2">
        <v>98</v>
      </c>
      <c r="AX451" s="2">
        <v>99</v>
      </c>
      <c r="AY451" s="2">
        <v>101</v>
      </c>
      <c r="AZ451" s="2" t="s">
        <v>105</v>
      </c>
      <c r="BA451" s="9" t="str">
        <f>HYPERLINK(".\links\REFSEQ-INVERTEBRATE\AGAP002715-PA-REFSEQ-INVERTEBRATE.txt","AGAP002715-PA")</f>
        <v>AGAP002715-PA</v>
      </c>
      <c r="BB451" s="2" t="str">
        <f>HYPERLINK("http://www.ncbi.nlm.nih.gov/sutils/blink.cgi?pid=XP_001688367.2","0.0")</f>
        <v>0.0</v>
      </c>
      <c r="BC451" s="2" t="str">
        <f>HYPERLINK("http://www.ncbi.nlm.nih.gov/protein/XP_001688367.2","XP_001688367.2")</f>
        <v>XP_001688367.2</v>
      </c>
      <c r="BD451" s="2">
        <v>98</v>
      </c>
      <c r="BE451" s="2">
        <v>99</v>
      </c>
      <c r="BF451" s="2">
        <v>101</v>
      </c>
      <c r="BG451" s="2" t="s">
        <v>105</v>
      </c>
      <c r="BH451" s="9" t="str">
        <f>HYPERLINK(".\links\REFSEQ-PROTOZOA\AGAP002715-PA-REFSEQ-PROTOZOA.txt","proteophosphoglycan 5")</f>
        <v>proteophosphoglycan 5</v>
      </c>
      <c r="BI451" s="2" t="str">
        <f>HYPERLINK("http://www.ncbi.nlm.nih.gov/sutils/blink.cgi?pid=XP_003722449.1","3E-041")</f>
        <v>3E-041</v>
      </c>
      <c r="BJ451" s="2" t="str">
        <f>HYPERLINK("http://www.ncbi.nlm.nih.gov/protein/XP_003722449.1","XP_003722449.1")</f>
        <v>XP_003722449.1</v>
      </c>
      <c r="BK451" s="2">
        <v>17</v>
      </c>
      <c r="BL451" s="2">
        <v>34</v>
      </c>
      <c r="BM451" s="2">
        <v>9</v>
      </c>
      <c r="BN451" s="2" t="s">
        <v>3969</v>
      </c>
      <c r="BO451" s="9" t="str">
        <f>HYPERLINK(".\links\SWISSP\AGAP002715-PA-SWISSP.txt","Platelet binding protein GspB")</f>
        <v>Platelet binding protein GspB</v>
      </c>
      <c r="BP451" s="2" t="str">
        <f>HYPERLINK("http://www.uniprot.org/uniprot/Q939N5","2E-058")</f>
        <v>2E-058</v>
      </c>
      <c r="BQ451" s="2" t="str">
        <f>HYPERLINK("http://www.uniprot.org/uniprot/Q939N5#expression","Q939N5")</f>
        <v>Q939N5</v>
      </c>
      <c r="BR451" s="2">
        <v>17</v>
      </c>
      <c r="BS451" s="2">
        <v>35</v>
      </c>
      <c r="BT451" s="2">
        <v>81</v>
      </c>
      <c r="BU451" s="2" t="s">
        <v>4059</v>
      </c>
      <c r="BV451" s="9" t="str">
        <f>HYPERLINK(".\links\FLYBASE\AGAP002715-PA-FLYBASE.txt","FBpp0298291")</f>
        <v>FBpp0298291</v>
      </c>
      <c r="BW451" s="2" t="str">
        <f>HYPERLINK("http://flybase.org/reports/FBgn0261954#alliance_summary_container","1E-66")</f>
        <v>1E-66</v>
      </c>
      <c r="BX451" s="2">
        <v>2342</v>
      </c>
      <c r="BY451" s="2">
        <v>36</v>
      </c>
      <c r="BZ451" s="2">
        <v>50</v>
      </c>
      <c r="CA451" s="2">
        <v>18</v>
      </c>
      <c r="CB451" s="9" t="str">
        <f>HYPERLINK(".\links\CDD\AGAP002715-PA-CDD.txt","GBP_C, Guanylate-binding protein, C-terminal domain")</f>
        <v>GBP_C, Guanylate-binding protein, C-terminal domain</v>
      </c>
      <c r="CC451" s="15">
        <v>1.0000000000000001E-5</v>
      </c>
      <c r="CD451" s="2">
        <v>24.1</v>
      </c>
      <c r="CE451" s="2" t="s">
        <v>4807</v>
      </c>
      <c r="CF451" s="2" t="s">
        <v>4808</v>
      </c>
      <c r="CG451" s="9" t="str">
        <f>HYPERLINK(".\links\KOG\AGAP002715-PA-KOG.txt","HECT superfamily")</f>
        <v>HECT superfamily</v>
      </c>
      <c r="CH451" s="15">
        <v>1.0000000000000001E-5</v>
      </c>
      <c r="CI451" s="2">
        <v>10.4</v>
      </c>
      <c r="CJ451" s="2" t="s">
        <v>4809</v>
      </c>
      <c r="CK451" s="2" t="s">
        <v>111</v>
      </c>
      <c r="CL451" s="9" t="str">
        <f>HYPERLINK(".\links\PFAM\AGAP002715-PA-PFAM.txt","ARGLU, Arginine and glutamate-rich 1")</f>
        <v>ARGLU, Arginine and glutamate-rich 1</v>
      </c>
      <c r="CM451" s="15">
        <v>2.0000000000000002E-5</v>
      </c>
      <c r="CN451" s="2">
        <v>48.6</v>
      </c>
      <c r="CO451" s="2" t="s">
        <v>4810</v>
      </c>
      <c r="CP451" s="9" t="str">
        <f>HYPERLINK(".\links\SMART\AGAP002715-PA-SMART.txt","Amelogenin, Amelogenins, cell adhesion proteins, play a role in the biomineralisation of teeth")</f>
        <v>Amelogenin, Amelogenins, cell adhesion proteins, play a role in the biomineralisation of teeth</v>
      </c>
      <c r="CQ451" s="15">
        <v>3.0000000000000001E-3</v>
      </c>
      <c r="CR451" s="2">
        <v>27.9</v>
      </c>
      <c r="CS451" s="2" t="s">
        <v>311</v>
      </c>
      <c r="CT451" s="2" t="s">
        <v>4804</v>
      </c>
      <c r="CU451" s="2" t="s">
        <v>4804</v>
      </c>
      <c r="CV451" s="2" t="s">
        <v>4804</v>
      </c>
      <c r="CW451" s="2" t="str">
        <f>HYPERLINK(".\links\pep\AGAP002715-PA-pep.txt","AGAP002715-PA")</f>
        <v>AGAP002715-PA</v>
      </c>
      <c r="CX451" s="2" t="s">
        <v>95</v>
      </c>
      <c r="CY451" s="2">
        <v>2534</v>
      </c>
      <c r="CZ451" s="2" t="s">
        <v>113</v>
      </c>
      <c r="DA451" s="2" t="s">
        <v>4811</v>
      </c>
      <c r="DB451" s="2">
        <v>0</v>
      </c>
      <c r="DC451" s="2">
        <v>2</v>
      </c>
      <c r="DD451" s="2" t="str">
        <f>HYPERLINK("https://www.kegg.jp/kegg-bin/search_pathway_text?map=aga&amp;keyword=AGAP002715&amp;mode=1&amp;viewImage=true","AGAP002715")</f>
        <v>AGAP002715</v>
      </c>
      <c r="DE451" s="2" t="s">
        <v>4802</v>
      </c>
      <c r="DF451" s="2" t="s">
        <v>93</v>
      </c>
      <c r="DG451" s="2" t="s">
        <v>94</v>
      </c>
      <c r="DH451" s="2" t="str">
        <f>HYPERLINK("https://vectorbase.org/vectorbase/app/record/gene/AGAP002715","AGAP002715-RA")</f>
        <v>AGAP002715-RA</v>
      </c>
      <c r="DI451" s="2" t="s">
        <v>90</v>
      </c>
      <c r="DJ451" s="2">
        <v>10488</v>
      </c>
      <c r="DK451" s="2" t="str">
        <f>HYPERLINK(".\links\netoglyc\AGAP002715-PA-netoglyc.txt","67")</f>
        <v>67</v>
      </c>
      <c r="DL451" s="2">
        <v>22.5</v>
      </c>
      <c r="DM451" s="2">
        <v>7.8</v>
      </c>
      <c r="DN451" s="2">
        <v>5.8</v>
      </c>
      <c r="DO451" s="2" t="s">
        <v>104</v>
      </c>
      <c r="DP451" s="2" t="s">
        <v>4812</v>
      </c>
      <c r="DQ451" s="2" t="str">
        <f>HYPERLINK(".\links\Sigp\AGAP002715-PA-SigP.txt","CYT")</f>
        <v>CYT</v>
      </c>
      <c r="DR451" s="2" t="s">
        <v>102</v>
      </c>
      <c r="DS451" s="2">
        <v>263.988</v>
      </c>
      <c r="DT451" s="2">
        <v>6.42</v>
      </c>
      <c r="DU451" s="2" t="s">
        <v>102</v>
      </c>
      <c r="DV451" s="2" t="s">
        <v>102</v>
      </c>
      <c r="DW451" s="2" t="s">
        <v>4806</v>
      </c>
      <c r="DX451" s="2">
        <v>2534</v>
      </c>
      <c r="DY451" s="12">
        <v>0</v>
      </c>
      <c r="DZ451" s="2" t="s">
        <v>102</v>
      </c>
      <c r="EA451" s="2" t="s">
        <v>102</v>
      </c>
      <c r="EB451" s="2" t="s">
        <v>102</v>
      </c>
      <c r="EC451" s="2" t="str">
        <f>HYPERLINK(".\links\gpi\AGAP002715-PA-gpi.txt","Y-NoSP")</f>
        <v>Y-NoSP</v>
      </c>
      <c r="ED451" s="2">
        <v>0.32</v>
      </c>
      <c r="EF451" s="2">
        <v>23</v>
      </c>
      <c r="EG451" s="2" t="s">
        <v>102</v>
      </c>
      <c r="EH451" s="2" t="s">
        <v>102</v>
      </c>
      <c r="EI451" s="2">
        <v>22.533543804261999</v>
      </c>
      <c r="EJ451" s="2">
        <v>5.8011049723756898</v>
      </c>
      <c r="EK451" s="2">
        <v>7.8137332280978704</v>
      </c>
      <c r="EL451" s="2">
        <v>13.614838200473599</v>
      </c>
      <c r="EM451" s="2">
        <v>2</v>
      </c>
      <c r="EN451" s="2">
        <v>9</v>
      </c>
      <c r="EO451" s="2">
        <v>11</v>
      </c>
      <c r="EP451" s="2" t="s">
        <v>102</v>
      </c>
      <c r="EQ451" s="2" t="s">
        <v>102</v>
      </c>
      <c r="ER451" s="2" t="s">
        <v>102</v>
      </c>
      <c r="ES451" s="2" t="s">
        <v>102</v>
      </c>
      <c r="ET451" s="2" t="str">
        <f>HYPERLINK(".\links\REFSEQ-INVERTEBRATE\AGAP002715-PA-REFSEQ-INVERTEBRATE.txt","AGAP002715-PA")</f>
        <v>AGAP002715-PA</v>
      </c>
      <c r="EU451" s="2" t="str">
        <f>HYPERLINK("http://www.ncbi.nlm.nih.gov/sutils/blink.cgi?pid=XP_001688367.2","0.0")</f>
        <v>0.0</v>
      </c>
      <c r="EV451" s="2" t="str">
        <f>HYPERLINK("http://www.ncbi.nlm.nih.gov/protein/XP_001688367.2","XP_001688367.2")</f>
        <v>XP_001688367.2</v>
      </c>
      <c r="EW451" s="2">
        <v>98</v>
      </c>
      <c r="EX451" s="2">
        <v>99</v>
      </c>
      <c r="EY451" s="2">
        <v>101</v>
      </c>
      <c r="EZ451" s="2" t="s">
        <v>105</v>
      </c>
    </row>
    <row r="452" spans="1:156" x14ac:dyDescent="0.25">
      <c r="A452" s="2" t="s">
        <v>4813</v>
      </c>
      <c r="B452" s="2">
        <v>-0.38022651956332998</v>
      </c>
      <c r="C452" s="2">
        <f t="shared" si="7"/>
        <v>0.76831694665613859</v>
      </c>
      <c r="D452" s="2">
        <v>7.2208166693111702</v>
      </c>
      <c r="E452" s="2">
        <v>10.0283383472577</v>
      </c>
      <c r="F452" s="2">
        <v>1.5415003603478699E-3</v>
      </c>
      <c r="G452" s="2">
        <v>3.8557071196010803E-2</v>
      </c>
      <c r="H452" s="2" t="s">
        <v>93</v>
      </c>
      <c r="I452" s="2" t="s">
        <v>94</v>
      </c>
      <c r="J452" s="2" t="str">
        <f>HYPERLINK("https://vectorbase.org/vectorbase/app/record/gene/AGAP009189","AGAP009189-RA")</f>
        <v>AGAP009189-RA</v>
      </c>
      <c r="K452" s="2" t="str">
        <f>HYPERLINK(".\links\pep\AGAP009189-PA-pep.txt","AGAP009189-PA")</f>
        <v>AGAP009189-PA</v>
      </c>
      <c r="L452" s="12" t="s">
        <v>95</v>
      </c>
      <c r="M452" s="2">
        <v>1223</v>
      </c>
      <c r="N452" s="2">
        <v>0</v>
      </c>
      <c r="O452" s="2">
        <v>14</v>
      </c>
      <c r="P452" s="2" t="s">
        <v>102</v>
      </c>
      <c r="Q452" s="9" t="s">
        <v>4814</v>
      </c>
      <c r="R452" s="2" t="s">
        <v>355</v>
      </c>
      <c r="S452" s="2" t="str">
        <f>HYPERLINK(".\links\KOG\AGAP009189-PA-KOG.txt","KOG")</f>
        <v>KOG</v>
      </c>
      <c r="T452" s="2">
        <v>4.9999999999999999E-49</v>
      </c>
      <c r="U452" s="2">
        <v>43.6</v>
      </c>
      <c r="V452" s="2" t="s">
        <v>4815</v>
      </c>
      <c r="W452" s="10" t="s">
        <v>4816</v>
      </c>
      <c r="X452" s="2" t="s">
        <v>355</v>
      </c>
      <c r="Y452" s="2" t="str">
        <f>HYPERLINK(".\links\REFSEQVERTEBRATE95\AGAP009189-PA-REFSEQVERTEBRATE95.txt","REFSEQVERTEBRATE95")</f>
        <v>REFSEQVERTEBRATE95</v>
      </c>
      <c r="Z452" s="2">
        <v>0</v>
      </c>
      <c r="AA452" s="2">
        <v>101.5</v>
      </c>
      <c r="AB452" s="13" t="s">
        <v>102</v>
      </c>
      <c r="AC452" s="13" t="str">
        <f>HYPERLINK(".\links\Sigp\AGAP009189-PA-SigP.txt","CYT")</f>
        <v>CYT</v>
      </c>
      <c r="AD452" s="2" t="s">
        <v>102</v>
      </c>
      <c r="AE452" s="2">
        <v>130.10499999999999</v>
      </c>
      <c r="AF452" s="2">
        <v>4.8499999999999996</v>
      </c>
      <c r="AG452" s="2" t="s">
        <v>102</v>
      </c>
      <c r="AH452" s="2" t="s">
        <v>102</v>
      </c>
      <c r="AI452" s="2" t="s">
        <v>211</v>
      </c>
      <c r="AJ452" s="13">
        <v>0</v>
      </c>
      <c r="AK452" s="2" t="s">
        <v>102</v>
      </c>
      <c r="AL452" s="2" t="s">
        <v>102</v>
      </c>
      <c r="AM452" s="2" t="s">
        <v>102</v>
      </c>
      <c r="AN452" s="13" t="str">
        <f>HYPERLINK(".\links\gpi\AGAP009189-PA-gpi.txt","N")</f>
        <v>N</v>
      </c>
      <c r="AO452" s="14" t="str">
        <f>HYPERLINK(".\links\netoglyc\AGAP009189-PA-netoglyc.txt","28")</f>
        <v>28</v>
      </c>
      <c r="AP452" s="13">
        <v>15</v>
      </c>
      <c r="AQ452" s="2">
        <v>8</v>
      </c>
      <c r="AR452" s="2">
        <v>9</v>
      </c>
      <c r="AS452" s="2" t="s">
        <v>104</v>
      </c>
      <c r="AT452" s="9" t="str">
        <f>HYPERLINK(".\links\NR-LIGHT\AGAP009189-PA-NR-LIGHT.txt","AGAP009189-PA, partial")</f>
        <v>AGAP009189-PA, partial</v>
      </c>
      <c r="AU452" s="2" t="str">
        <f>HYPERLINK("http://www.ncbi.nlm.nih.gov/sutils/blink.cgi?pid=XP_319960.4","0.0")</f>
        <v>0.0</v>
      </c>
      <c r="AV452" s="2" t="str">
        <f>HYPERLINK("http://www.ncbi.nlm.nih.gov/protein/XP_319960.4","XP_319960.4")</f>
        <v>XP_319960.4</v>
      </c>
      <c r="AW452" s="2">
        <v>83</v>
      </c>
      <c r="AX452" s="2">
        <v>85</v>
      </c>
      <c r="AY452" s="2">
        <v>103</v>
      </c>
      <c r="AZ452" s="2" t="s">
        <v>105</v>
      </c>
      <c r="BA452" s="9" t="str">
        <f>HYPERLINK(".\links\REFSEQ-INVERTEBRATE\AGAP009189-PA-REFSEQ-INVERTEBRATE.txt","AGAP009189-PA, partial")</f>
        <v>AGAP009189-PA, partial</v>
      </c>
      <c r="BB452" s="2" t="str">
        <f>HYPERLINK("http://www.ncbi.nlm.nih.gov/sutils/blink.cgi?pid=XP_319960.4","0.0")</f>
        <v>0.0</v>
      </c>
      <c r="BC452" s="2" t="str">
        <f>HYPERLINK("http://www.ncbi.nlm.nih.gov/protein/XP_319960.4","XP_319960.4")</f>
        <v>XP_319960.4</v>
      </c>
      <c r="BD452" s="2">
        <v>83</v>
      </c>
      <c r="BE452" s="2">
        <v>85</v>
      </c>
      <c r="BF452" s="2">
        <v>103</v>
      </c>
      <c r="BG452" s="2" t="s">
        <v>105</v>
      </c>
      <c r="BH452" s="9" t="str">
        <f>HYPERLINK(".\links\REFSEQ-PROTOZOA\AGAP009189-PA-REFSEQ-PROTOZOA.txt","hypothetical protein CAOG_06353")</f>
        <v>hypothetical protein CAOG_06353</v>
      </c>
      <c r="BI452" s="2" t="str">
        <f>HYPERLINK("http://www.ncbi.nlm.nih.gov/sutils/blink.cgi?pid=XP_004345102.1","1E-063")</f>
        <v>1E-063</v>
      </c>
      <c r="BJ452" s="2" t="str">
        <f>HYPERLINK("http://www.ncbi.nlm.nih.gov/protein/XP_004345102.1","XP_004345102.1")</f>
        <v>XP_004345102.1</v>
      </c>
      <c r="BK452" s="2">
        <v>27</v>
      </c>
      <c r="BL452" s="2">
        <v>40</v>
      </c>
      <c r="BM452" s="2">
        <v>108</v>
      </c>
      <c r="BN452" s="2" t="s">
        <v>106</v>
      </c>
      <c r="BO452" s="9" t="str">
        <f>HYPERLINK(".\links\SWISSP\AGAP009189-PA-SWISSP.txt","Epidermal growth factor receptor substrate 15-like 1")</f>
        <v>Epidermal growth factor receptor substrate 15-like 1</v>
      </c>
      <c r="BP452" s="2" t="str">
        <f>HYPERLINK("http://www.uniprot.org/uniprot/Q60902","1E-121")</f>
        <v>1E-121</v>
      </c>
      <c r="BQ452" s="2" t="str">
        <f>HYPERLINK("http://www.uniprot.org/uniprot/Q60902#expression","Q60902")</f>
        <v>Q60902</v>
      </c>
      <c r="BR452" s="2">
        <v>34</v>
      </c>
      <c r="BS452" s="2">
        <v>51</v>
      </c>
      <c r="BT452" s="2">
        <v>99</v>
      </c>
      <c r="BU452" s="2" t="s">
        <v>662</v>
      </c>
      <c r="BV452" s="9" t="str">
        <f>HYPERLINK(".\links\FLYBASE\AGAP009189-PA-FLYBASE.txt","FBpp0072339")</f>
        <v>FBpp0072339</v>
      </c>
      <c r="BW452" s="2" t="str">
        <f>HYPERLINK("http://flybase.org/reports/FBgn0035060#alliance_summary_container","0.0")</f>
        <v>0.0</v>
      </c>
      <c r="BX452" s="2">
        <v>1232</v>
      </c>
      <c r="BY452" s="2">
        <v>41</v>
      </c>
      <c r="BZ452" s="2">
        <v>53</v>
      </c>
      <c r="CA452" s="2">
        <v>111</v>
      </c>
      <c r="CB452" s="9" t="str">
        <f>HYPERLINK(".\links\CDD\AGAP009189-PA-CDD.txt","EH, Eps15 homology domain")</f>
        <v>EH, Eps15 homology domain</v>
      </c>
      <c r="CC452" s="15">
        <v>3.0000000000000001E-27</v>
      </c>
      <c r="CD452" s="2">
        <v>99</v>
      </c>
      <c r="CE452" s="2" t="s">
        <v>1652</v>
      </c>
      <c r="CF452" s="2" t="s">
        <v>4817</v>
      </c>
      <c r="CG452" s="9" t="str">
        <f>HYPERLINK(".\links\KOG\AGAP009189-PA-KOG.txt","Synaptic vesicle protein EHS-1 and related EH domain proteins")</f>
        <v>Synaptic vesicle protein EHS-1 and related EH domain proteins</v>
      </c>
      <c r="CH452" s="15">
        <v>9.9999999999999992E-66</v>
      </c>
      <c r="CI452" s="2">
        <v>100.1</v>
      </c>
      <c r="CJ452" s="2" t="s">
        <v>4818</v>
      </c>
      <c r="CK452" s="2" t="s">
        <v>463</v>
      </c>
      <c r="CL452" s="9" t="str">
        <f>HYPERLINK(".\links\PFAM\AGAP009189-PA-PFAM.txt","EF-hand_4, Cytoskeletal-regulatory complex EF hand")</f>
        <v>EF-hand_4, Cytoskeletal-regulatory complex EF hand</v>
      </c>
      <c r="CM452" s="15">
        <v>5.9999999999999997E-15</v>
      </c>
      <c r="CN452" s="2">
        <v>76</v>
      </c>
      <c r="CO452" s="2" t="s">
        <v>4819</v>
      </c>
      <c r="CP452" s="9" t="str">
        <f>HYPERLINK(".\links\SMART\AGAP009189-PA-SMART.txt","EH, Eps15 homology domain")</f>
        <v>EH, Eps15 homology domain</v>
      </c>
      <c r="CQ452" s="15">
        <v>1.9999999999999999E-29</v>
      </c>
      <c r="CR452" s="2">
        <v>99</v>
      </c>
      <c r="CS452" s="2" t="s">
        <v>1652</v>
      </c>
      <c r="CT452" s="2" t="s">
        <v>4815</v>
      </c>
      <c r="CU452" s="2" t="s">
        <v>4815</v>
      </c>
      <c r="CV452" s="2" t="s">
        <v>4815</v>
      </c>
      <c r="CW452" s="2" t="str">
        <f>HYPERLINK(".\links\pep\AGAP009189-PA-pep.txt","AGAP009189-PA")</f>
        <v>AGAP009189-PA</v>
      </c>
      <c r="CX452" s="2" t="s">
        <v>95</v>
      </c>
      <c r="CY452" s="2">
        <v>1223</v>
      </c>
      <c r="CZ452" s="2" t="s">
        <v>113</v>
      </c>
      <c r="DA452" s="2" t="s">
        <v>4820</v>
      </c>
      <c r="DB452" s="2">
        <v>0</v>
      </c>
      <c r="DC452" s="2">
        <v>14</v>
      </c>
      <c r="DD452" s="2" t="str">
        <f>HYPERLINK("https://www.kegg.jp/kegg-bin/search_pathway_text?map=aga&amp;keyword=AGAP009189&amp;mode=1&amp;viewImage=true","AGAP009189")</f>
        <v>AGAP009189</v>
      </c>
      <c r="DE452" s="2" t="s">
        <v>4813</v>
      </c>
      <c r="DF452" s="2" t="s">
        <v>93</v>
      </c>
      <c r="DG452" s="2" t="s">
        <v>94</v>
      </c>
      <c r="DH452" s="2" t="str">
        <f>HYPERLINK("https://vectorbase.org/vectorbase/app/record/gene/AGAP009189","AGAP009189-RA")</f>
        <v>AGAP009189-RA</v>
      </c>
      <c r="DI452" s="2" t="s">
        <v>115</v>
      </c>
      <c r="DJ452" s="2">
        <v>3761</v>
      </c>
      <c r="DK452" s="2" t="str">
        <f>HYPERLINK(".\links\netoglyc\AGAP009189-PA-netoglyc.txt","28")</f>
        <v>28</v>
      </c>
      <c r="DL452" s="2">
        <v>15</v>
      </c>
      <c r="DM452" s="2">
        <v>8</v>
      </c>
      <c r="DN452" s="2">
        <v>9</v>
      </c>
      <c r="DO452" s="2" t="s">
        <v>104</v>
      </c>
      <c r="DP452" s="2" t="s">
        <v>102</v>
      </c>
      <c r="DQ452" s="2" t="str">
        <f>HYPERLINK(".\links\Sigp\AGAP009189-PA-SigP.txt","CYT")</f>
        <v>CYT</v>
      </c>
      <c r="DR452" s="2" t="s">
        <v>102</v>
      </c>
      <c r="DS452" s="2">
        <v>130.10499999999999</v>
      </c>
      <c r="DT452" s="2">
        <v>4.8499999999999996</v>
      </c>
      <c r="DU452" s="2" t="s">
        <v>102</v>
      </c>
      <c r="DV452" s="2" t="s">
        <v>102</v>
      </c>
      <c r="DW452" s="2" t="s">
        <v>211</v>
      </c>
      <c r="DX452" s="2">
        <v>1223</v>
      </c>
      <c r="DY452" s="12">
        <v>0</v>
      </c>
      <c r="DZ452" s="2" t="s">
        <v>102</v>
      </c>
      <c r="EA452" s="2" t="s">
        <v>102</v>
      </c>
      <c r="EB452" s="2" t="s">
        <v>102</v>
      </c>
      <c r="EC452" s="2" t="str">
        <f>HYPERLINK(".\links\gpi\AGAP009189-PA-gpi.txt","Y-NoSP")</f>
        <v>Y-NoSP</v>
      </c>
      <c r="ED452" s="2">
        <v>0.27</v>
      </c>
      <c r="EF452" s="2">
        <v>6</v>
      </c>
      <c r="EG452" s="2" t="s">
        <v>102</v>
      </c>
      <c r="EH452" s="2" t="s">
        <v>102</v>
      </c>
      <c r="EI452" s="2">
        <v>14.9632052330335</v>
      </c>
      <c r="EJ452" s="2">
        <v>8.9942763695829893</v>
      </c>
      <c r="EK452" s="2">
        <v>8.0130825838103004</v>
      </c>
      <c r="EL452" s="2">
        <v>17.0073589533933</v>
      </c>
      <c r="EM452" s="2">
        <v>1</v>
      </c>
      <c r="EN452" s="2">
        <v>7</v>
      </c>
      <c r="EO452" s="2">
        <v>7</v>
      </c>
      <c r="EP452" s="2" t="s">
        <v>102</v>
      </c>
      <c r="EQ452" s="2" t="s">
        <v>102</v>
      </c>
      <c r="ER452" s="2" t="s">
        <v>102</v>
      </c>
      <c r="ES452" s="2" t="s">
        <v>102</v>
      </c>
      <c r="ET452" s="2" t="str">
        <f>HYPERLINK(".\links\REFSEQ-INVERTEBRATE\AGAP009189-PA-REFSEQ-INVERTEBRATE.txt","epidermal growth factor receptor substrate 15-like 1 isoform X2")</f>
        <v>epidermal growth factor receptor substrate 15-like 1 isoform X2</v>
      </c>
      <c r="EU452" s="2" t="str">
        <f>HYPERLINK("http://www.ncbi.nlm.nih.gov/sutils/blink.cgi?pid=XP_035913022.1","0.0")</f>
        <v>0.0</v>
      </c>
      <c r="EV452" s="2" t="str">
        <f>HYPERLINK("http://www.ncbi.nlm.nih.gov/protein/XP_035913022.1","XP_035913022.1")</f>
        <v>XP_035913022.1</v>
      </c>
      <c r="EW452" s="2">
        <v>76</v>
      </c>
      <c r="EX452" s="2">
        <v>82</v>
      </c>
      <c r="EY452" s="2">
        <v>105</v>
      </c>
      <c r="EZ452" s="2" t="s">
        <v>370</v>
      </c>
    </row>
    <row r="453" spans="1:156" x14ac:dyDescent="0.25">
      <c r="A453" s="2" t="s">
        <v>4821</v>
      </c>
      <c r="B453" s="2">
        <v>-0.38027029867166201</v>
      </c>
      <c r="C453" s="2">
        <f t="shared" si="7"/>
        <v>0.76829363215131186</v>
      </c>
      <c r="D453" s="2">
        <v>8.2096267535525396</v>
      </c>
      <c r="E453" s="2">
        <v>10.336728597726401</v>
      </c>
      <c r="F453" s="2">
        <v>1.3040893697207701E-3</v>
      </c>
      <c r="G453" s="2">
        <v>3.6362353555672799E-2</v>
      </c>
      <c r="H453" s="2" t="s">
        <v>4822</v>
      </c>
      <c r="I453" s="2" t="s">
        <v>94</v>
      </c>
      <c r="J453" s="2" t="str">
        <f>HYPERLINK("https://vectorbase.org/vectorbase/app/record/gene/AGAP004000","AGAP004000-RA")</f>
        <v>AGAP004000-RA</v>
      </c>
      <c r="K453" s="2" t="str">
        <f>HYPERLINK(".\links\pep\AGAP004000-PA-pep.txt","AGAP004000-PA")</f>
        <v>AGAP004000-PA</v>
      </c>
      <c r="L453" s="12" t="s">
        <v>95</v>
      </c>
      <c r="M453" s="2">
        <v>2932</v>
      </c>
      <c r="N453" s="2">
        <v>0</v>
      </c>
      <c r="O453" s="2">
        <v>5</v>
      </c>
      <c r="P453" s="2" t="s">
        <v>4823</v>
      </c>
      <c r="Q453" s="9" t="s">
        <v>4824</v>
      </c>
      <c r="R453" s="2" t="s">
        <v>358</v>
      </c>
      <c r="S453" s="2" t="str">
        <f>HYPERLINK(".\links\KOG\AGAP004000-PA-KOG.txt","KOG")</f>
        <v>KOG</v>
      </c>
      <c r="T453" s="2">
        <v>0</v>
      </c>
      <c r="U453" s="2">
        <v>61.4</v>
      </c>
      <c r="V453" s="2" t="s">
        <v>4825</v>
      </c>
      <c r="W453" s="10" t="s">
        <v>4826</v>
      </c>
      <c r="X453" s="2" t="s">
        <v>358</v>
      </c>
      <c r="Y453" s="2" t="str">
        <f>HYPERLINK(".\links\COG\AGAP004000-PA-COG.txt","COG")</f>
        <v>COG</v>
      </c>
      <c r="Z453" s="2">
        <v>0</v>
      </c>
      <c r="AA453" s="2">
        <v>36.700000000000003</v>
      </c>
      <c r="AB453" s="13" t="str">
        <f>HYPERLINK(".\links\pep\AGAP004000-PA-sulf.txt","2")</f>
        <v>2</v>
      </c>
      <c r="AC453" s="13" t="str">
        <f>HYPERLINK(".\links\Sigp\AGAP004000-PA-SigP.txt","CYT")</f>
        <v>CYT</v>
      </c>
      <c r="AD453" s="2" t="s">
        <v>102</v>
      </c>
      <c r="AE453" s="2">
        <v>316.09899999999999</v>
      </c>
      <c r="AF453" s="2">
        <v>9.1199999999999992</v>
      </c>
      <c r="AG453" s="2" t="s">
        <v>102</v>
      </c>
      <c r="AH453" s="2" t="s">
        <v>102</v>
      </c>
      <c r="AI453" s="2" t="s">
        <v>4827</v>
      </c>
      <c r="AJ453" s="13">
        <v>0</v>
      </c>
      <c r="AK453" s="2" t="s">
        <v>102</v>
      </c>
      <c r="AL453" s="2" t="s">
        <v>102</v>
      </c>
      <c r="AM453" s="2" t="s">
        <v>102</v>
      </c>
      <c r="AN453" s="13" t="str">
        <f>HYPERLINK(".\links\gpi\AGAP004000-PA-gpi.txt","N")</f>
        <v>N</v>
      </c>
      <c r="AO453" s="14" t="str">
        <f>HYPERLINK(".\links\netoglyc\AGAP004000-PA-netoglyc.txt","12")</f>
        <v>12</v>
      </c>
      <c r="AP453" s="13">
        <v>17.600000000000001</v>
      </c>
      <c r="AQ453" s="2">
        <v>9.9</v>
      </c>
      <c r="AR453" s="2">
        <v>3.8</v>
      </c>
      <c r="AS453" s="2">
        <v>0.1</v>
      </c>
      <c r="AT453" s="9" t="str">
        <f>HYPERLINK(".\links\NR-LIGHT\AGAP004000-PA-NR-LIGHT.txt","AGAP004000-PA")</f>
        <v>AGAP004000-PA</v>
      </c>
      <c r="AU453" s="2" t="str">
        <f>HYPERLINK("http://www.ncbi.nlm.nih.gov/sutils/blink.cgi?pid=XP_318459.5","0.0")</f>
        <v>0.0</v>
      </c>
      <c r="AV453" s="2" t="str">
        <f>HYPERLINK("http://www.ncbi.nlm.nih.gov/protein/XP_318459.5","XP_318459.5")</f>
        <v>XP_318459.5</v>
      </c>
      <c r="AW453" s="2">
        <v>100</v>
      </c>
      <c r="AX453" s="2">
        <v>100</v>
      </c>
      <c r="AY453" s="2">
        <v>73</v>
      </c>
      <c r="AZ453" s="2" t="s">
        <v>105</v>
      </c>
      <c r="BA453" s="9" t="str">
        <f>HYPERLINK(".\links\REFSEQ-INVERTEBRATE\AGAP004000-PA-REFSEQ-INVERTEBRATE.txt","AGAP004000-PA")</f>
        <v>AGAP004000-PA</v>
      </c>
      <c r="BB453" s="2" t="str">
        <f>HYPERLINK("http://www.ncbi.nlm.nih.gov/sutils/blink.cgi?pid=XP_318459.5","0.0")</f>
        <v>0.0</v>
      </c>
      <c r="BC453" s="2" t="str">
        <f>HYPERLINK("http://www.ncbi.nlm.nih.gov/protein/XP_318459.5","XP_318459.5")</f>
        <v>XP_318459.5</v>
      </c>
      <c r="BD453" s="2">
        <v>100</v>
      </c>
      <c r="BE453" s="2">
        <v>100</v>
      </c>
      <c r="BF453" s="2">
        <v>73</v>
      </c>
      <c r="BG453" s="2" t="s">
        <v>105</v>
      </c>
      <c r="BH453" s="9" t="str">
        <f>HYPERLINK(".\links\REFSEQ-PROTOZOA\AGAP004000-PA-REFSEQ-PROTOZOA.txt","myosin IXA, variant")</f>
        <v>myosin IXA, variant</v>
      </c>
      <c r="BI453" s="2" t="str">
        <f>HYPERLINK("http://www.ncbi.nlm.nih.gov/sutils/blink.cgi?pid=XP_011270152.1","1E-151")</f>
        <v>1E-151</v>
      </c>
      <c r="BJ453" s="2" t="str">
        <f>HYPERLINK("http://www.ncbi.nlm.nih.gov/protein/XP_011270152.1","XP_011270152.1")</f>
        <v>XP_011270152.1</v>
      </c>
      <c r="BK453" s="2">
        <v>51</v>
      </c>
      <c r="BL453" s="2">
        <v>69</v>
      </c>
      <c r="BM453" s="2">
        <v>26</v>
      </c>
      <c r="BN453" s="2" t="s">
        <v>106</v>
      </c>
      <c r="BO453" s="9" t="str">
        <f>HYPERLINK(".\links\SWISSP\AGAP004000-PA-SWISSP.txt","Unconventional myosin-IXa")</f>
        <v>Unconventional myosin-IXa</v>
      </c>
      <c r="BP453" s="2" t="str">
        <f>HYPERLINK("http://www.uniprot.org/uniprot/B2RTY4","0.0")</f>
        <v>0.0</v>
      </c>
      <c r="BQ453" s="2" t="str">
        <f>HYPERLINK("http://www.uniprot.org/uniprot/B2RTY4#expression","B2RTY4")</f>
        <v>B2RTY4</v>
      </c>
      <c r="BR453" s="2">
        <v>53</v>
      </c>
      <c r="BS453" s="2">
        <v>68</v>
      </c>
      <c r="BT453" s="2">
        <v>29</v>
      </c>
      <c r="BU453" s="2" t="s">
        <v>127</v>
      </c>
      <c r="BV453" s="9" t="str">
        <f>HYPERLINK(".\links\FLYBASE\AGAP004000-PA-FLYBASE.txt","FBpp0310275")</f>
        <v>FBpp0310275</v>
      </c>
      <c r="BW453" s="2" t="str">
        <f>HYPERLINK("http://flybase.org/reports/FBgn0000317#alliance_summary_container","1E-121")</f>
        <v>1E-121</v>
      </c>
      <c r="BX453" s="2">
        <v>2167</v>
      </c>
      <c r="BY453" s="2">
        <v>43</v>
      </c>
      <c r="BZ453" s="2">
        <v>64</v>
      </c>
      <c r="CA453" s="2">
        <v>25</v>
      </c>
      <c r="CB453" s="9" t="str">
        <f>HYPERLINK(".\links\CDD\AGAP004000-PA-CDD.txt","MYSc_Myo9, class IX myosin, motor domain")</f>
        <v>MYSc_Myo9, class IX myosin, motor domain</v>
      </c>
      <c r="CC453" s="15">
        <v>0</v>
      </c>
      <c r="CD453" s="2">
        <v>80.599999999999994</v>
      </c>
      <c r="CE453" s="2" t="s">
        <v>4828</v>
      </c>
      <c r="CF453" s="2" t="s">
        <v>4829</v>
      </c>
      <c r="CG453" s="9" t="str">
        <f>HYPERLINK(".\links\KOG\AGAP004000-PA-KOG.txt","myosin IXB and related myosins")</f>
        <v>myosin IXB and related myosins</v>
      </c>
      <c r="CH453" s="15">
        <v>1E-180</v>
      </c>
      <c r="CI453" s="2">
        <v>54</v>
      </c>
      <c r="CJ453" s="2" t="s">
        <v>4830</v>
      </c>
      <c r="CK453" s="2" t="s">
        <v>2516</v>
      </c>
      <c r="CL453" s="9" t="str">
        <f>HYPERLINK(".\links\PFAM\AGAP004000-PA-PFAM.txt","Myosin_head, Myosin head (motor domain)")</f>
        <v>Myosin_head, Myosin head (motor domain)</v>
      </c>
      <c r="CM453" s="15">
        <v>9.9999999999999995E-178</v>
      </c>
      <c r="CN453" s="2">
        <v>78.900000000000006</v>
      </c>
      <c r="CO453" s="2" t="s">
        <v>4831</v>
      </c>
      <c r="CP453" s="9" t="str">
        <f>HYPERLINK(".\links\SMART\AGAP004000-PA-SMART.txt","MYSc, Myosin")</f>
        <v>MYSc, Myosin</v>
      </c>
      <c r="CQ453" s="15">
        <v>0</v>
      </c>
      <c r="CR453" s="2">
        <v>78.099999999999994</v>
      </c>
      <c r="CS453" s="2" t="s">
        <v>383</v>
      </c>
      <c r="CT453" s="2" t="s">
        <v>4825</v>
      </c>
      <c r="CU453" s="2" t="s">
        <v>4825</v>
      </c>
      <c r="CV453" s="2" t="s">
        <v>4825</v>
      </c>
      <c r="CW453" s="2" t="str">
        <f>HYPERLINK(".\links\pep\AGAP004000-PA-pep.txt","AGAP004000-PA")</f>
        <v>AGAP004000-PA</v>
      </c>
      <c r="CX453" s="2" t="s">
        <v>95</v>
      </c>
      <c r="CY453" s="2">
        <v>2932</v>
      </c>
      <c r="CZ453" s="2" t="s">
        <v>113</v>
      </c>
      <c r="DA453" s="2" t="s">
        <v>4832</v>
      </c>
      <c r="DB453" s="2">
        <v>0</v>
      </c>
      <c r="DC453" s="2">
        <v>5</v>
      </c>
      <c r="DD453" s="2" t="str">
        <f>HYPERLINK("https://www.kegg.jp/kegg-bin/search_pathway_text?map=aga&amp;keyword=AGAP004000&amp;mode=1&amp;viewImage=true","AGAP004000")</f>
        <v>AGAP004000</v>
      </c>
      <c r="DE453" s="2" t="s">
        <v>4821</v>
      </c>
      <c r="DF453" s="2" t="s">
        <v>4822</v>
      </c>
      <c r="DG453" s="2" t="s">
        <v>94</v>
      </c>
      <c r="DH453" s="2" t="str">
        <f>HYPERLINK("https://vectorbase.org/vectorbase/app/record/gene/AGAP004000","AGAP004000-RA")</f>
        <v>AGAP004000-RA</v>
      </c>
      <c r="DI453" s="2" t="s">
        <v>115</v>
      </c>
      <c r="DJ453" s="2">
        <v>12060</v>
      </c>
      <c r="DK453" s="2" t="str">
        <f>HYPERLINK(".\links\netoglyc\AGAP004000-PA-netoglyc.txt","12")</f>
        <v>12</v>
      </c>
      <c r="DL453" s="2">
        <v>17.600000000000001</v>
      </c>
      <c r="DM453" s="2">
        <v>9.9</v>
      </c>
      <c r="DN453" s="2">
        <v>3.8</v>
      </c>
      <c r="DO453" s="2">
        <v>0.1</v>
      </c>
      <c r="DP453" s="2" t="s">
        <v>4833</v>
      </c>
      <c r="DQ453" s="2" t="str">
        <f>HYPERLINK(".\links\Sigp\AGAP004000-PA-SigP.txt","CYT")</f>
        <v>CYT</v>
      </c>
      <c r="DR453" s="2" t="s">
        <v>102</v>
      </c>
      <c r="DS453" s="2">
        <v>316.09899999999999</v>
      </c>
      <c r="DT453" s="2">
        <v>9.1199999999999992</v>
      </c>
      <c r="DU453" s="2" t="s">
        <v>102</v>
      </c>
      <c r="DV453" s="2" t="s">
        <v>102</v>
      </c>
      <c r="DW453" s="2" t="s">
        <v>4827</v>
      </c>
      <c r="DX453" s="2">
        <v>2932</v>
      </c>
      <c r="DY453" s="12">
        <v>0</v>
      </c>
      <c r="DZ453" s="2" t="s">
        <v>102</v>
      </c>
      <c r="EA453" s="2" t="s">
        <v>102</v>
      </c>
      <c r="EB453" s="2" t="s">
        <v>102</v>
      </c>
      <c r="EC453" s="2" t="str">
        <f>HYPERLINK(".\links\gpi\AGAP004000-PA-gpi.txt","Y-NoSP")</f>
        <v>Y-NoSP</v>
      </c>
      <c r="ED453" s="2">
        <v>0.18</v>
      </c>
      <c r="EF453" s="2">
        <v>39</v>
      </c>
      <c r="EG453" s="2" t="str">
        <f>HYPERLINK(".\links\pep\AGAP004000-PA-sulf.txt","2")</f>
        <v>2</v>
      </c>
      <c r="EH453" s="2" t="s">
        <v>102</v>
      </c>
      <c r="EI453" s="2">
        <v>17.5648021828104</v>
      </c>
      <c r="EJ453" s="2">
        <v>3.7517053206002702</v>
      </c>
      <c r="EK453" s="2">
        <v>9.8908594815825399</v>
      </c>
      <c r="EL453" s="2">
        <v>13.6425648021828</v>
      </c>
      <c r="EM453" s="2">
        <v>3</v>
      </c>
      <c r="EN453" s="2">
        <v>5</v>
      </c>
      <c r="EO453" s="2">
        <v>10</v>
      </c>
      <c r="EP453" s="2" t="s">
        <v>102</v>
      </c>
      <c r="EQ453" s="2" t="s">
        <v>102</v>
      </c>
      <c r="ER453" s="2" t="s">
        <v>102</v>
      </c>
      <c r="ES453" s="2" t="s">
        <v>576</v>
      </c>
      <c r="ET453" s="2" t="str">
        <f>HYPERLINK(".\links\REFSEQ-INVERTEBRATE\AGAP004000-PA-REFSEQ-INVERTEBRATE.txt","unconventional myosin-IXa-like isoform X3")</f>
        <v>unconventional myosin-IXa-like isoform X3</v>
      </c>
      <c r="EU453" s="2" t="str">
        <f>HYPERLINK("http://www.ncbi.nlm.nih.gov/sutils/blink.cgi?pid=XP_035900783.1","0.0")</f>
        <v>0.0</v>
      </c>
      <c r="EV453" s="2" t="str">
        <f>HYPERLINK("http://www.ncbi.nlm.nih.gov/protein/XP_035900783.1","XP_035900783.1")</f>
        <v>XP_035900783.1</v>
      </c>
      <c r="EW453" s="2">
        <v>84</v>
      </c>
      <c r="EX453" s="2">
        <v>87</v>
      </c>
      <c r="EY453" s="2">
        <v>104</v>
      </c>
      <c r="EZ453" s="2" t="s">
        <v>370</v>
      </c>
    </row>
    <row r="454" spans="1:156" x14ac:dyDescent="0.25">
      <c r="A454" s="2" t="s">
        <v>4834</v>
      </c>
      <c r="B454" s="2">
        <v>-0.38362283760601301</v>
      </c>
      <c r="C454" s="2">
        <f t="shared" si="7"/>
        <v>0.76651034198306645</v>
      </c>
      <c r="D454" s="2">
        <v>5.4620394525526299</v>
      </c>
      <c r="E454" s="2">
        <v>9.2777369343603802</v>
      </c>
      <c r="F454" s="2">
        <v>2.3195583312922599E-3</v>
      </c>
      <c r="G454" s="2">
        <v>4.58876742400747E-2</v>
      </c>
      <c r="H454" s="2" t="s">
        <v>93</v>
      </c>
      <c r="I454" s="2" t="s">
        <v>94</v>
      </c>
      <c r="J454" s="2" t="str">
        <f>HYPERLINK("https://vectorbase.org/vectorbase/app/record/gene/AGAP008901","AGAP008901-RA")</f>
        <v>AGAP008901-RA</v>
      </c>
      <c r="K454" s="2" t="str">
        <f>HYPERLINK(".\links\pep\AGAP008901-PA-pep.txt","AGAP008901-PA")</f>
        <v>AGAP008901-PA</v>
      </c>
      <c r="L454" s="12" t="s">
        <v>95</v>
      </c>
      <c r="M454" s="2">
        <v>805</v>
      </c>
      <c r="N454" s="2">
        <v>0</v>
      </c>
      <c r="O454" s="2">
        <v>3</v>
      </c>
      <c r="P454" s="2" t="s">
        <v>102</v>
      </c>
      <c r="Q454" s="9" t="s">
        <v>4835</v>
      </c>
      <c r="R454" s="2" t="s">
        <v>420</v>
      </c>
      <c r="S454" s="2" t="str">
        <f>HYPERLINK(".\links\KOG\AGAP008901-PA-KOG.txt","KOG")</f>
        <v>KOG</v>
      </c>
      <c r="T454" s="2">
        <v>9.0000000000000003E-20</v>
      </c>
      <c r="U454" s="2">
        <v>111.8</v>
      </c>
      <c r="V454" s="2" t="s">
        <v>4836</v>
      </c>
      <c r="W454" s="10" t="s">
        <v>4837</v>
      </c>
      <c r="X454" s="2" t="s">
        <v>420</v>
      </c>
      <c r="Y454" s="2" t="str">
        <f>HYPERLINK(".\links\UNIPROTKB\AGAP008901-PA-UNIPROTKB.txt","UNIPROTKB")</f>
        <v>UNIPROTKB</v>
      </c>
      <c r="Z454" s="15">
        <v>1.9999999999999999E-57</v>
      </c>
      <c r="AA454" s="2">
        <v>58.3</v>
      </c>
      <c r="AB454" s="13" t="str">
        <f>HYPERLINK(".\links\pep\AGAP008901-PA-sulf.txt","2")</f>
        <v>2</v>
      </c>
      <c r="AC454" s="13" t="str">
        <f>HYPERLINK(".\links\Sigp\AGAP008901-PA-SigP.txt","CYT")</f>
        <v>CYT</v>
      </c>
      <c r="AD454" s="2" t="s">
        <v>102</v>
      </c>
      <c r="AE454" s="2">
        <v>91.427000000000007</v>
      </c>
      <c r="AF454" s="2">
        <v>8.3000000000000007</v>
      </c>
      <c r="AG454" s="2" t="s">
        <v>102</v>
      </c>
      <c r="AH454" s="2" t="s">
        <v>102</v>
      </c>
      <c r="AI454" s="2" t="s">
        <v>263</v>
      </c>
      <c r="AJ454" s="13">
        <v>0</v>
      </c>
      <c r="AK454" s="2" t="s">
        <v>102</v>
      </c>
      <c r="AL454" s="2" t="s">
        <v>102</v>
      </c>
      <c r="AM454" s="2" t="s">
        <v>102</v>
      </c>
      <c r="AN454" s="13" t="str">
        <f>HYPERLINK(".\links\gpi\AGAP008901-PA-gpi.txt","N")</f>
        <v>N</v>
      </c>
      <c r="AO454" s="14" t="str">
        <f>HYPERLINK(".\links\netoglyc\AGAP008901-PA-netoglyc.txt","10")</f>
        <v>10</v>
      </c>
      <c r="AP454" s="13">
        <v>11.9</v>
      </c>
      <c r="AQ454" s="2">
        <v>5.0999999999999996</v>
      </c>
      <c r="AR454" s="2">
        <v>8.8000000000000007</v>
      </c>
      <c r="AS454" s="2" t="s">
        <v>104</v>
      </c>
      <c r="AT454" s="9" t="str">
        <f>HYPERLINK(".\links\NR-LIGHT\AGAP008901-PA-NR-LIGHT.txt","AGAP008901-PA, partial")</f>
        <v>AGAP008901-PA, partial</v>
      </c>
      <c r="AU454" s="2" t="str">
        <f>HYPERLINK("http://www.ncbi.nlm.nih.gov/sutils/blink.cgi?pid=XP_319648.4","0.0")</f>
        <v>0.0</v>
      </c>
      <c r="AV454" s="2" t="str">
        <f>HYPERLINK("http://www.ncbi.nlm.nih.gov/protein/XP_319648.4","XP_319648.4")</f>
        <v>XP_319648.4</v>
      </c>
      <c r="AW454" s="2">
        <v>94</v>
      </c>
      <c r="AX454" s="2">
        <v>94</v>
      </c>
      <c r="AY454" s="2">
        <v>85</v>
      </c>
      <c r="AZ454" s="2" t="s">
        <v>105</v>
      </c>
      <c r="BA454" s="9" t="str">
        <f>HYPERLINK(".\links\REFSEQ-INVERTEBRATE\AGAP008901-PA-REFSEQ-INVERTEBRATE.txt","AGAP008901-PA, partial")</f>
        <v>AGAP008901-PA, partial</v>
      </c>
      <c r="BB454" s="2" t="str">
        <f>HYPERLINK("http://www.ncbi.nlm.nih.gov/sutils/blink.cgi?pid=XP_319648.4","0.0")</f>
        <v>0.0</v>
      </c>
      <c r="BC454" s="2" t="str">
        <f>HYPERLINK("http://www.ncbi.nlm.nih.gov/protein/XP_319648.4","XP_319648.4")</f>
        <v>XP_319648.4</v>
      </c>
      <c r="BD454" s="2">
        <v>94</v>
      </c>
      <c r="BE454" s="2">
        <v>94</v>
      </c>
      <c r="BF454" s="2">
        <v>85</v>
      </c>
      <c r="BG454" s="2" t="s">
        <v>105</v>
      </c>
      <c r="BH454" s="9" t="str">
        <f>HYPERLINK(".\links\REFSEQ-PROTOZOA\AGAP008901-PA-REFSEQ-PROTOZOA.txt","zinc finger protein")</f>
        <v>zinc finger protein</v>
      </c>
      <c r="BI454" s="2" t="str">
        <f>HYPERLINK("http://www.ncbi.nlm.nih.gov/sutils/blink.cgi?pid=XP_004997261.1","4E-041")</f>
        <v>4E-041</v>
      </c>
      <c r="BJ454" s="2" t="str">
        <f>HYPERLINK("http://www.ncbi.nlm.nih.gov/protein/XP_004997261.1","XP_004997261.1")</f>
        <v>XP_004997261.1</v>
      </c>
      <c r="BK454" s="2">
        <v>25</v>
      </c>
      <c r="BL454" s="2">
        <v>35</v>
      </c>
      <c r="BM454" s="2">
        <v>60</v>
      </c>
      <c r="BN454" s="2" t="s">
        <v>435</v>
      </c>
      <c r="BO454" s="9" t="str">
        <f>HYPERLINK(".\links\SWISSP\AGAP008901-PA-SWISSP.txt","Zinc finger protein 600")</f>
        <v>Zinc finger protein 600</v>
      </c>
      <c r="BP454" s="2" t="str">
        <f>HYPERLINK("http://www.uniprot.org/uniprot/Q6ZNG1","4E-068")</f>
        <v>4E-068</v>
      </c>
      <c r="BQ454" s="2" t="str">
        <f>HYPERLINK("http://www.uniprot.org/uniprot/Q6ZNG1#expression","Q6ZNG1")</f>
        <v>Q6ZNG1</v>
      </c>
      <c r="BR454" s="2">
        <v>29</v>
      </c>
      <c r="BS454" s="2">
        <v>42</v>
      </c>
      <c r="BT454" s="2">
        <v>78</v>
      </c>
      <c r="BU454" s="2" t="s">
        <v>127</v>
      </c>
      <c r="BV454" s="9" t="str">
        <f>HYPERLINK(".\links\FLYBASE\AGAP008901-PA-FLYBASE.txt","FBpp0307451")</f>
        <v>FBpp0307451</v>
      </c>
      <c r="BW454" s="2" t="str">
        <f>HYPERLINK("http://flybase.org/reports/FBgn0020309#alliance_summary_container","2E-43")</f>
        <v>2E-43</v>
      </c>
      <c r="BX454" s="2">
        <v>962</v>
      </c>
      <c r="BY454" s="2">
        <v>27</v>
      </c>
      <c r="BZ454" s="2">
        <v>40</v>
      </c>
      <c r="CA454" s="2">
        <v>55</v>
      </c>
      <c r="CB454" s="9" t="str">
        <f>HYPERLINK(".\links\CDD\AGAP008901-PA-CDD.txt","ZF_C2H2, Zinc finger, C2H2 type")</f>
        <v>ZF_C2H2, Zinc finger, C2H2 type</v>
      </c>
      <c r="CC454" s="15">
        <v>1.0000000000000001E-18</v>
      </c>
      <c r="CD454" s="2">
        <v>105.1</v>
      </c>
      <c r="CE454" s="2" t="s">
        <v>569</v>
      </c>
      <c r="CF454" s="2" t="s">
        <v>4838</v>
      </c>
      <c r="CG454" s="9" t="str">
        <f>HYPERLINK(".\links\KOG\AGAP008901-PA-KOG.txt","C2H2-type Zn-finger protein")</f>
        <v>C2H2-type Zn-finger protein</v>
      </c>
      <c r="CH454" s="15">
        <v>9.0000000000000003E-20</v>
      </c>
      <c r="CI454" s="2">
        <v>111.8</v>
      </c>
      <c r="CJ454" s="2" t="s">
        <v>743</v>
      </c>
      <c r="CK454" s="2" t="s">
        <v>309</v>
      </c>
      <c r="CL454" s="9" t="str">
        <f>HYPERLINK(".\links\PFAM\AGAP008901-PA-PFAM.txt","PAT1, Topoisomerase II-associated protein PAT1")</f>
        <v>PAT1, Topoisomerase II-associated protein PAT1</v>
      </c>
      <c r="CM454" s="15">
        <v>2.0000000000000001E-10</v>
      </c>
      <c r="CN454" s="2">
        <v>19.7</v>
      </c>
      <c r="CO454" s="2" t="s">
        <v>3695</v>
      </c>
      <c r="CP454" s="9" t="str">
        <f>HYPERLINK(".\links\SMART\AGAP008901-PA-SMART.txt","Amelin, Ameloblastin precursor (Amelin)")</f>
        <v>Amelin, Ameloblastin precursor (Amelin)</v>
      </c>
      <c r="CQ454" s="15">
        <v>6.0000000000000002E-5</v>
      </c>
      <c r="CR454" s="2">
        <v>33.799999999999997</v>
      </c>
      <c r="CS454" s="2" t="s">
        <v>4839</v>
      </c>
      <c r="CT454" s="2" t="s">
        <v>4836</v>
      </c>
      <c r="CU454" s="2" t="s">
        <v>4836</v>
      </c>
      <c r="CV454" s="2" t="s">
        <v>4836</v>
      </c>
      <c r="CW454" s="2" t="str">
        <f>HYPERLINK(".\links\pep\AGAP008901-PA-pep.txt","AGAP008901-PA")</f>
        <v>AGAP008901-PA</v>
      </c>
      <c r="CX454" s="2" t="s">
        <v>95</v>
      </c>
      <c r="CY454" s="2">
        <v>805</v>
      </c>
      <c r="CZ454" s="2" t="s">
        <v>113</v>
      </c>
      <c r="DA454" s="2" t="s">
        <v>4840</v>
      </c>
      <c r="DB454" s="2">
        <v>0</v>
      </c>
      <c r="DC454" s="2">
        <v>3</v>
      </c>
      <c r="DD454" s="2" t="str">
        <f>HYPERLINK("https://www.kegg.jp/kegg-bin/search_pathway_text?map=aga&amp;keyword=AGAP008901&amp;mode=1&amp;viewImage=true","AGAP008901")</f>
        <v>AGAP008901</v>
      </c>
      <c r="DE454" s="2" t="s">
        <v>4834</v>
      </c>
      <c r="DF454" s="2" t="s">
        <v>93</v>
      </c>
      <c r="DG454" s="2" t="s">
        <v>94</v>
      </c>
      <c r="DH454" s="2" t="str">
        <f>HYPERLINK("https://vectorbase.org/vectorbase/app/record/gene/AGAP008901","AGAP008901-RA")</f>
        <v>AGAP008901-RA</v>
      </c>
      <c r="DI454" s="2" t="s">
        <v>90</v>
      </c>
      <c r="DJ454" s="2">
        <v>2698</v>
      </c>
      <c r="DK454" s="2" t="str">
        <f>HYPERLINK(".\links\netoglyc\AGAP008901-PA-netoglyc.txt","10")</f>
        <v>10</v>
      </c>
      <c r="DL454" s="2">
        <v>11.9</v>
      </c>
      <c r="DM454" s="2">
        <v>5.0999999999999996</v>
      </c>
      <c r="DN454" s="2">
        <v>8.8000000000000007</v>
      </c>
      <c r="DO454" s="2" t="s">
        <v>104</v>
      </c>
      <c r="DP454" s="2" t="s">
        <v>102</v>
      </c>
      <c r="DQ454" s="2" t="str">
        <f>HYPERLINK(".\links\Sigp\AGAP008901-PA-SigP.txt","CYT")</f>
        <v>CYT</v>
      </c>
      <c r="DR454" s="2" t="s">
        <v>102</v>
      </c>
      <c r="DS454" s="2">
        <v>91.427000000000007</v>
      </c>
      <c r="DT454" s="2">
        <v>8.3000000000000007</v>
      </c>
      <c r="DU454" s="2" t="s">
        <v>102</v>
      </c>
      <c r="DV454" s="2" t="s">
        <v>102</v>
      </c>
      <c r="DW454" s="2" t="s">
        <v>263</v>
      </c>
      <c r="DX454" s="2">
        <v>805</v>
      </c>
      <c r="DY454" s="12">
        <v>0</v>
      </c>
      <c r="DZ454" s="2" t="s">
        <v>102</v>
      </c>
      <c r="EA454" s="2" t="s">
        <v>102</v>
      </c>
      <c r="EB454" s="2" t="s">
        <v>102</v>
      </c>
      <c r="EC454" s="2" t="str">
        <f>HYPERLINK(".\links\gpi\AGAP008901-PA-gpi.txt","N")</f>
        <v>N</v>
      </c>
      <c r="ED454" s="2">
        <v>0.34</v>
      </c>
      <c r="EF454" s="2">
        <v>40</v>
      </c>
      <c r="EG454" s="2" t="str">
        <f>HYPERLINK(".\links\pep\AGAP008901-PA-sulf.txt","2")</f>
        <v>2</v>
      </c>
      <c r="EH454" s="2" t="s">
        <v>102</v>
      </c>
      <c r="EI454" s="2">
        <v>11.9254658385093</v>
      </c>
      <c r="EJ454" s="2">
        <v>8.8198757763975095</v>
      </c>
      <c r="EK454" s="2">
        <v>5.0931677018633499</v>
      </c>
      <c r="EL454" s="2">
        <v>13.913043478260899</v>
      </c>
      <c r="EM454" s="2" t="s">
        <v>102</v>
      </c>
      <c r="EN454" s="2">
        <v>2</v>
      </c>
      <c r="EO454" s="2">
        <v>2</v>
      </c>
      <c r="EP454" s="2" t="s">
        <v>102</v>
      </c>
      <c r="EQ454" s="2" t="s">
        <v>102</v>
      </c>
      <c r="ER454" s="2" t="s">
        <v>102</v>
      </c>
      <c r="ES454" s="2" t="s">
        <v>102</v>
      </c>
      <c r="ET454" s="2" t="str">
        <f>HYPERLINK(".\links\REFSEQ-INVERTEBRATE\AGAP008901-PA-REFSEQ-INVERTEBRATE.txt","AGAP008901-PA, partial")</f>
        <v>AGAP008901-PA, partial</v>
      </c>
      <c r="EU454" s="2" t="str">
        <f>HYPERLINK("http://www.ncbi.nlm.nih.gov/sutils/blink.cgi?pid=XP_319648.4","0.0")</f>
        <v>0.0</v>
      </c>
      <c r="EV454" s="2" t="str">
        <f>HYPERLINK("http://www.ncbi.nlm.nih.gov/protein/XP_319648.4","XP_319648.4")</f>
        <v>XP_319648.4</v>
      </c>
      <c r="EW454" s="2">
        <v>94</v>
      </c>
      <c r="EX454" s="2">
        <v>94</v>
      </c>
      <c r="EY454" s="2">
        <v>85</v>
      </c>
      <c r="EZ454" s="2" t="s">
        <v>105</v>
      </c>
    </row>
    <row r="455" spans="1:156" x14ac:dyDescent="0.25">
      <c r="A455" s="2" t="s">
        <v>4841</v>
      </c>
      <c r="B455" s="2">
        <v>-0.38380726038184199</v>
      </c>
      <c r="C455" s="2">
        <f t="shared" si="7"/>
        <v>0.76641236359813514</v>
      </c>
      <c r="D455" s="2">
        <v>5.9791001975104399</v>
      </c>
      <c r="E455" s="2">
        <v>9.2289595136793796</v>
      </c>
      <c r="F455" s="2">
        <v>2.3821697975938399E-3</v>
      </c>
      <c r="G455" s="2">
        <v>4.63542925914135E-2</v>
      </c>
      <c r="H455" s="2" t="s">
        <v>4842</v>
      </c>
      <c r="I455" s="2" t="s">
        <v>94</v>
      </c>
      <c r="J455" s="2" t="str">
        <f>HYPERLINK("https://vectorbase.org/vectorbase/app/record/gene/AGAP006599","AGAP006599-RA")</f>
        <v>AGAP006599-RA</v>
      </c>
      <c r="K455" s="2" t="str">
        <f>HYPERLINK(".\links\pep\AGAP006599-PA-pep.txt","AGAP006599-PA")</f>
        <v>AGAP006599-PA</v>
      </c>
      <c r="L455" s="12" t="s">
        <v>95</v>
      </c>
      <c r="M455" s="2">
        <v>1318</v>
      </c>
      <c r="N455" s="2">
        <v>0</v>
      </c>
      <c r="O455" s="2">
        <v>3</v>
      </c>
      <c r="P455" s="2" t="s">
        <v>4843</v>
      </c>
      <c r="Q455" s="9" t="s">
        <v>4844</v>
      </c>
      <c r="R455" s="2" t="s">
        <v>420</v>
      </c>
      <c r="S455" s="2" t="str">
        <f>HYPERLINK(".\links\KOG\AGAP006599-PA-KOG.txt","KOG")</f>
        <v>KOG</v>
      </c>
      <c r="T455" s="2">
        <v>1.9999999999999999E-80</v>
      </c>
      <c r="U455" s="2">
        <v>69</v>
      </c>
      <c r="V455" s="2" t="s">
        <v>4845</v>
      </c>
      <c r="W455" s="10" t="s">
        <v>4846</v>
      </c>
      <c r="X455" s="2" t="s">
        <v>388</v>
      </c>
      <c r="Y455" s="2" t="str">
        <f>HYPERLINK(".\links\CDD\AGAP006599-PA-CDD.txt","CDD")</f>
        <v>CDD</v>
      </c>
      <c r="Z455" s="2">
        <v>0</v>
      </c>
      <c r="AA455" s="2">
        <v>100</v>
      </c>
      <c r="AB455" s="13" t="s">
        <v>102</v>
      </c>
      <c r="AC455" s="13" t="str">
        <f>HYPERLINK(".\links\Sigp\AGAP006599-PA-SigP.txt","CYT")</f>
        <v>CYT</v>
      </c>
      <c r="AD455" s="2" t="s">
        <v>102</v>
      </c>
      <c r="AE455" s="2">
        <v>145.02199999999999</v>
      </c>
      <c r="AF455" s="2">
        <v>7.8</v>
      </c>
      <c r="AG455" s="2" t="s">
        <v>102</v>
      </c>
      <c r="AH455" s="2" t="s">
        <v>102</v>
      </c>
      <c r="AI455" s="2" t="s">
        <v>1942</v>
      </c>
      <c r="AJ455" s="13">
        <v>0</v>
      </c>
      <c r="AK455" s="2" t="s">
        <v>102</v>
      </c>
      <c r="AL455" s="2" t="s">
        <v>102</v>
      </c>
      <c r="AM455" s="2" t="s">
        <v>102</v>
      </c>
      <c r="AN455" s="13" t="str">
        <f>HYPERLINK(".\links\gpi\AGAP006599-PA-gpi.txt","N")</f>
        <v>N</v>
      </c>
      <c r="AO455" s="14" t="str">
        <f>HYPERLINK(".\links\netoglyc\AGAP006599-PA-netoglyc.txt","1")</f>
        <v>1</v>
      </c>
      <c r="AP455" s="13">
        <v>10.8</v>
      </c>
      <c r="AQ455" s="2">
        <v>10.8</v>
      </c>
      <c r="AR455" s="2">
        <v>5.4</v>
      </c>
      <c r="AS455" s="2">
        <v>0.9</v>
      </c>
      <c r="AT455" s="9" t="str">
        <f>HYPERLINK(".\links\NR-LIGHT\AGAP006599-PA-NR-LIGHT.txt","AGAP006599-PA")</f>
        <v>AGAP006599-PA</v>
      </c>
      <c r="AU455" s="2" t="str">
        <f>HYPERLINK("http://www.ncbi.nlm.nih.gov/sutils/blink.cgi?pid=XP_316626.4","0.0")</f>
        <v>0.0</v>
      </c>
      <c r="AV455" s="2" t="str">
        <f>HYPERLINK("http://www.ncbi.nlm.nih.gov/protein/XP_316626.4","XP_316626.4")</f>
        <v>XP_316626.4</v>
      </c>
      <c r="AW455" s="2">
        <v>100</v>
      </c>
      <c r="AX455" s="2">
        <v>100</v>
      </c>
      <c r="AY455" s="2">
        <v>100</v>
      </c>
      <c r="AZ455" s="2" t="s">
        <v>105</v>
      </c>
      <c r="BA455" s="9" t="str">
        <f>HYPERLINK(".\links\REFSEQ-INVERTEBRATE\AGAP006599-PA-REFSEQ-INVERTEBRATE.txt","AGAP006599-PA")</f>
        <v>AGAP006599-PA</v>
      </c>
      <c r="BB455" s="2" t="str">
        <f>HYPERLINK("http://www.ncbi.nlm.nih.gov/sutils/blink.cgi?pid=XP_316626.4","0.0")</f>
        <v>0.0</v>
      </c>
      <c r="BC455" s="2" t="str">
        <f>HYPERLINK("http://www.ncbi.nlm.nih.gov/protein/XP_316626.4","XP_316626.4")</f>
        <v>XP_316626.4</v>
      </c>
      <c r="BD455" s="2">
        <v>100</v>
      </c>
      <c r="BE455" s="2">
        <v>100</v>
      </c>
      <c r="BF455" s="2">
        <v>100</v>
      </c>
      <c r="BG455" s="2" t="s">
        <v>105</v>
      </c>
      <c r="BH455" s="9" t="str">
        <f>HYPERLINK(".\links\REFSEQ-PROTOZOA\AGAP006599-PA-REFSEQ-PROTOZOA.txt","hypothetical protein PTSG_08854")</f>
        <v>hypothetical protein PTSG_08854</v>
      </c>
      <c r="BI455" s="2" t="str">
        <f>HYPERLINK("http://www.ncbi.nlm.nih.gov/sutils/blink.cgi?pid=XP_004990241.1","1E-139")</f>
        <v>1E-139</v>
      </c>
      <c r="BJ455" s="2" t="str">
        <f>HYPERLINK("http://www.ncbi.nlm.nih.gov/protein/XP_004990241.1","XP_004990241.1")</f>
        <v>XP_004990241.1</v>
      </c>
      <c r="BK455" s="2">
        <v>36</v>
      </c>
      <c r="BL455" s="2">
        <v>54</v>
      </c>
      <c r="BM455" s="2">
        <v>89</v>
      </c>
      <c r="BN455" s="2" t="s">
        <v>435</v>
      </c>
      <c r="BO455" s="9" t="str">
        <f>HYPERLINK(".\links\SWISSP\AGAP006599-PA-SWISSP.txt","Dosage compensation regulator")</f>
        <v>Dosage compensation regulator</v>
      </c>
      <c r="BP455" s="2" t="str">
        <f>HYPERLINK("http://www.uniprot.org/uniprot/P24785","0.0")</f>
        <v>0.0</v>
      </c>
      <c r="BQ455" s="2" t="str">
        <f>HYPERLINK("http://www.uniprot.org/uniprot/P24785#expression","P24785")</f>
        <v>P24785</v>
      </c>
      <c r="BR455" s="2">
        <v>56</v>
      </c>
      <c r="BS455" s="2">
        <v>70</v>
      </c>
      <c r="BT455" s="2">
        <v>102</v>
      </c>
      <c r="BU455" s="2" t="s">
        <v>107</v>
      </c>
      <c r="BV455" s="9" t="str">
        <f>HYPERLINK(".\links\FLYBASE\AGAP006599-PA-FLYBASE.txt","FBpp0085367")</f>
        <v>FBpp0085367</v>
      </c>
      <c r="BW455" s="2" t="str">
        <f>HYPERLINK("http://flybase.org/reports/FBgn0002774#alliance_summary_container","0.0")</f>
        <v>0.0</v>
      </c>
      <c r="BX455" s="2">
        <v>1293</v>
      </c>
      <c r="BY455" s="2">
        <v>56</v>
      </c>
      <c r="BZ455" s="2">
        <v>69</v>
      </c>
      <c r="CA455" s="2">
        <v>98</v>
      </c>
      <c r="CB455" s="9" t="str">
        <f>HYPERLINK(".\links\CDD\AGAP006599-PA-CDD.txt","PRK11131, ATP-dependent RNA helicase HrpA")</f>
        <v>PRK11131, ATP-dependent RNA helicase HrpA</v>
      </c>
      <c r="CC455" s="15">
        <v>1.9999999999999999E-72</v>
      </c>
      <c r="CD455" s="2">
        <v>40.200000000000003</v>
      </c>
      <c r="CE455" s="2" t="s">
        <v>4847</v>
      </c>
      <c r="CF455" s="2" t="s">
        <v>4848</v>
      </c>
      <c r="CG455" s="9" t="str">
        <f>HYPERLINK(".\links\KOG\AGAP006599-PA-KOG.txt","subunit MLE")</f>
        <v>subunit MLE</v>
      </c>
      <c r="CH455" s="15">
        <v>0</v>
      </c>
      <c r="CI455" s="2">
        <v>103.3</v>
      </c>
      <c r="CJ455" s="2" t="s">
        <v>4849</v>
      </c>
      <c r="CK455" s="2" t="s">
        <v>309</v>
      </c>
      <c r="CL455" s="9" t="str">
        <f>HYPERLINK(".\links\PFAM\AGAP006599-PA-PFAM.txt","OB_NTP_bind, Oligonucleotide/oligosaccharide-binding (OB)-fold")</f>
        <v>OB_NTP_bind, Oligonucleotide/oligosaccharide-binding (OB)-fold</v>
      </c>
      <c r="CM455" s="15">
        <v>7.9999999999999996E-20</v>
      </c>
      <c r="CN455" s="2">
        <v>101.8</v>
      </c>
      <c r="CO455" s="2" t="s">
        <v>4850</v>
      </c>
      <c r="CP455" s="9" t="str">
        <f>HYPERLINK(".\links\SMART\AGAP006599-PA-SMART.txt","DEXDc, DEAD-like helicases superfamily")</f>
        <v>DEXDc, DEAD-like helicases superfamily</v>
      </c>
      <c r="CQ455" s="15">
        <v>2.0000000000000001E-22</v>
      </c>
      <c r="CR455" s="2">
        <v>93.5</v>
      </c>
      <c r="CS455" s="2" t="s">
        <v>429</v>
      </c>
      <c r="CT455" s="2" t="s">
        <v>4845</v>
      </c>
      <c r="CU455" s="2" t="s">
        <v>4845</v>
      </c>
      <c r="CV455" s="2" t="s">
        <v>4845</v>
      </c>
      <c r="CW455" s="2" t="str">
        <f>HYPERLINK(".\links\pep\AGAP006599-PA-pep.txt","AGAP006599-PA")</f>
        <v>AGAP006599-PA</v>
      </c>
      <c r="CX455" s="2" t="s">
        <v>95</v>
      </c>
      <c r="CY455" s="2">
        <v>1318</v>
      </c>
      <c r="CZ455" s="2" t="s">
        <v>113</v>
      </c>
      <c r="DA455" s="2" t="s">
        <v>4851</v>
      </c>
      <c r="DB455" s="2">
        <v>0</v>
      </c>
      <c r="DC455" s="2">
        <v>3</v>
      </c>
      <c r="DD455" s="2" t="str">
        <f>HYPERLINK("https://www.kegg.jp/kegg-bin/search_pathway_text?map=aga&amp;keyword=AGAP006599&amp;mode=1&amp;viewImage=true","AGAP006599")</f>
        <v>AGAP006599</v>
      </c>
      <c r="DE455" s="2" t="s">
        <v>4841</v>
      </c>
      <c r="DF455" s="2" t="s">
        <v>4842</v>
      </c>
      <c r="DG455" s="2" t="s">
        <v>94</v>
      </c>
      <c r="DH455" s="2" t="str">
        <f>HYPERLINK("https://vectorbase.org/vectorbase/app/record/gene/AGAP006599","AGAP006599-RA")</f>
        <v>AGAP006599-RA</v>
      </c>
      <c r="DI455" s="2" t="s">
        <v>135</v>
      </c>
      <c r="DJ455" s="2">
        <v>4655</v>
      </c>
      <c r="DK455" s="2" t="str">
        <f>HYPERLINK(".\links\netoglyc\AGAP006599-PA-netoglyc.txt","1")</f>
        <v>1</v>
      </c>
      <c r="DL455" s="2">
        <v>10.8</v>
      </c>
      <c r="DM455" s="2">
        <v>10.8</v>
      </c>
      <c r="DN455" s="2">
        <v>5.4</v>
      </c>
      <c r="DO455" s="2">
        <v>0.9</v>
      </c>
      <c r="DP455" s="2" t="s">
        <v>4852</v>
      </c>
      <c r="DQ455" s="2" t="str">
        <f>HYPERLINK(".\links\Sigp\AGAP006599-PA-SigP.txt","CYT")</f>
        <v>CYT</v>
      </c>
      <c r="DR455" s="2" t="s">
        <v>102</v>
      </c>
      <c r="DS455" s="2">
        <v>145.02199999999999</v>
      </c>
      <c r="DT455" s="2">
        <v>7.8</v>
      </c>
      <c r="DU455" s="2" t="s">
        <v>102</v>
      </c>
      <c r="DV455" s="2" t="s">
        <v>102</v>
      </c>
      <c r="DW455" s="2" t="s">
        <v>1942</v>
      </c>
      <c r="DX455" s="2">
        <v>1318</v>
      </c>
      <c r="DY455" s="12">
        <v>0</v>
      </c>
      <c r="DZ455" s="2" t="s">
        <v>102</v>
      </c>
      <c r="EA455" s="2" t="s">
        <v>102</v>
      </c>
      <c r="EB455" s="2" t="s">
        <v>102</v>
      </c>
      <c r="EC455" s="2" t="str">
        <f>HYPERLINK(".\links\gpi\AGAP006599-PA-gpi.txt","Y-NoSP")</f>
        <v>Y-NoSP</v>
      </c>
      <c r="ED455" s="2">
        <v>0.15</v>
      </c>
      <c r="EF455" s="2">
        <v>32</v>
      </c>
      <c r="EG455" s="2" t="s">
        <v>102</v>
      </c>
      <c r="EH455" s="2" t="s">
        <v>102</v>
      </c>
      <c r="EI455" s="2">
        <v>10.8497723823976</v>
      </c>
      <c r="EJ455" s="2">
        <v>5.3869499241274701</v>
      </c>
      <c r="EK455" s="2">
        <v>10.773899848254899</v>
      </c>
      <c r="EL455" s="2">
        <v>16.160849772382399</v>
      </c>
      <c r="EM455" s="2" t="s">
        <v>102</v>
      </c>
      <c r="EN455" s="2">
        <v>4</v>
      </c>
      <c r="EO455" s="2">
        <v>5</v>
      </c>
      <c r="EP455" s="2" t="s">
        <v>102</v>
      </c>
      <c r="EQ455" s="2" t="s">
        <v>102</v>
      </c>
      <c r="ER455" s="2" t="s">
        <v>102</v>
      </c>
      <c r="ES455" s="2" t="s">
        <v>102</v>
      </c>
      <c r="ET455" s="2" t="str">
        <f>HYPERLINK(".\links\REFSEQ-INVERTEBRATE\AGAP006599-PA-REFSEQ-INVERTEBRATE.txt","AGAP006599-PA")</f>
        <v>AGAP006599-PA</v>
      </c>
      <c r="EU455" s="2" t="str">
        <f>HYPERLINK("http://www.ncbi.nlm.nih.gov/sutils/blink.cgi?pid=XP_316626.4","0.0")</f>
        <v>0.0</v>
      </c>
      <c r="EV455" s="2" t="str">
        <f>HYPERLINK("http://www.ncbi.nlm.nih.gov/protein/XP_316626.4","XP_316626.4")</f>
        <v>XP_316626.4</v>
      </c>
      <c r="EW455" s="2">
        <v>100</v>
      </c>
      <c r="EX455" s="2">
        <v>100</v>
      </c>
      <c r="EY455" s="2">
        <v>100</v>
      </c>
      <c r="EZ455" s="2" t="s">
        <v>105</v>
      </c>
    </row>
    <row r="456" spans="1:156" x14ac:dyDescent="0.25">
      <c r="A456" s="2" t="s">
        <v>4853</v>
      </c>
      <c r="B456" s="2">
        <v>-0.38442775087435699</v>
      </c>
      <c r="C456" s="2">
        <f t="shared" si="7"/>
        <v>0.76608280723254252</v>
      </c>
      <c r="D456" s="2">
        <v>6.0886401848220304</v>
      </c>
      <c r="E456" s="2">
        <v>9.2743197396978001</v>
      </c>
      <c r="F456" s="2">
        <v>2.32388979677144E-3</v>
      </c>
      <c r="G456" s="2">
        <v>4.58876742400747E-2</v>
      </c>
      <c r="H456" s="2" t="s">
        <v>4854</v>
      </c>
      <c r="I456" s="2" t="s">
        <v>88</v>
      </c>
      <c r="J456" s="8" t="s">
        <v>4855</v>
      </c>
      <c r="Q456" s="9"/>
      <c r="W456" s="10"/>
      <c r="AB456" s="9"/>
      <c r="AC456" s="9"/>
      <c r="AJ456" s="9"/>
      <c r="AN456" s="9"/>
      <c r="AO456" s="11"/>
      <c r="AP456" s="9"/>
      <c r="AT456" s="9"/>
      <c r="BA456" s="9"/>
      <c r="BH456" s="9"/>
      <c r="BO456" s="9"/>
      <c r="BV456" s="9"/>
      <c r="CB456" s="9"/>
      <c r="CG456" s="9"/>
      <c r="CL456" s="9"/>
      <c r="CP456" s="9"/>
      <c r="DE456" s="2" t="s">
        <v>4853</v>
      </c>
      <c r="DF456" s="2" t="s">
        <v>4854</v>
      </c>
      <c r="DG456" s="2" t="s">
        <v>88</v>
      </c>
      <c r="DH456" s="8" t="s">
        <v>4855</v>
      </c>
      <c r="DI456" s="2" t="s">
        <v>118</v>
      </c>
      <c r="DJ456" s="2">
        <v>13686</v>
      </c>
      <c r="DQ456" s="2" t="s">
        <v>141</v>
      </c>
      <c r="DS456" s="2">
        <v>133827</v>
      </c>
      <c r="DT456" s="2">
        <v>6.62</v>
      </c>
      <c r="DX456" s="2">
        <v>1199</v>
      </c>
      <c r="DY456" s="12"/>
    </row>
    <row r="457" spans="1:156" x14ac:dyDescent="0.25">
      <c r="A457" s="2" t="s">
        <v>4856</v>
      </c>
      <c r="B457" s="2">
        <v>-0.38467914891240201</v>
      </c>
      <c r="C457" s="2">
        <f t="shared" si="7"/>
        <v>0.76594932445890063</v>
      </c>
      <c r="D457" s="2">
        <v>5.6613414466357197</v>
      </c>
      <c r="E457" s="2">
        <v>12.0908379820122</v>
      </c>
      <c r="F457" s="2">
        <v>5.0670195917798804E-4</v>
      </c>
      <c r="G457" s="2">
        <v>2.6144229359681002E-2</v>
      </c>
      <c r="H457" s="2" t="s">
        <v>549</v>
      </c>
      <c r="I457" s="2" t="s">
        <v>88</v>
      </c>
      <c r="J457" s="8" t="s">
        <v>4857</v>
      </c>
      <c r="Q457" s="9"/>
      <c r="W457" s="10"/>
      <c r="AB457" s="9"/>
      <c r="AC457" s="9"/>
      <c r="AJ457" s="9"/>
      <c r="AN457" s="9"/>
      <c r="AO457" s="11"/>
      <c r="AP457" s="9"/>
      <c r="AT457" s="9"/>
      <c r="BA457" s="9"/>
      <c r="BH457" s="9"/>
      <c r="BO457" s="9"/>
      <c r="BV457" s="9"/>
      <c r="CB457" s="9"/>
      <c r="CG457" s="9"/>
      <c r="CL457" s="9"/>
      <c r="CP457" s="9"/>
      <c r="DE457" s="2" t="s">
        <v>4856</v>
      </c>
      <c r="DF457" s="2" t="s">
        <v>549</v>
      </c>
      <c r="DG457" s="2" t="s">
        <v>88</v>
      </c>
      <c r="DH457" s="8" t="s">
        <v>4857</v>
      </c>
      <c r="DI457" s="2" t="s">
        <v>118</v>
      </c>
      <c r="DJ457" s="2">
        <v>2591</v>
      </c>
      <c r="DQ457" s="2" t="s">
        <v>141</v>
      </c>
      <c r="DS457" s="2">
        <v>80319</v>
      </c>
      <c r="DT457" s="2">
        <v>8.5500000000000007</v>
      </c>
      <c r="DX457" s="2">
        <v>755</v>
      </c>
      <c r="DY457" s="12"/>
    </row>
    <row r="458" spans="1:156" x14ac:dyDescent="0.25">
      <c r="A458" s="2" t="s">
        <v>4858</v>
      </c>
      <c r="B458" s="2">
        <v>-0.38528687358357999</v>
      </c>
      <c r="C458" s="2">
        <f t="shared" si="7"/>
        <v>0.76562674188907065</v>
      </c>
      <c r="D458" s="2">
        <v>6.7675151580825403</v>
      </c>
      <c r="E458" s="2">
        <v>8.8177679453580105</v>
      </c>
      <c r="F458" s="2">
        <v>2.9831134549312402E-3</v>
      </c>
      <c r="G458" s="2">
        <v>4.9912704751014197E-2</v>
      </c>
      <c r="H458" s="2" t="s">
        <v>93</v>
      </c>
      <c r="I458" s="2" t="s">
        <v>94</v>
      </c>
      <c r="J458" s="2" t="str">
        <f>HYPERLINK("https://vectorbase.org/vectorbase/app/record/gene/AGAP012226","AGAP012226-RA")</f>
        <v>AGAP012226-RA</v>
      </c>
      <c r="K458" s="2" t="str">
        <f>HYPERLINK(".\links\pep\AGAP012226-PA-pep.txt","AGAP012226-PA")</f>
        <v>AGAP012226-PA</v>
      </c>
      <c r="L458" s="12" t="s">
        <v>95</v>
      </c>
      <c r="M458" s="2">
        <v>1224</v>
      </c>
      <c r="N458" s="2">
        <v>0</v>
      </c>
      <c r="O458" s="2">
        <v>5</v>
      </c>
      <c r="P458" s="2" t="s">
        <v>102</v>
      </c>
      <c r="Q458" s="9" t="s">
        <v>4859</v>
      </c>
      <c r="R458" s="2" t="s">
        <v>355</v>
      </c>
      <c r="S458" s="2" t="str">
        <f>HYPERLINK(".\links\KOG\AGAP012226-PA-KOG.txt","KOG")</f>
        <v>KOG</v>
      </c>
      <c r="T458" s="2">
        <v>1E-41</v>
      </c>
      <c r="U458" s="2">
        <v>57.9</v>
      </c>
      <c r="V458" s="2" t="s">
        <v>4860</v>
      </c>
      <c r="W458" s="10" t="s">
        <v>4861</v>
      </c>
      <c r="X458" s="2" t="s">
        <v>355</v>
      </c>
      <c r="Y458" s="2" t="str">
        <f>HYPERLINK(".\links\KOG\AGAP012226-PA-KOG.txt","KOG")</f>
        <v>KOG</v>
      </c>
      <c r="Z458" s="15">
        <v>1.9999999999999999E-72</v>
      </c>
      <c r="AA458" s="2">
        <v>25.8</v>
      </c>
      <c r="AB458" s="13" t="str">
        <f>HYPERLINK(".\links\pep\AGAP012226-PA-sulf.txt","1")</f>
        <v>1</v>
      </c>
      <c r="AC458" s="13" t="str">
        <f>HYPERLINK(".\links\Sigp\AGAP012226-PA-SigP.txt","SIG")</f>
        <v>SIG</v>
      </c>
      <c r="AD458" s="2" t="s">
        <v>4862</v>
      </c>
      <c r="AE458" s="2">
        <v>133.88300000000001</v>
      </c>
      <c r="AF458" s="2">
        <v>6.63</v>
      </c>
      <c r="AG458" s="2">
        <v>129.99799999999999</v>
      </c>
      <c r="AH458" s="2">
        <v>6.57</v>
      </c>
      <c r="AI458" s="2" t="s">
        <v>4863</v>
      </c>
      <c r="AJ458" s="13" t="str">
        <f>HYPERLINK(".\links\tmhmm\AGAP012226-PA-tmhmm.txt","1")</f>
        <v>1</v>
      </c>
      <c r="AK458" s="2">
        <v>1.8</v>
      </c>
      <c r="AL458" s="2">
        <v>63.5</v>
      </c>
      <c r="AM458" s="2">
        <v>34.700000000000003</v>
      </c>
      <c r="AN458" s="13" t="str">
        <f>HYPERLINK(".\links\gpi\AGAP012226-PA-gpi.txt","N")</f>
        <v>N</v>
      </c>
      <c r="AO458" s="14" t="str">
        <f>HYPERLINK(".\links\netoglyc\AGAP012226-PA-netoglyc.txt","2")</f>
        <v>2</v>
      </c>
      <c r="AP458" s="13">
        <v>15.2</v>
      </c>
      <c r="AQ458" s="2">
        <v>9.1999999999999993</v>
      </c>
      <c r="AR458" s="2">
        <v>8.5</v>
      </c>
      <c r="AS458" s="2">
        <v>0.2</v>
      </c>
      <c r="AT458" s="9" t="str">
        <f>HYPERLINK(".\links\NR-LIGHT\AGAP012226-PA-NR-LIGHT.txt","AGAP012226-PA, partial")</f>
        <v>AGAP012226-PA, partial</v>
      </c>
      <c r="AU458" s="2" t="str">
        <f>HYPERLINK("http://www.ncbi.nlm.nih.gov/sutils/blink.cgi?pid=XP_320312.4","0.0")</f>
        <v>0.0</v>
      </c>
      <c r="AV458" s="2" t="str">
        <f>HYPERLINK("http://www.ncbi.nlm.nih.gov/protein/XP_320312.4","XP_320312.4")</f>
        <v>XP_320312.4</v>
      </c>
      <c r="AW458" s="2">
        <v>96</v>
      </c>
      <c r="AX458" s="2">
        <v>97</v>
      </c>
      <c r="AY458" s="2">
        <v>102</v>
      </c>
      <c r="AZ458" s="2" t="s">
        <v>105</v>
      </c>
      <c r="BA458" s="9" t="str">
        <f>HYPERLINK(".\links\REFSEQ-INVERTEBRATE\AGAP012226-PA-REFSEQ-INVERTEBRATE.txt","AGAP012226-PA, partial")</f>
        <v>AGAP012226-PA, partial</v>
      </c>
      <c r="BB458" s="2" t="str">
        <f>HYPERLINK("http://www.ncbi.nlm.nih.gov/sutils/blink.cgi?pid=XP_320312.4","0.0")</f>
        <v>0.0</v>
      </c>
      <c r="BC458" s="2" t="str">
        <f>HYPERLINK("http://www.ncbi.nlm.nih.gov/protein/XP_320312.4","XP_320312.4")</f>
        <v>XP_320312.4</v>
      </c>
      <c r="BD458" s="2">
        <v>96</v>
      </c>
      <c r="BE458" s="2">
        <v>97</v>
      </c>
      <c r="BF458" s="2">
        <v>102</v>
      </c>
      <c r="BG458" s="2" t="s">
        <v>105</v>
      </c>
      <c r="BH458" s="9" t="str">
        <f>HYPERLINK(".\links\REFSEQ-PROTOZOA\AGAP012226-PA-REFSEQ-PROTOZOA.txt","hypothetical protein DFA_02726")</f>
        <v>hypothetical protein DFA_02726</v>
      </c>
      <c r="BI458" s="2" t="str">
        <f>HYPERLINK("http://www.ncbi.nlm.nih.gov/sutils/blink.cgi?pid=XP_004362334.1","3E-010")</f>
        <v>3E-010</v>
      </c>
      <c r="BJ458" s="2" t="str">
        <f>HYPERLINK("http://www.ncbi.nlm.nih.gov/protein/XP_004362334.1","XP_004362334.1")</f>
        <v>XP_004362334.1</v>
      </c>
      <c r="BK458" s="2">
        <v>26</v>
      </c>
      <c r="BL458" s="2">
        <v>38</v>
      </c>
      <c r="BM458" s="2">
        <v>20</v>
      </c>
      <c r="BN458" s="2" t="s">
        <v>212</v>
      </c>
      <c r="BO458" s="9" t="str">
        <f>HYPERLINK(".\links\SWISSP\AGAP012226-PA-SWISSP.txt","Roundabout homolog 2")</f>
        <v>Roundabout homolog 2</v>
      </c>
      <c r="BP458" s="2" t="str">
        <f>HYPERLINK("http://www.uniprot.org/uniprot/Q9HCK4","7E-069")</f>
        <v>7E-069</v>
      </c>
      <c r="BQ458" s="2" t="str">
        <f>HYPERLINK("http://www.uniprot.org/uniprot/Q9HCK4#expression","Q9HCK4")</f>
        <v>Q9HCK4</v>
      </c>
      <c r="BR458" s="2">
        <v>41</v>
      </c>
      <c r="BS458" s="2">
        <v>55</v>
      </c>
      <c r="BT458" s="2">
        <v>23</v>
      </c>
      <c r="BU458" s="2" t="s">
        <v>127</v>
      </c>
      <c r="BV458" s="9" t="str">
        <f>HYPERLINK(".\links\FLYBASE\AGAP012226-PA-FLYBASE.txt","FBpp0307368")</f>
        <v>FBpp0307368</v>
      </c>
      <c r="BW458" s="2" t="str">
        <f>HYPERLINK("http://flybase.org/reports/FBgn0041097#alliance_summary_container","4E-79")</f>
        <v>4E-79</v>
      </c>
      <c r="BX458" s="2">
        <v>1342</v>
      </c>
      <c r="BY458" s="2">
        <v>43</v>
      </c>
      <c r="BZ458" s="2">
        <v>56</v>
      </c>
      <c r="CA458" s="2">
        <v>25</v>
      </c>
      <c r="CB458" s="9" t="str">
        <f>HYPERLINK(".\links\CDD\AGAP012226-PA-CDD.txt","Ig1_Robo, First immunoglobulin (Ig)-like domain in Robo (roundabout) receptors and similar proteins")</f>
        <v>Ig1_Robo, First immunoglobulin (Ig)-like domain in Robo (roundabout) receptors and similar proteins</v>
      </c>
      <c r="CC458" s="15">
        <v>1E-25</v>
      </c>
      <c r="CD458" s="2">
        <v>99</v>
      </c>
      <c r="CE458" s="2" t="s">
        <v>4152</v>
      </c>
      <c r="CF458" s="2" t="s">
        <v>4864</v>
      </c>
      <c r="CG458" s="9" t="str">
        <f>HYPERLINK(".\links\KOG\AGAP012226-PA-KOG.txt","Axon guidance receptor Dscam")</f>
        <v>Axon guidance receptor Dscam</v>
      </c>
      <c r="CH458" s="15">
        <v>1.9999999999999999E-69</v>
      </c>
      <c r="CI458" s="2">
        <v>25.7</v>
      </c>
      <c r="CJ458" s="2" t="s">
        <v>4154</v>
      </c>
      <c r="CK458" s="2" t="s">
        <v>173</v>
      </c>
      <c r="CL458" s="9" t="str">
        <f>HYPERLINK(".\links\PFAM\AGAP012226-PA-PFAM.txt","I-set, Immunoglobulin I-set domain")</f>
        <v>I-set, Immunoglobulin I-set domain</v>
      </c>
      <c r="CM458" s="15">
        <v>5.0000000000000004E-18</v>
      </c>
      <c r="CN458" s="2">
        <v>102.2</v>
      </c>
      <c r="CO458" s="2" t="s">
        <v>4155</v>
      </c>
      <c r="CP458" s="9" t="str">
        <f>HYPERLINK(".\links\SMART\AGAP012226-PA-SMART.txt","IG_like, Immunoglobulin like")</f>
        <v>IG_like, Immunoglobulin like</v>
      </c>
      <c r="CQ458" s="15">
        <v>5E-15</v>
      </c>
      <c r="CR458" s="2">
        <v>100</v>
      </c>
      <c r="CS458" s="2" t="s">
        <v>439</v>
      </c>
      <c r="CT458" s="2" t="s">
        <v>4860</v>
      </c>
      <c r="CU458" s="2" t="s">
        <v>4860</v>
      </c>
      <c r="CV458" s="2" t="s">
        <v>4860</v>
      </c>
      <c r="CW458" s="2" t="str">
        <f>HYPERLINK(".\links\pep\AGAP012226-PA-pep.txt","AGAP012226-PA")</f>
        <v>AGAP012226-PA</v>
      </c>
      <c r="CX458" s="2" t="s">
        <v>95</v>
      </c>
      <c r="CY458" s="2">
        <v>1224</v>
      </c>
      <c r="CZ458" s="2" t="s">
        <v>113</v>
      </c>
      <c r="DA458" s="2" t="s">
        <v>4865</v>
      </c>
      <c r="DB458" s="2">
        <v>0</v>
      </c>
      <c r="DC458" s="2">
        <v>5</v>
      </c>
      <c r="DD458" s="2" t="str">
        <f>HYPERLINK("https://www.kegg.jp/kegg-bin/search_pathway_text?map=aga&amp;keyword=AGAP012226&amp;mode=1&amp;viewImage=true","AGAP012226")</f>
        <v>AGAP012226</v>
      </c>
      <c r="DE458" s="2" t="s">
        <v>4858</v>
      </c>
      <c r="DF458" s="2" t="s">
        <v>93</v>
      </c>
      <c r="DG458" s="2" t="s">
        <v>94</v>
      </c>
      <c r="DH458" s="2" t="str">
        <f>HYPERLINK("https://vectorbase.org/vectorbase/app/record/gene/AGAP012226","AGAP012226-RA")</f>
        <v>AGAP012226-RA</v>
      </c>
      <c r="DI458" s="2" t="s">
        <v>118</v>
      </c>
      <c r="DJ458" s="2">
        <v>10791</v>
      </c>
      <c r="DK458" s="2" t="str">
        <f>HYPERLINK(".\links\netoglyc\AGAP012226-PA-netoglyc.txt","2")</f>
        <v>2</v>
      </c>
      <c r="DL458" s="2">
        <v>15.2</v>
      </c>
      <c r="DM458" s="2">
        <v>9.1999999999999993</v>
      </c>
      <c r="DN458" s="2">
        <v>8.5</v>
      </c>
      <c r="DO458" s="2">
        <v>0.2</v>
      </c>
      <c r="DP458" s="2" t="s">
        <v>4866</v>
      </c>
      <c r="DQ458" s="2" t="str">
        <f>HYPERLINK(".\links\Sigp\AGAP012226-PA-SigP.txt","SIG")</f>
        <v>SIG</v>
      </c>
      <c r="DR458" s="2" t="s">
        <v>4862</v>
      </c>
      <c r="DS458" s="2">
        <v>133.88300000000001</v>
      </c>
      <c r="DT458" s="2">
        <v>6.63</v>
      </c>
      <c r="DU458" s="2">
        <v>129.99799999999999</v>
      </c>
      <c r="DV458" s="2">
        <v>6.57</v>
      </c>
      <c r="DW458" s="2" t="s">
        <v>4863</v>
      </c>
      <c r="DX458" s="2">
        <v>1224</v>
      </c>
      <c r="DY458" s="12" t="str">
        <f>HYPERLINK(".\links\tmhmm\AGAP012226-PA-tmhmm.txt","1")</f>
        <v>1</v>
      </c>
      <c r="DZ458" s="2">
        <v>1.8</v>
      </c>
      <c r="EA458" s="2">
        <v>63.5</v>
      </c>
      <c r="EB458" s="2">
        <v>34.700000000000003</v>
      </c>
      <c r="EC458" s="2" t="str">
        <f>HYPERLINK(".\links\gpi\AGAP012226-PA-gpi.txt","Y-NoSP")</f>
        <v>Y-NoSP</v>
      </c>
      <c r="ED458" s="2">
        <v>0.19</v>
      </c>
      <c r="EF458" s="2">
        <v>18</v>
      </c>
      <c r="EG458" s="2" t="str">
        <f>HYPERLINK(".\links\pep\AGAP012226-PA-sulf.txt","1")</f>
        <v>1</v>
      </c>
      <c r="EH458" s="2" t="s">
        <v>102</v>
      </c>
      <c r="EI458" s="2">
        <v>15.1960784313725</v>
      </c>
      <c r="EJ458" s="2">
        <v>8.4967320261437909</v>
      </c>
      <c r="EK458" s="2">
        <v>9.1503267973856204</v>
      </c>
      <c r="EL458" s="2">
        <v>17.647058823529399</v>
      </c>
      <c r="EM458" s="2">
        <v>2</v>
      </c>
      <c r="EN458" s="2">
        <v>2</v>
      </c>
      <c r="EO458" s="2">
        <v>5</v>
      </c>
      <c r="EP458" s="2" t="s">
        <v>102</v>
      </c>
      <c r="EQ458" s="2" t="s">
        <v>102</v>
      </c>
      <c r="ER458" s="2" t="s">
        <v>102</v>
      </c>
      <c r="ES458" s="2" t="s">
        <v>102</v>
      </c>
      <c r="ET458" s="2" t="str">
        <f>HYPERLINK(".\links\REFSEQ-INVERTEBRATE\AGAP012226-PA-REFSEQ-INVERTEBRATE.txt","protein sax-3-like")</f>
        <v>protein sax-3-like</v>
      </c>
      <c r="EU458" s="2" t="str">
        <f>HYPERLINK("http://www.ncbi.nlm.nih.gov/sutils/blink.cgi?pid=XP_035903506.1","0.0")</f>
        <v>0.0</v>
      </c>
      <c r="EV458" s="2" t="str">
        <f>HYPERLINK("http://www.ncbi.nlm.nih.gov/protein/XP_035903506.1","XP_035903506.1")</f>
        <v>XP_035903506.1</v>
      </c>
      <c r="EW458" s="2">
        <v>89</v>
      </c>
      <c r="EX458" s="2">
        <v>93</v>
      </c>
      <c r="EY458" s="2">
        <v>100</v>
      </c>
      <c r="EZ458" s="2" t="s">
        <v>370</v>
      </c>
    </row>
    <row r="459" spans="1:156" x14ac:dyDescent="0.25">
      <c r="A459" s="2" t="s">
        <v>4867</v>
      </c>
      <c r="B459" s="2">
        <v>-0.38734216243944303</v>
      </c>
      <c r="C459" s="2">
        <f t="shared" si="7"/>
        <v>0.76453679306412548</v>
      </c>
      <c r="D459" s="2">
        <v>5.4524415409703604</v>
      </c>
      <c r="E459" s="2">
        <v>11.2276255388583</v>
      </c>
      <c r="F459" s="2">
        <v>8.0588684046780995E-4</v>
      </c>
      <c r="G459" s="2">
        <v>3.0085860332520298E-2</v>
      </c>
      <c r="H459" s="2" t="s">
        <v>93</v>
      </c>
      <c r="I459" s="2" t="s">
        <v>94</v>
      </c>
      <c r="J459" s="2" t="str">
        <f>HYPERLINK("https://vectorbase.org/vectorbase/app/record/gene/AGAP007537","AGAP007537-RA")</f>
        <v>AGAP007537-RA</v>
      </c>
      <c r="K459" s="2" t="str">
        <f>HYPERLINK(".\links\pep\AGAP007537-PA-pep.txt","AGAP007537-PA")</f>
        <v>AGAP007537-PA</v>
      </c>
      <c r="L459" s="12" t="s">
        <v>95</v>
      </c>
      <c r="M459" s="2">
        <v>4039</v>
      </c>
      <c r="N459" s="2">
        <v>0</v>
      </c>
      <c r="O459" s="2">
        <v>17</v>
      </c>
      <c r="P459" s="2" t="s">
        <v>102</v>
      </c>
      <c r="Q459" s="9" t="s">
        <v>4868</v>
      </c>
      <c r="R459" s="2" t="s">
        <v>358</v>
      </c>
      <c r="S459" s="2" t="str">
        <f>HYPERLINK(".\links\REFSEQ-INVERTEBRATE\AGAP007537-PA-REFSEQ-INVERTEBRATE.txt","REFSEQ-INVERTEBRATE")</f>
        <v>REFSEQ-INVERTEBRATE</v>
      </c>
      <c r="T459" s="2">
        <v>0</v>
      </c>
      <c r="U459" s="2">
        <v>116.4</v>
      </c>
      <c r="V459" s="2" t="s">
        <v>4869</v>
      </c>
      <c r="W459" s="10" t="s">
        <v>4870</v>
      </c>
      <c r="X459" s="2" t="s">
        <v>444</v>
      </c>
      <c r="Y459" s="2" t="str">
        <f>HYPERLINK(".\links\REFSEQ-INVERTEBRATE\AGAP007537-PA-REFSEQ-INVERTEBRATE.txt","REFSEQ-INVERTEBRATE")</f>
        <v>REFSEQ-INVERTEBRATE</v>
      </c>
      <c r="Z459" s="15">
        <v>0</v>
      </c>
      <c r="AA459" s="2">
        <v>104</v>
      </c>
      <c r="AB459" s="13" t="str">
        <f>HYPERLINK(".\links\pep\AGAP007537-PA-sulf.txt","1")</f>
        <v>1</v>
      </c>
      <c r="AC459" s="13" t="str">
        <f>HYPERLINK(".\links\Sigp\AGAP007537-PA-SigP.txt","CYT")</f>
        <v>CYT</v>
      </c>
      <c r="AD459" s="2" t="s">
        <v>102</v>
      </c>
      <c r="AE459" s="2">
        <v>424.697</v>
      </c>
      <c r="AF459" s="2">
        <v>8.5399999999999991</v>
      </c>
      <c r="AG459" s="2" t="s">
        <v>102</v>
      </c>
      <c r="AH459" s="2" t="s">
        <v>102</v>
      </c>
      <c r="AI459" s="2" t="s">
        <v>211</v>
      </c>
      <c r="AJ459" s="13">
        <v>0</v>
      </c>
      <c r="AK459" s="2" t="s">
        <v>102</v>
      </c>
      <c r="AL459" s="2" t="s">
        <v>102</v>
      </c>
      <c r="AM459" s="2" t="s">
        <v>102</v>
      </c>
      <c r="AN459" s="13" t="str">
        <f>HYPERLINK(".\links\gpi\AGAP007537-PA-gpi.txt","N")</f>
        <v>N</v>
      </c>
      <c r="AO459" s="14" t="str">
        <f>HYPERLINK(".\links\netoglyc\AGAP007537-PA-netoglyc.txt","51")</f>
        <v>51</v>
      </c>
      <c r="AP459" s="13">
        <v>20.399999999999999</v>
      </c>
      <c r="AQ459" s="2">
        <v>8.5</v>
      </c>
      <c r="AR459" s="2">
        <v>10.6</v>
      </c>
      <c r="AS459" s="2">
        <v>0.1</v>
      </c>
      <c r="AT459" s="9" t="str">
        <f>HYPERLINK(".\links\NR-LIGHT\AGAP007537-PA-NR-LIGHT.txt","hypothetical protein AND_004895")</f>
        <v>hypothetical protein AND_004895</v>
      </c>
      <c r="AU459" s="2" t="str">
        <f>HYPERLINK("http://www.ncbi.nlm.nih.gov/sutils/blink.cgi?pid=ETN63395.1","0.0")</f>
        <v>0.0</v>
      </c>
      <c r="AV459" s="2" t="str">
        <f>HYPERLINK("http://www.ncbi.nlm.nih.gov/protein/ETN63395.1","ETN63395.1")</f>
        <v>ETN63395.1</v>
      </c>
      <c r="AW459" s="2">
        <v>41</v>
      </c>
      <c r="AX459" s="2">
        <v>52</v>
      </c>
      <c r="AY459" s="2">
        <v>110</v>
      </c>
      <c r="AZ459" s="2" t="s">
        <v>360</v>
      </c>
      <c r="BA459" s="9" t="str">
        <f>HYPERLINK(".\links\REFSEQ-INVERTEBRATE\AGAP007537-PA-REFSEQ-INVERTEBRATE.txt","AGAP007537-PA, partial")</f>
        <v>AGAP007537-PA, partial</v>
      </c>
      <c r="BB459" s="2" t="str">
        <f>HYPERLINK("http://www.ncbi.nlm.nih.gov/sutils/blink.cgi?pid=XP_001237064.2","0.0")</f>
        <v>0.0</v>
      </c>
      <c r="BC459" s="2" t="str">
        <f>HYPERLINK("http://www.ncbi.nlm.nih.gov/protein/XP_001237064.2","XP_001237064.2")</f>
        <v>XP_001237064.2</v>
      </c>
      <c r="BD459" s="2">
        <v>77</v>
      </c>
      <c r="BE459" s="2">
        <v>80</v>
      </c>
      <c r="BF459" s="2">
        <v>78</v>
      </c>
      <c r="BG459" s="2" t="s">
        <v>105</v>
      </c>
      <c r="BH459" s="9" t="str">
        <f>HYPERLINK(".\links\REFSEQ-PROTOZOA\AGAP007537-PA-REFSEQ-PROTOZOA.txt","proteophosphoglycan 5")</f>
        <v>proteophosphoglycan 5</v>
      </c>
      <c r="BI459" s="2" t="str">
        <f>HYPERLINK("http://www.ncbi.nlm.nih.gov/sutils/blink.cgi?pid=XP_003722449.1","1E-152")</f>
        <v>1E-152</v>
      </c>
      <c r="BJ459" s="2" t="str">
        <f>HYPERLINK("http://www.ncbi.nlm.nih.gov/protein/XP_003722449.1","XP_003722449.1")</f>
        <v>XP_003722449.1</v>
      </c>
      <c r="BK459" s="2">
        <v>21</v>
      </c>
      <c r="BL459" s="2">
        <v>35</v>
      </c>
      <c r="BM459" s="2">
        <v>20</v>
      </c>
      <c r="BN459" s="2" t="s">
        <v>3969</v>
      </c>
      <c r="BO459" s="9" t="str">
        <f>HYPERLINK(".\links\SWISSP\AGAP007537-PA-SWISSP.txt","Mucin-5AC")</f>
        <v>Mucin-5AC</v>
      </c>
      <c r="BP459" s="2" t="str">
        <f>HYPERLINK("http://www.uniprot.org/uniprot/P98088","1E-041")</f>
        <v>1E-041</v>
      </c>
      <c r="BQ459" s="2" t="str">
        <f>HYPERLINK("http://www.uniprot.org/uniprot/P98088#expression","P98088")</f>
        <v>P98088</v>
      </c>
      <c r="BR459" s="2">
        <v>19</v>
      </c>
      <c r="BS459" s="2">
        <v>32</v>
      </c>
      <c r="BT459" s="2">
        <v>41</v>
      </c>
      <c r="BU459" s="2" t="s">
        <v>127</v>
      </c>
      <c r="BV459" s="9" t="str">
        <f>HYPERLINK(".\links\FLYBASE\AGAP007537-PA-FLYBASE.txt","FBpp0305024")</f>
        <v>FBpp0305024</v>
      </c>
      <c r="BW459" s="2" t="str">
        <f>HYPERLINK("http://flybase.org/reports/FBgn0036814#alliance_summary_container","1E-114")</f>
        <v>1E-114</v>
      </c>
      <c r="BX459" s="2">
        <v>2133</v>
      </c>
      <c r="BY459" s="2">
        <v>40</v>
      </c>
      <c r="BZ459" s="2">
        <v>56</v>
      </c>
      <c r="CA459" s="2">
        <v>26</v>
      </c>
      <c r="CB459" s="9" t="str">
        <f>HYPERLINK(".\links\CDD\AGAP007537-PA-CDD.txt","PUFD_like, PCGF Ub-like fold discriminator and related domains")</f>
        <v>PUFD_like, PCGF Ub-like fold discriminator and related domains</v>
      </c>
      <c r="CC459" s="15">
        <v>1.0000000000000001E-31</v>
      </c>
      <c r="CD459" s="2">
        <v>104.7</v>
      </c>
      <c r="CE459" s="2" t="s">
        <v>4871</v>
      </c>
      <c r="CF459" s="2" t="s">
        <v>4872</v>
      </c>
      <c r="CG459" s="9" t="str">
        <f>HYPERLINK(".\links\KOG\AGAP007537-PA-KOG.txt","Ankyrin repeat and DHHC-type Zn-finger domain containing proteins")</f>
        <v>Ankyrin repeat and DHHC-type Zn-finger domain containing proteins</v>
      </c>
      <c r="CH459" s="15">
        <v>2.0000000000000002E-15</v>
      </c>
      <c r="CI459" s="2">
        <v>22</v>
      </c>
      <c r="CJ459" s="2" t="s">
        <v>4873</v>
      </c>
      <c r="CK459" s="2" t="s">
        <v>191</v>
      </c>
      <c r="CL459" s="9" t="str">
        <f>HYPERLINK(".\links\PFAM\AGAP007537-PA-PFAM.txt","Ank_2, Ankyrin repeats (3 copies)")</f>
        <v>Ank_2, Ankyrin repeats (3 copies)</v>
      </c>
      <c r="CM459" s="15">
        <v>8.0000000000000006E-17</v>
      </c>
      <c r="CN459" s="2">
        <v>100</v>
      </c>
      <c r="CO459" s="2" t="s">
        <v>2261</v>
      </c>
      <c r="CP459" s="9" t="str">
        <f>HYPERLINK(".\links\SMART\AGAP007537-PA-SMART.txt","ANK, ankyrin repeats")</f>
        <v>ANK, ankyrin repeats</v>
      </c>
      <c r="CQ459" s="15">
        <v>6.9999999999999997E-7</v>
      </c>
      <c r="CR459" s="2">
        <v>86.7</v>
      </c>
      <c r="CS459" s="2" t="s">
        <v>2262</v>
      </c>
      <c r="CT459" s="2" t="s">
        <v>4869</v>
      </c>
      <c r="CU459" s="2" t="s">
        <v>4869</v>
      </c>
      <c r="CV459" s="2" t="s">
        <v>4869</v>
      </c>
      <c r="CW459" s="2" t="str">
        <f>HYPERLINK(".\links\pep\AGAP007537-PA-pep.txt","AGAP007537-PA")</f>
        <v>AGAP007537-PA</v>
      </c>
      <c r="CX459" s="2" t="s">
        <v>95</v>
      </c>
      <c r="CY459" s="2">
        <v>4039</v>
      </c>
      <c r="CZ459" s="2" t="s">
        <v>113</v>
      </c>
      <c r="DA459" s="2" t="s">
        <v>4874</v>
      </c>
      <c r="DB459" s="2">
        <v>0</v>
      </c>
      <c r="DC459" s="2">
        <v>17</v>
      </c>
      <c r="DD459" s="2" t="str">
        <f>HYPERLINK("https://www.kegg.jp/kegg-bin/search_pathway_text?map=aga&amp;keyword=AGAP007537&amp;mode=1&amp;viewImage=true","AGAP007537")</f>
        <v>AGAP007537</v>
      </c>
      <c r="DE459" s="2" t="s">
        <v>4867</v>
      </c>
      <c r="DF459" s="2" t="s">
        <v>93</v>
      </c>
      <c r="DG459" s="2" t="s">
        <v>94</v>
      </c>
      <c r="DH459" s="2" t="str">
        <f>HYPERLINK("https://vectorbase.org/vectorbase/app/record/gene/AGAP007537","AGAP007537-RA")</f>
        <v>AGAP007537-RA</v>
      </c>
      <c r="DI459" s="2" t="s">
        <v>115</v>
      </c>
      <c r="DJ459" s="2">
        <v>17167</v>
      </c>
      <c r="DK459" s="2" t="str">
        <f>HYPERLINK(".\links\netoglyc\AGAP007537-PA-netoglyc.txt","51")</f>
        <v>51</v>
      </c>
      <c r="DL459" s="2">
        <v>20.399999999999999</v>
      </c>
      <c r="DM459" s="2">
        <v>8.5</v>
      </c>
      <c r="DN459" s="2">
        <v>10.6</v>
      </c>
      <c r="DO459" s="2">
        <v>0.1</v>
      </c>
      <c r="DP459" s="2" t="s">
        <v>102</v>
      </c>
      <c r="DQ459" s="2" t="str">
        <f>HYPERLINK(".\links\Sigp\AGAP007537-PA-SigP.txt","CYT")</f>
        <v>CYT</v>
      </c>
      <c r="DR459" s="2" t="s">
        <v>102</v>
      </c>
      <c r="DS459" s="2">
        <v>424.697</v>
      </c>
      <c r="DT459" s="2">
        <v>8.5399999999999991</v>
      </c>
      <c r="DU459" s="2" t="s">
        <v>102</v>
      </c>
      <c r="DV459" s="2" t="s">
        <v>102</v>
      </c>
      <c r="DW459" s="2" t="s">
        <v>211</v>
      </c>
      <c r="DX459" s="2">
        <v>4039</v>
      </c>
      <c r="DY459" s="12">
        <v>0</v>
      </c>
      <c r="DZ459" s="2" t="s">
        <v>102</v>
      </c>
      <c r="EA459" s="2" t="s">
        <v>102</v>
      </c>
      <c r="EB459" s="2" t="s">
        <v>102</v>
      </c>
      <c r="EC459" s="2" t="str">
        <f>HYPERLINK(".\links\gpi\AGAP007537-PA-gpi.txt","Y-NoSP")</f>
        <v>Y-NoSP</v>
      </c>
      <c r="ED459" s="2">
        <v>0.34</v>
      </c>
      <c r="EF459" s="2">
        <v>24</v>
      </c>
      <c r="EG459" s="2" t="str">
        <f>HYPERLINK(".\links\pep\AGAP007537-PA-sulf.txt","1")</f>
        <v>1</v>
      </c>
      <c r="EH459" s="2" t="s">
        <v>102</v>
      </c>
      <c r="EI459" s="2">
        <v>20.401089378559099</v>
      </c>
      <c r="EJ459" s="2">
        <v>10.621440950730401</v>
      </c>
      <c r="EK459" s="2">
        <v>8.4922010398613494</v>
      </c>
      <c r="EL459" s="2">
        <v>19.113641990591699</v>
      </c>
      <c r="EM459" s="2">
        <v>16</v>
      </c>
      <c r="EN459" s="2">
        <v>19</v>
      </c>
      <c r="EO459" s="2">
        <v>20</v>
      </c>
      <c r="EP459" s="2" t="s">
        <v>102</v>
      </c>
      <c r="EQ459" s="2" t="s">
        <v>102</v>
      </c>
      <c r="ER459" s="2" t="s">
        <v>102</v>
      </c>
      <c r="ES459" s="2" t="s">
        <v>102</v>
      </c>
      <c r="ET459" s="2" t="str">
        <f>HYPERLINK(".\links\REFSEQ-INVERTEBRATE\AGAP007537-PA-REFSEQ-INVERTEBRATE.txt","mucin-12-like")</f>
        <v>mucin-12-like</v>
      </c>
      <c r="EU459" s="2" t="str">
        <f>HYPERLINK("http://www.ncbi.nlm.nih.gov/sutils/blink.cgi?pid=XP_035912088.1","0.0")</f>
        <v>0.0</v>
      </c>
      <c r="EV459" s="2" t="str">
        <f>HYPERLINK("http://www.ncbi.nlm.nih.gov/protein/XP_035912088.1","XP_035912088.1")</f>
        <v>XP_035912088.1</v>
      </c>
      <c r="EW459" s="2">
        <v>66</v>
      </c>
      <c r="EX459" s="2">
        <v>74</v>
      </c>
      <c r="EY459" s="2">
        <v>104</v>
      </c>
      <c r="EZ459" s="2" t="s">
        <v>370</v>
      </c>
    </row>
    <row r="460" spans="1:156" x14ac:dyDescent="0.25">
      <c r="A460" s="2" t="s">
        <v>4875</v>
      </c>
      <c r="B460" s="2">
        <v>-0.38930068301069298</v>
      </c>
      <c r="C460" s="2">
        <f t="shared" si="7"/>
        <v>0.76349960565580821</v>
      </c>
      <c r="D460" s="2">
        <v>7.5403926164946098</v>
      </c>
      <c r="E460" s="2">
        <v>17.855048490236101</v>
      </c>
      <c r="F460" s="2">
        <v>2.3838598961263099E-5</v>
      </c>
      <c r="G460" s="2">
        <v>6.4268648387488898E-3</v>
      </c>
      <c r="H460" s="2" t="s">
        <v>93</v>
      </c>
      <c r="I460" s="2" t="s">
        <v>94</v>
      </c>
      <c r="J460" s="2" t="str">
        <f>HYPERLINK("https://vectorbase.org/vectorbase/app/record/gene/AGAP004211","AGAP004211-RA")</f>
        <v>AGAP004211-RA</v>
      </c>
      <c r="K460" s="2" t="str">
        <f>HYPERLINK(".\links\pep\AGAP004211-PA-pep.txt","AGAP004211-PA")</f>
        <v>AGAP004211-PA</v>
      </c>
      <c r="L460" s="12" t="s">
        <v>95</v>
      </c>
      <c r="M460" s="2">
        <v>946</v>
      </c>
      <c r="N460" s="2">
        <v>0</v>
      </c>
      <c r="O460" s="2">
        <v>2</v>
      </c>
      <c r="P460" s="2" t="s">
        <v>102</v>
      </c>
      <c r="Q460" s="9" t="s">
        <v>4876</v>
      </c>
      <c r="R460" s="2" t="s">
        <v>355</v>
      </c>
      <c r="S460" s="2" t="str">
        <f>HYPERLINK(".\links\KOG\AGAP004211-PA-KOG.txt","KOG")</f>
        <v>KOG</v>
      </c>
      <c r="T460" s="2">
        <v>4.9999999999999999E-48</v>
      </c>
      <c r="U460" s="2">
        <v>52.1</v>
      </c>
      <c r="V460" s="2" t="s">
        <v>4877</v>
      </c>
      <c r="W460" s="10" t="s">
        <v>4878</v>
      </c>
      <c r="X460" s="2" t="s">
        <v>355</v>
      </c>
      <c r="Y460" s="2" t="str">
        <f>HYPERLINK(".\links\REFSEQVERTEBRATE95\AGAP004211-PA-REFSEQVERTEBRATE95.txt","REFSEQVERTEBRATE95")</f>
        <v>REFSEQVERTEBRATE95</v>
      </c>
      <c r="Z460" s="15">
        <v>1E-62</v>
      </c>
      <c r="AA460" s="2">
        <v>51.5</v>
      </c>
      <c r="AB460" s="13" t="str">
        <f>HYPERLINK(".\links\pep\AGAP004211-PA-sulf.txt","1")</f>
        <v>1</v>
      </c>
      <c r="AC460" s="13" t="str">
        <f>HYPERLINK(".\links\Sigp\AGAP004211-PA-SigP.txt","CYT")</f>
        <v>CYT</v>
      </c>
      <c r="AD460" s="2" t="s">
        <v>102</v>
      </c>
      <c r="AE460" s="2">
        <v>99.975999999999999</v>
      </c>
      <c r="AF460" s="2">
        <v>9.0299999999999994</v>
      </c>
      <c r="AG460" s="2" t="s">
        <v>102</v>
      </c>
      <c r="AH460" s="2" t="s">
        <v>102</v>
      </c>
      <c r="AI460" s="2" t="s">
        <v>211</v>
      </c>
      <c r="AJ460" s="13">
        <v>0</v>
      </c>
      <c r="AK460" s="2" t="s">
        <v>102</v>
      </c>
      <c r="AL460" s="2" t="s">
        <v>102</v>
      </c>
      <c r="AM460" s="2" t="s">
        <v>102</v>
      </c>
      <c r="AN460" s="13" t="str">
        <f>HYPERLINK(".\links\gpi\AGAP004211-PA-gpi.txt","N")</f>
        <v>N</v>
      </c>
      <c r="AO460" s="14" t="str">
        <f>HYPERLINK(".\links\netoglyc\AGAP004211-PA-netoglyc.txt","21")</f>
        <v>21</v>
      </c>
      <c r="AP460" s="13">
        <v>23</v>
      </c>
      <c r="AQ460" s="2">
        <v>8.1999999999999993</v>
      </c>
      <c r="AR460" s="2">
        <v>6.6</v>
      </c>
      <c r="AS460" s="2" t="s">
        <v>104</v>
      </c>
      <c r="AT460" s="9" t="str">
        <f>HYPERLINK(".\links\NR-LIGHT\AGAP004211-PA-NR-LIGHT.txt","AGAP004211-PA")</f>
        <v>AGAP004211-PA</v>
      </c>
      <c r="AU460" s="2" t="str">
        <f>HYPERLINK("http://www.ncbi.nlm.nih.gov/sutils/blink.cgi?pid=XP_313115.4","0.0")</f>
        <v>0.0</v>
      </c>
      <c r="AV460" s="2" t="str">
        <f>HYPERLINK("http://www.ncbi.nlm.nih.gov/protein/XP_313115.4","XP_313115.4")</f>
        <v>XP_313115.4</v>
      </c>
      <c r="AW460" s="2">
        <v>99</v>
      </c>
      <c r="AX460" s="2">
        <v>99</v>
      </c>
      <c r="AY460" s="2">
        <v>97</v>
      </c>
      <c r="AZ460" s="2" t="s">
        <v>105</v>
      </c>
      <c r="BA460" s="9" t="str">
        <f>HYPERLINK(".\links\REFSEQ-INVERTEBRATE\AGAP004211-PA-REFSEQ-INVERTEBRATE.txt","AGAP004211-PA")</f>
        <v>AGAP004211-PA</v>
      </c>
      <c r="BB460" s="2" t="str">
        <f>HYPERLINK("http://www.ncbi.nlm.nih.gov/sutils/blink.cgi?pid=XP_313115.4","0.0")</f>
        <v>0.0</v>
      </c>
      <c r="BC460" s="2" t="str">
        <f>HYPERLINK("http://www.ncbi.nlm.nih.gov/protein/XP_313115.4","XP_313115.4")</f>
        <v>XP_313115.4</v>
      </c>
      <c r="BD460" s="2">
        <v>99</v>
      </c>
      <c r="BE460" s="2">
        <v>99</v>
      </c>
      <c r="BF460" s="2">
        <v>97</v>
      </c>
      <c r="BG460" s="2" t="s">
        <v>105</v>
      </c>
      <c r="BH460" s="9" t="str">
        <f>HYPERLINK(".\links\REFSEQ-PROTOZOA\AGAP004211-PA-REFSEQ-PROTOZOA.txt","hypothetical protein PTSG_01041")</f>
        <v>hypothetical protein PTSG_01041</v>
      </c>
      <c r="BI460" s="2" t="str">
        <f>HYPERLINK("http://www.ncbi.nlm.nih.gov/sutils/blink.cgi?pid=XP_004998516.1","6E-037")</f>
        <v>6E-037</v>
      </c>
      <c r="BJ460" s="2" t="str">
        <f>HYPERLINK("http://www.ncbi.nlm.nih.gov/protein/XP_004998516.1","XP_004998516.1")</f>
        <v>XP_004998516.1</v>
      </c>
      <c r="BK460" s="2">
        <v>30</v>
      </c>
      <c r="BL460" s="2">
        <v>44</v>
      </c>
      <c r="BM460" s="2">
        <v>77</v>
      </c>
      <c r="BN460" s="2" t="s">
        <v>435</v>
      </c>
      <c r="BO460" s="9" t="str">
        <f>HYPERLINK(".\links\SWISSP\AGAP004211-PA-SWISSP.txt","SH3 domain-containing kinase-binding protein 1")</f>
        <v>SH3 domain-containing kinase-binding protein 1</v>
      </c>
      <c r="BP460" s="2" t="str">
        <f>HYPERLINK("http://www.uniprot.org/uniprot/Q96B97","8E-052")</f>
        <v>8E-052</v>
      </c>
      <c r="BQ460" s="2" t="str">
        <f>HYPERLINK("http://www.uniprot.org/uniprot/Q96B97#expression","Q96B97")</f>
        <v>Q96B97</v>
      </c>
      <c r="BR460" s="2">
        <v>29</v>
      </c>
      <c r="BS460" s="2">
        <v>43</v>
      </c>
      <c r="BT460" s="2">
        <v>79</v>
      </c>
      <c r="BU460" s="2" t="s">
        <v>127</v>
      </c>
      <c r="BV460" s="9" t="str">
        <f>HYPERLINK(".\links\FLYBASE\AGAP004211-PA-FLYBASE.txt","FBpp0085066")</f>
        <v>FBpp0085066</v>
      </c>
      <c r="BW460" s="2" t="str">
        <f>HYPERLINK("http://flybase.org/reports/FBgn0027598#alliance_summary_container","1E-82")</f>
        <v>1E-82</v>
      </c>
      <c r="BX460" s="2">
        <v>882</v>
      </c>
      <c r="BY460" s="2">
        <v>47</v>
      </c>
      <c r="BZ460" s="2">
        <v>60</v>
      </c>
      <c r="CA460" s="2">
        <v>35</v>
      </c>
      <c r="CB460" s="9" t="str">
        <f>HYPERLINK(".\links\CDD\AGAP004211-PA-CDD.txt","SH3_CD2AP-like_3, Third Src Homology 3 domain (SH3C) of CD2-associated protein and similar proteins")</f>
        <v>SH3_CD2AP-like_3, Third Src Homology 3 domain (SH3C) of CD2-associated protein and similar proteins</v>
      </c>
      <c r="CC460" s="15">
        <v>6.9999999999999993E-24</v>
      </c>
      <c r="CD460" s="2">
        <v>98.2</v>
      </c>
      <c r="CE460" s="2" t="s">
        <v>4879</v>
      </c>
      <c r="CF460" s="2" t="s">
        <v>4880</v>
      </c>
      <c r="CG460" s="9" t="str">
        <f>HYPERLINK(".\links\KOG\AGAP004211-PA-KOG.txt","Adaptor protein CMS/SETA")</f>
        <v>Adaptor protein CMS/SETA</v>
      </c>
      <c r="CH460" s="15">
        <v>4.9999999999999999E-48</v>
      </c>
      <c r="CI460" s="2">
        <v>52.2</v>
      </c>
      <c r="CJ460" s="2" t="s">
        <v>4881</v>
      </c>
      <c r="CK460" s="2" t="s">
        <v>173</v>
      </c>
      <c r="CL460" s="9" t="str">
        <f>HYPERLINK(".\links\PFAM\AGAP004211-PA-PFAM.txt","SH3_1, SH3 domain")</f>
        <v>SH3_1, SH3 domain</v>
      </c>
      <c r="CM460" s="15">
        <v>8.9999999999999999E-11</v>
      </c>
      <c r="CN460" s="2">
        <v>100</v>
      </c>
      <c r="CO460" s="2" t="s">
        <v>4882</v>
      </c>
      <c r="CP460" s="9" t="str">
        <f>HYPERLINK(".\links\SMART\AGAP004211-PA-SMART.txt","SH3, Src homology 3 domains")</f>
        <v>SH3, Src homology 3 domains</v>
      </c>
      <c r="CQ460" s="15">
        <v>2E-16</v>
      </c>
      <c r="CR460" s="2">
        <v>94.6</v>
      </c>
      <c r="CS460" s="2" t="s">
        <v>2440</v>
      </c>
      <c r="CT460" s="2" t="s">
        <v>4877</v>
      </c>
      <c r="CU460" s="2" t="s">
        <v>4877</v>
      </c>
      <c r="CV460" s="2" t="s">
        <v>4877</v>
      </c>
      <c r="CW460" s="2" t="str">
        <f>HYPERLINK(".\links\pep\AGAP004211-PA-pep.txt","AGAP004211-PA")</f>
        <v>AGAP004211-PA</v>
      </c>
      <c r="CX460" s="2" t="s">
        <v>95</v>
      </c>
      <c r="CY460" s="2">
        <v>946</v>
      </c>
      <c r="CZ460" s="2" t="s">
        <v>113</v>
      </c>
      <c r="DA460" s="2" t="s">
        <v>4883</v>
      </c>
      <c r="DB460" s="2">
        <v>0</v>
      </c>
      <c r="DC460" s="2">
        <v>2</v>
      </c>
      <c r="DD460" s="2" t="str">
        <f>HYPERLINK("https://www.kegg.jp/kegg-bin/search_pathway_text?map=aga&amp;keyword=AGAP004211&amp;mode=1&amp;viewImage=true","AGAP004211")</f>
        <v>AGAP004211</v>
      </c>
      <c r="DE460" s="2" t="s">
        <v>4875</v>
      </c>
      <c r="DF460" s="2" t="s">
        <v>93</v>
      </c>
      <c r="DG460" s="2" t="s">
        <v>94</v>
      </c>
      <c r="DH460" s="2" t="str">
        <f>HYPERLINK("https://vectorbase.org/vectorbase/app/record/gene/AGAP004211","AGAP004211-RA")</f>
        <v>AGAP004211-RA</v>
      </c>
      <c r="DI460" s="2" t="s">
        <v>115</v>
      </c>
      <c r="DJ460" s="2">
        <v>5335</v>
      </c>
      <c r="DK460" s="2" t="str">
        <f>HYPERLINK(".\links\netoglyc\AGAP004211-PA-netoglyc.txt","21")</f>
        <v>21</v>
      </c>
      <c r="DL460" s="2">
        <v>23</v>
      </c>
      <c r="DM460" s="2">
        <v>8.1999999999999993</v>
      </c>
      <c r="DN460" s="2">
        <v>6.6</v>
      </c>
      <c r="DO460" s="2" t="s">
        <v>104</v>
      </c>
      <c r="DP460" s="2" t="s">
        <v>102</v>
      </c>
      <c r="DQ460" s="2" t="str">
        <f>HYPERLINK(".\links\Sigp\AGAP004211-PA-SigP.txt","CYT")</f>
        <v>CYT</v>
      </c>
      <c r="DR460" s="2" t="s">
        <v>102</v>
      </c>
      <c r="DS460" s="2">
        <v>99.975999999999999</v>
      </c>
      <c r="DT460" s="2">
        <v>9.0299999999999994</v>
      </c>
      <c r="DU460" s="2" t="s">
        <v>102</v>
      </c>
      <c r="DV460" s="2" t="s">
        <v>102</v>
      </c>
      <c r="DW460" s="2" t="s">
        <v>211</v>
      </c>
      <c r="DX460" s="2">
        <v>946</v>
      </c>
      <c r="DY460" s="12">
        <v>0</v>
      </c>
      <c r="DZ460" s="2" t="s">
        <v>102</v>
      </c>
      <c r="EA460" s="2" t="s">
        <v>102</v>
      </c>
      <c r="EB460" s="2" t="s">
        <v>102</v>
      </c>
      <c r="EC460" s="2" t="str">
        <f>HYPERLINK(".\links\gpi\AGAP004211-PA-gpi.txt","Y-NoSP")</f>
        <v>Y-NoSP</v>
      </c>
      <c r="ED460" s="2">
        <v>0.32</v>
      </c>
      <c r="EF460" s="2">
        <v>5</v>
      </c>
      <c r="EG460" s="2" t="str">
        <f>HYPERLINK(".\links\pep\AGAP004211-PA-sulf.txt","1")</f>
        <v>1</v>
      </c>
      <c r="EH460" s="2" t="s">
        <v>102</v>
      </c>
      <c r="EI460" s="2">
        <v>23.044397463002099</v>
      </c>
      <c r="EJ460" s="2">
        <v>6.5539112050739998</v>
      </c>
      <c r="EK460" s="2">
        <v>8.2452431289640593</v>
      </c>
      <c r="EL460" s="2">
        <v>14.7991543340381</v>
      </c>
      <c r="EM460" s="2" t="s">
        <v>102</v>
      </c>
      <c r="EN460" s="2">
        <v>5</v>
      </c>
      <c r="EO460" s="2">
        <v>6</v>
      </c>
      <c r="EP460" s="2" t="s">
        <v>102</v>
      </c>
      <c r="EQ460" s="2" t="s">
        <v>102</v>
      </c>
      <c r="ER460" s="2" t="s">
        <v>102</v>
      </c>
      <c r="ES460" s="2" t="s">
        <v>102</v>
      </c>
      <c r="ET460" s="2" t="str">
        <f>HYPERLINK(".\links\REFSEQ-INVERTEBRATE\AGAP004211-PA-REFSEQ-INVERTEBRATE.txt","AGAP004211-PA")</f>
        <v>AGAP004211-PA</v>
      </c>
      <c r="EU460" s="2" t="str">
        <f>HYPERLINK("http://www.ncbi.nlm.nih.gov/sutils/blink.cgi?pid=XP_313115.4","0.0")</f>
        <v>0.0</v>
      </c>
      <c r="EV460" s="2" t="str">
        <f>HYPERLINK("http://www.ncbi.nlm.nih.gov/protein/XP_313115.4","XP_313115.4")</f>
        <v>XP_313115.4</v>
      </c>
      <c r="EW460" s="2">
        <v>99</v>
      </c>
      <c r="EX460" s="2">
        <v>100</v>
      </c>
      <c r="EY460" s="2">
        <v>97</v>
      </c>
      <c r="EZ460" s="2" t="s">
        <v>105</v>
      </c>
    </row>
    <row r="461" spans="1:156" x14ac:dyDescent="0.25">
      <c r="A461" s="2" t="s">
        <v>4884</v>
      </c>
      <c r="B461" s="2">
        <v>-0.39066170313260601</v>
      </c>
      <c r="C461" s="2">
        <f t="shared" si="7"/>
        <v>0.76277966949736697</v>
      </c>
      <c r="D461" s="2">
        <v>6.1568001960579499</v>
      </c>
      <c r="E461" s="2">
        <v>20.7078487028332</v>
      </c>
      <c r="F461" s="2">
        <v>5.34962755758653E-6</v>
      </c>
      <c r="G461" s="2">
        <v>2.87026010372239E-3</v>
      </c>
      <c r="H461" s="2" t="s">
        <v>4885</v>
      </c>
      <c r="I461" s="2" t="s">
        <v>94</v>
      </c>
      <c r="J461" s="2" t="str">
        <f>HYPERLINK("https://vectorbase.org/vectorbase/app/record/gene/AGAP002036","AGAP002036-RA")</f>
        <v>AGAP002036-RA</v>
      </c>
      <c r="K461" s="2" t="str">
        <f>HYPERLINK(".\links\pep\AGAP002036-PA-pep.txt","AGAP002036-PA")</f>
        <v>AGAP002036-PA</v>
      </c>
      <c r="L461" s="12" t="s">
        <v>95</v>
      </c>
      <c r="M461" s="2">
        <v>844</v>
      </c>
      <c r="N461" s="2">
        <v>0</v>
      </c>
      <c r="O461" s="2">
        <v>1</v>
      </c>
      <c r="P461" s="2" t="s">
        <v>4886</v>
      </c>
      <c r="Q461" s="9" t="s">
        <v>4887</v>
      </c>
      <c r="R461" s="2" t="s">
        <v>355</v>
      </c>
      <c r="S461" s="2" t="str">
        <f>HYPERLINK(".\links\KOG\AGAP002036-PA-KOG.txt","KOG")</f>
        <v>KOG</v>
      </c>
      <c r="T461" s="2">
        <v>3E-23</v>
      </c>
      <c r="U461" s="2">
        <v>83.1</v>
      </c>
      <c r="V461" s="2" t="s">
        <v>4888</v>
      </c>
      <c r="W461" s="10" t="s">
        <v>4889</v>
      </c>
      <c r="X461" s="2" t="s">
        <v>101</v>
      </c>
      <c r="Y461" s="2" t="str">
        <f>HYPERLINK(".\links\UNIPROTKB\AGAP002036-PA-UNIPROTKB.txt","UNIPROTKB")</f>
        <v>UNIPROTKB</v>
      </c>
      <c r="Z461" s="15">
        <v>0</v>
      </c>
      <c r="AA461" s="2">
        <v>67.900000000000006</v>
      </c>
      <c r="AB461" s="13" t="s">
        <v>102</v>
      </c>
      <c r="AC461" s="13" t="str">
        <f>HYPERLINK(".\links\Sigp\AGAP002036-PA-SigP.txt","CYT")</f>
        <v>CYT</v>
      </c>
      <c r="AD461" s="2" t="s">
        <v>102</v>
      </c>
      <c r="AE461" s="2">
        <v>92.433000000000007</v>
      </c>
      <c r="AF461" s="2">
        <v>7.88</v>
      </c>
      <c r="AG461" s="2" t="s">
        <v>102</v>
      </c>
      <c r="AH461" s="2" t="s">
        <v>102</v>
      </c>
      <c r="AI461" s="2" t="s">
        <v>124</v>
      </c>
      <c r="AJ461" s="13">
        <v>0</v>
      </c>
      <c r="AK461" s="2" t="s">
        <v>102</v>
      </c>
      <c r="AL461" s="2" t="s">
        <v>102</v>
      </c>
      <c r="AM461" s="2" t="s">
        <v>102</v>
      </c>
      <c r="AN461" s="13" t="str">
        <f>HYPERLINK(".\links\gpi\AGAP002036-PA-gpi.txt","N")</f>
        <v>N</v>
      </c>
      <c r="AO461" s="14" t="str">
        <f>HYPERLINK(".\links\netoglyc\AGAP002036-PA-netoglyc.txt","8")</f>
        <v>8</v>
      </c>
      <c r="AP461" s="13">
        <v>14.1</v>
      </c>
      <c r="AQ461" s="2">
        <v>7.9</v>
      </c>
      <c r="AR461" s="2">
        <v>5.9</v>
      </c>
      <c r="AS461" s="2" t="s">
        <v>104</v>
      </c>
      <c r="AT461" s="9" t="str">
        <f>HYPERLINK(".\links\NR-LIGHT\AGAP002036-PA-NR-LIGHT.txt","AGAP002036-PA")</f>
        <v>AGAP002036-PA</v>
      </c>
      <c r="AU461" s="2" t="str">
        <f>HYPERLINK("http://www.ncbi.nlm.nih.gov/sutils/blink.cgi?pid=XP_321014.5","0.0")</f>
        <v>0.0</v>
      </c>
      <c r="AV461" s="2" t="str">
        <f>HYPERLINK("http://www.ncbi.nlm.nih.gov/protein/XP_321014.5","XP_321014.5")</f>
        <v>XP_321014.5</v>
      </c>
      <c r="AW461" s="2">
        <v>100</v>
      </c>
      <c r="AX461" s="2">
        <v>100</v>
      </c>
      <c r="AY461" s="2">
        <v>100</v>
      </c>
      <c r="AZ461" s="2" t="s">
        <v>105</v>
      </c>
      <c r="BA461" s="9" t="str">
        <f>HYPERLINK(".\links\REFSEQ-INVERTEBRATE\AGAP002036-PA-REFSEQ-INVERTEBRATE.txt","AGAP002036-PA")</f>
        <v>AGAP002036-PA</v>
      </c>
      <c r="BB461" s="2" t="str">
        <f>HYPERLINK("http://www.ncbi.nlm.nih.gov/sutils/blink.cgi?pid=XP_321014.5","0.0")</f>
        <v>0.0</v>
      </c>
      <c r="BC461" s="2" t="str">
        <f>HYPERLINK("http://www.ncbi.nlm.nih.gov/protein/XP_321014.5","XP_321014.5")</f>
        <v>XP_321014.5</v>
      </c>
      <c r="BD461" s="2">
        <v>100</v>
      </c>
      <c r="BE461" s="2">
        <v>100</v>
      </c>
      <c r="BF461" s="2">
        <v>100</v>
      </c>
      <c r="BG461" s="2" t="s">
        <v>105</v>
      </c>
      <c r="BH461" s="9" t="str">
        <f>HYPERLINK(".\links\REFSEQ-PROTOZOA\AGAP002036-PA-REFSEQ-PROTOZOA.txt","hypothetical protein GUITHDRAFT_122825")</f>
        <v>hypothetical protein GUITHDRAFT_122825</v>
      </c>
      <c r="BI461" s="2" t="str">
        <f>HYPERLINK("http://www.ncbi.nlm.nih.gov/sutils/blink.cgi?pid=XP_005817951.1","3E-094")</f>
        <v>3E-094</v>
      </c>
      <c r="BJ461" s="2" t="str">
        <f>HYPERLINK("http://www.ncbi.nlm.nih.gov/protein/XP_005817951.1","XP_005817951.1")</f>
        <v>XP_005817951.1</v>
      </c>
      <c r="BK461" s="2">
        <v>37</v>
      </c>
      <c r="BL461" s="2">
        <v>55</v>
      </c>
      <c r="BM461" s="2">
        <v>71</v>
      </c>
      <c r="BN461" s="2" t="s">
        <v>279</v>
      </c>
      <c r="BO461" s="9" t="str">
        <f>HYPERLINK(".\links\SWISSP\AGAP002036-PA-SWISSP.txt","Zinc finger FYVE domain-containing protein 1")</f>
        <v>Zinc finger FYVE domain-containing protein 1</v>
      </c>
      <c r="BP461" s="2" t="str">
        <f>HYPERLINK("http://www.uniprot.org/uniprot/Q810J8","1E-155")</f>
        <v>1E-155</v>
      </c>
      <c r="BQ461" s="2" t="str">
        <f>HYPERLINK("http://www.uniprot.org/uniprot/Q810J8#expression","Q810J8")</f>
        <v>Q810J8</v>
      </c>
      <c r="BR461" s="2">
        <v>44</v>
      </c>
      <c r="BS461" s="2">
        <v>60</v>
      </c>
      <c r="BT461" s="2">
        <v>83</v>
      </c>
      <c r="BU461" s="2" t="s">
        <v>662</v>
      </c>
      <c r="BV461" s="9" t="str">
        <f>HYPERLINK(".\links\FLYBASE\AGAP002036-PA-FLYBASE.txt","FBpp0084495")</f>
        <v>FBpp0084495</v>
      </c>
      <c r="BW461" s="2" t="str">
        <f>HYPERLINK("http://flybase.org/reports/FBgn0051064#alliance_summary_container","3E-11")</f>
        <v>3E-11</v>
      </c>
      <c r="BX461" s="2">
        <v>729</v>
      </c>
      <c r="BY461" s="2">
        <v>46</v>
      </c>
      <c r="BZ461" s="2">
        <v>60</v>
      </c>
      <c r="CA461" s="2">
        <v>9</v>
      </c>
      <c r="CB461" s="9" t="str">
        <f>HYPERLINK(".\links\CDD\AGAP002036-PA-CDD.txt","GBP, Guanylate-binding protein (GBP) family (N-terminal domain)")</f>
        <v>GBP, Guanylate-binding protein (GBP) family (N-terminal domain)</v>
      </c>
      <c r="CC461" s="15">
        <v>1E-27</v>
      </c>
      <c r="CD461" s="2">
        <v>107.6</v>
      </c>
      <c r="CE461" s="2" t="s">
        <v>4890</v>
      </c>
      <c r="CF461" s="2" t="s">
        <v>4891</v>
      </c>
      <c r="CG461" s="9" t="str">
        <f>HYPERLINK(".\links\KOG\AGAP002036-PA-KOG.txt","contains VHS and FYVE domains")</f>
        <v>contains VHS and FYVE domains</v>
      </c>
      <c r="CH461" s="15">
        <v>3E-23</v>
      </c>
      <c r="CI461" s="2">
        <v>83.1</v>
      </c>
      <c r="CJ461" s="2" t="s">
        <v>4892</v>
      </c>
      <c r="CK461" s="2" t="s">
        <v>463</v>
      </c>
      <c r="CL461" s="9" t="str">
        <f>HYPERLINK(".\links\PFAM\AGAP002036-PA-PFAM.txt","FYVE, FYVE zinc finger")</f>
        <v>FYVE, FYVE zinc finger</v>
      </c>
      <c r="CM461" s="15">
        <v>5.9999999999999999E-16</v>
      </c>
      <c r="CN461" s="2">
        <v>97.1</v>
      </c>
      <c r="CO461" s="2" t="s">
        <v>4893</v>
      </c>
      <c r="CP461" s="9" t="str">
        <f>HYPERLINK(".\links\SMART\AGAP002036-PA-SMART.txt","FYVE, Protein present in Fab1, YOTB, Vac1, and EEA1")</f>
        <v>FYVE, Protein present in Fab1, YOTB, Vac1, and EEA1</v>
      </c>
      <c r="CQ461" s="15">
        <v>8.9999999999999995E-14</v>
      </c>
      <c r="CR461" s="2">
        <v>91.2</v>
      </c>
      <c r="CS461" s="2" t="s">
        <v>4894</v>
      </c>
      <c r="CT461" s="2" t="s">
        <v>4888</v>
      </c>
      <c r="CU461" s="2" t="s">
        <v>4888</v>
      </c>
      <c r="CV461" s="2" t="s">
        <v>4888</v>
      </c>
      <c r="CW461" s="2" t="str">
        <f>HYPERLINK(".\links\pep\AGAP002036-PA-pep.txt","AGAP002036-PA")</f>
        <v>AGAP002036-PA</v>
      </c>
      <c r="CX461" s="2" t="s">
        <v>95</v>
      </c>
      <c r="CY461" s="2">
        <v>844</v>
      </c>
      <c r="CZ461" s="2" t="s">
        <v>113</v>
      </c>
      <c r="DA461" s="2" t="s">
        <v>4895</v>
      </c>
      <c r="DB461" s="2">
        <v>0</v>
      </c>
      <c r="DC461" s="2">
        <v>1</v>
      </c>
      <c r="DD461" s="2" t="str">
        <f>HYPERLINK("https://www.kegg.jp/kegg-bin/search_pathway_text?map=aga&amp;keyword=AGAP002036&amp;mode=1&amp;viewImage=true","AGAP002036")</f>
        <v>AGAP002036</v>
      </c>
      <c r="DE461" s="2" t="s">
        <v>4884</v>
      </c>
      <c r="DF461" s="2" t="s">
        <v>4885</v>
      </c>
      <c r="DG461" s="2" t="s">
        <v>94</v>
      </c>
      <c r="DH461" s="2" t="str">
        <f>HYPERLINK("https://vectorbase.org/vectorbase/app/record/gene/AGAP002036","AGAP002036-RA")</f>
        <v>AGAP002036-RA</v>
      </c>
      <c r="DI461" s="2" t="s">
        <v>135</v>
      </c>
      <c r="DJ461" s="2">
        <v>5533</v>
      </c>
      <c r="DK461" s="2" t="str">
        <f>HYPERLINK(".\links\netoglyc\AGAP002036-PA-netoglyc.txt","8")</f>
        <v>8</v>
      </c>
      <c r="DL461" s="2">
        <v>14.1</v>
      </c>
      <c r="DM461" s="2">
        <v>7.9</v>
      </c>
      <c r="DN461" s="2">
        <v>5.9</v>
      </c>
      <c r="DO461" s="2" t="s">
        <v>104</v>
      </c>
      <c r="DP461" s="2" t="s">
        <v>102</v>
      </c>
      <c r="DQ461" s="2" t="str">
        <f>HYPERLINK(".\links\Sigp\AGAP002036-PA-SigP.txt","CYT")</f>
        <v>CYT</v>
      </c>
      <c r="DR461" s="2" t="s">
        <v>102</v>
      </c>
      <c r="DS461" s="2">
        <v>92.433000000000007</v>
      </c>
      <c r="DT461" s="2">
        <v>7.88</v>
      </c>
      <c r="DU461" s="2" t="s">
        <v>102</v>
      </c>
      <c r="DV461" s="2" t="s">
        <v>102</v>
      </c>
      <c r="DW461" s="2" t="s">
        <v>124</v>
      </c>
      <c r="DX461" s="2">
        <v>844</v>
      </c>
      <c r="DY461" s="12">
        <v>0</v>
      </c>
      <c r="DZ461" s="2" t="s">
        <v>102</v>
      </c>
      <c r="EA461" s="2" t="s">
        <v>102</v>
      </c>
      <c r="EB461" s="2" t="s">
        <v>102</v>
      </c>
      <c r="EC461" s="2" t="str">
        <f>HYPERLINK(".\links\gpi\AGAP002036-PA-gpi.txt","Y-NoSP")</f>
        <v>Y-NoSP</v>
      </c>
      <c r="ED461" s="2">
        <v>0.17</v>
      </c>
      <c r="EF461" s="2">
        <v>29</v>
      </c>
      <c r="EG461" s="2" t="s">
        <v>102</v>
      </c>
      <c r="EH461" s="2" t="s">
        <v>102</v>
      </c>
      <c r="EI461" s="2">
        <v>14.0995260663507</v>
      </c>
      <c r="EJ461" s="2">
        <v>5.9241706161137397</v>
      </c>
      <c r="EK461" s="2">
        <v>7.9383886255924203</v>
      </c>
      <c r="EL461" s="2">
        <v>13.862559241706199</v>
      </c>
      <c r="EM461" s="2">
        <v>2</v>
      </c>
      <c r="EN461" s="2">
        <v>1</v>
      </c>
      <c r="EO461" s="2">
        <v>2</v>
      </c>
      <c r="EP461" s="2" t="s">
        <v>102</v>
      </c>
      <c r="EQ461" s="2" t="s">
        <v>102</v>
      </c>
      <c r="ER461" s="2" t="s">
        <v>102</v>
      </c>
      <c r="ES461" s="2" t="s">
        <v>102</v>
      </c>
      <c r="ET461" s="2" t="str">
        <f>HYPERLINK(".\links\REFSEQ-INVERTEBRATE\AGAP002036-PA-REFSEQ-INVERTEBRATE.txt","AGAP002036-PA")</f>
        <v>AGAP002036-PA</v>
      </c>
      <c r="EU461" s="2" t="str">
        <f>HYPERLINK("http://www.ncbi.nlm.nih.gov/sutils/blink.cgi?pid=XP_321014.5","0.0")</f>
        <v>0.0</v>
      </c>
      <c r="EV461" s="2" t="str">
        <f>HYPERLINK("http://www.ncbi.nlm.nih.gov/protein/XP_321014.5","XP_321014.5")</f>
        <v>XP_321014.5</v>
      </c>
      <c r="EW461" s="2">
        <v>100</v>
      </c>
      <c r="EX461" s="2">
        <v>100</v>
      </c>
      <c r="EY461" s="2">
        <v>100</v>
      </c>
      <c r="EZ461" s="2" t="s">
        <v>105</v>
      </c>
    </row>
    <row r="462" spans="1:156" x14ac:dyDescent="0.25">
      <c r="A462" s="2" t="s">
        <v>4896</v>
      </c>
      <c r="B462" s="2">
        <v>-0.39162498417374197</v>
      </c>
      <c r="C462" s="2">
        <f t="shared" si="7"/>
        <v>0.7622705349081188</v>
      </c>
      <c r="D462" s="2">
        <v>6.9099386661599196</v>
      </c>
      <c r="E462" s="2">
        <v>10.4286601452571</v>
      </c>
      <c r="F462" s="2">
        <v>1.24074721591356E-3</v>
      </c>
      <c r="G462" s="2">
        <v>3.5442213950226398E-2</v>
      </c>
      <c r="H462" s="2" t="s">
        <v>549</v>
      </c>
      <c r="I462" s="2" t="s">
        <v>88</v>
      </c>
      <c r="J462" s="8" t="s">
        <v>4897</v>
      </c>
      <c r="Q462" s="9"/>
      <c r="W462" s="10"/>
      <c r="AB462" s="9"/>
      <c r="AC462" s="9"/>
      <c r="AJ462" s="9"/>
      <c r="AN462" s="9"/>
      <c r="AO462" s="11"/>
      <c r="AP462" s="9"/>
      <c r="AT462" s="9"/>
      <c r="BA462" s="9"/>
      <c r="BH462" s="9"/>
      <c r="BO462" s="9"/>
      <c r="BV462" s="9"/>
      <c r="CB462" s="9"/>
      <c r="CG462" s="9"/>
      <c r="CL462" s="9"/>
      <c r="CP462" s="9"/>
      <c r="DE462" s="2" t="s">
        <v>4896</v>
      </c>
      <c r="DF462" s="2" t="s">
        <v>549</v>
      </c>
      <c r="DG462" s="2" t="s">
        <v>88</v>
      </c>
      <c r="DH462" s="8" t="s">
        <v>4897</v>
      </c>
      <c r="DI462" s="2" t="s">
        <v>115</v>
      </c>
      <c r="DJ462" s="2">
        <v>7073</v>
      </c>
      <c r="DQ462" s="2" t="s">
        <v>141</v>
      </c>
      <c r="DS462" s="2">
        <v>181720</v>
      </c>
      <c r="DT462" s="2">
        <v>6.51</v>
      </c>
      <c r="DX462" s="2">
        <v>1782</v>
      </c>
      <c r="DY462" s="12"/>
    </row>
    <row r="463" spans="1:156" x14ac:dyDescent="0.25">
      <c r="A463" s="2" t="s">
        <v>4898</v>
      </c>
      <c r="B463" s="2">
        <v>-0.39237173671820402</v>
      </c>
      <c r="C463" s="2">
        <f t="shared" si="7"/>
        <v>0.76187607859403417</v>
      </c>
      <c r="D463" s="2">
        <v>6.4904887967556304</v>
      </c>
      <c r="E463" s="2">
        <v>9.4666051804316993</v>
      </c>
      <c r="F463" s="2">
        <v>2.0924625176358801E-3</v>
      </c>
      <c r="G463" s="2">
        <v>4.4442280412287899E-2</v>
      </c>
      <c r="H463" s="2" t="s">
        <v>4899</v>
      </c>
      <c r="I463" s="2" t="s">
        <v>94</v>
      </c>
      <c r="J463" s="2" t="str">
        <f>HYPERLINK("https://vectorbase.org/vectorbase/app/record/gene/AGAP000116","AGAP000116-RA")</f>
        <v>AGAP000116-RA</v>
      </c>
      <c r="K463" s="2" t="str">
        <f>HYPERLINK(".\links\pep\AGAP000116-PA-pep.txt","AGAP000116-PA")</f>
        <v>AGAP000116-PA</v>
      </c>
      <c r="L463" s="12" t="s">
        <v>95</v>
      </c>
      <c r="M463" s="2">
        <v>605</v>
      </c>
      <c r="N463" s="2">
        <v>0</v>
      </c>
      <c r="O463" s="2">
        <v>1</v>
      </c>
      <c r="P463" s="2" t="s">
        <v>4900</v>
      </c>
      <c r="Q463" s="9" t="s">
        <v>4901</v>
      </c>
      <c r="R463" s="2" t="s">
        <v>355</v>
      </c>
      <c r="S463" s="2" t="str">
        <f>HYPERLINK(".\links\SMART\AGAP000116-PA-SMART.txt","SMART")</f>
        <v>SMART</v>
      </c>
      <c r="T463" s="2">
        <v>8.9999999999999995E-14</v>
      </c>
      <c r="U463" s="2">
        <v>96</v>
      </c>
      <c r="V463" s="2" t="s">
        <v>4902</v>
      </c>
      <c r="W463" s="10" t="s">
        <v>4903</v>
      </c>
      <c r="X463" s="2" t="s">
        <v>771</v>
      </c>
      <c r="Y463" s="2" t="str">
        <f>HYPERLINK(".\links\CDD\AGAP000116-PA-CDD.txt","CDD")</f>
        <v>CDD</v>
      </c>
      <c r="Z463" s="15">
        <v>6.9999999999999999E-35</v>
      </c>
      <c r="AA463" s="2">
        <v>101.5</v>
      </c>
      <c r="AB463" s="13" t="s">
        <v>102</v>
      </c>
      <c r="AC463" s="13" t="str">
        <f>HYPERLINK(".\links\Sigp\AGAP000116-PA-SigP.txt","CYT")</f>
        <v>CYT</v>
      </c>
      <c r="AD463" s="2" t="s">
        <v>102</v>
      </c>
      <c r="AE463" s="2">
        <v>64.975999999999999</v>
      </c>
      <c r="AF463" s="2">
        <v>9.15</v>
      </c>
      <c r="AG463" s="2" t="s">
        <v>102</v>
      </c>
      <c r="AH463" s="2" t="s">
        <v>102</v>
      </c>
      <c r="AI463" s="2" t="s">
        <v>4904</v>
      </c>
      <c r="AJ463" s="13">
        <v>0</v>
      </c>
      <c r="AK463" s="2" t="s">
        <v>102</v>
      </c>
      <c r="AL463" s="2" t="s">
        <v>102</v>
      </c>
      <c r="AM463" s="2" t="s">
        <v>102</v>
      </c>
      <c r="AN463" s="13" t="str">
        <f>HYPERLINK(".\links\gpi\AGAP000116-PA-gpi.txt","N")</f>
        <v>N</v>
      </c>
      <c r="AO463" s="14" t="str">
        <f>HYPERLINK(".\links\netoglyc\AGAP000116-PA-netoglyc.txt","13")</f>
        <v>13</v>
      </c>
      <c r="AP463" s="13">
        <v>15.7</v>
      </c>
      <c r="AQ463" s="2">
        <v>9.9</v>
      </c>
      <c r="AR463" s="2">
        <v>4.3</v>
      </c>
      <c r="AS463" s="2" t="s">
        <v>104</v>
      </c>
      <c r="AT463" s="9" t="str">
        <f>HYPERLINK(".\links\NR-LIGHT\AGAP000116-PA-NR-LIGHT.txt","AGAP000116-PA")</f>
        <v>AGAP000116-PA</v>
      </c>
      <c r="AU463" s="2" t="str">
        <f>HYPERLINK("http://www.ncbi.nlm.nih.gov/sutils/blink.cgi?pid=XP_311030.5","0.0")</f>
        <v>0.0</v>
      </c>
      <c r="AV463" s="2" t="str">
        <f>HYPERLINK("http://www.ncbi.nlm.nih.gov/protein/XP_311030.5","XP_311030.5")</f>
        <v>XP_311030.5</v>
      </c>
      <c r="AW463" s="2">
        <v>100</v>
      </c>
      <c r="AX463" s="2">
        <v>100</v>
      </c>
      <c r="AY463" s="2">
        <v>100</v>
      </c>
      <c r="AZ463" s="2" t="s">
        <v>105</v>
      </c>
      <c r="BA463" s="9" t="str">
        <f>HYPERLINK(".\links\REFSEQ-INVERTEBRATE\AGAP000116-PA-REFSEQ-INVERTEBRATE.txt","AGAP000116-PA")</f>
        <v>AGAP000116-PA</v>
      </c>
      <c r="BB463" s="2" t="str">
        <f>HYPERLINK("http://www.ncbi.nlm.nih.gov/sutils/blink.cgi?pid=XP_311030.5","0.0")</f>
        <v>0.0</v>
      </c>
      <c r="BC463" s="2" t="str">
        <f>HYPERLINK("http://www.ncbi.nlm.nih.gov/protein/XP_311030.5","XP_311030.5")</f>
        <v>XP_311030.5</v>
      </c>
      <c r="BD463" s="2">
        <v>100</v>
      </c>
      <c r="BE463" s="2">
        <v>100</v>
      </c>
      <c r="BF463" s="2">
        <v>100</v>
      </c>
      <c r="BG463" s="2" t="s">
        <v>105</v>
      </c>
      <c r="BH463" s="9" t="str">
        <f>HYPERLINK(".\links\REFSEQ-PROTOZOA\AGAP000116-PA-REFSEQ-PROTOZOA.txt","hypothetical protein, conserved")</f>
        <v>hypothetical protein, conserved</v>
      </c>
      <c r="BI463" s="2" t="str">
        <f>HYPERLINK("http://www.ncbi.nlm.nih.gov/sutils/blink.cgi?pid=XP_013440585.1","2E-012")</f>
        <v>2E-012</v>
      </c>
      <c r="BJ463" s="2" t="str">
        <f>HYPERLINK("http://www.ncbi.nlm.nih.gov/protein/XP_013440585.1","XP_013440585.1")</f>
        <v>XP_013440585.1</v>
      </c>
      <c r="BK463" s="2">
        <v>27</v>
      </c>
      <c r="BL463" s="2">
        <v>43</v>
      </c>
      <c r="BM463" s="2">
        <v>40</v>
      </c>
      <c r="BN463" s="2" t="s">
        <v>2642</v>
      </c>
      <c r="BO463" s="9" t="str">
        <f>HYPERLINK(".\links\SWISSP\AGAP000116-PA-SWISSP.txt","Rab11 family-interacting protein 5")</f>
        <v>Rab11 family-interacting protein 5</v>
      </c>
      <c r="BP463" s="2" t="str">
        <f>HYPERLINK("http://www.uniprot.org/uniprot/Q9BXF6","2E-033")</f>
        <v>2E-033</v>
      </c>
      <c r="BQ463" s="2" t="str">
        <f>HYPERLINK("http://www.uniprot.org/uniprot/Q9BXF6#expression","Q9BXF6")</f>
        <v>Q9BXF6</v>
      </c>
      <c r="BR463" s="2">
        <v>25</v>
      </c>
      <c r="BS463" s="2">
        <v>40</v>
      </c>
      <c r="BT463" s="2">
        <v>104</v>
      </c>
      <c r="BU463" s="2" t="s">
        <v>127</v>
      </c>
      <c r="BV463" s="9" t="str">
        <f>HYPERLINK(".\links\FLYBASE\AGAP000116-PA-FLYBASE.txt","FBpp0290760")</f>
        <v>FBpp0290760</v>
      </c>
      <c r="BW463" s="2" t="str">
        <f>HYPERLINK("http://flybase.org/reports/FBgn0027335#alliance_summary_container","1E-107")</f>
        <v>1E-107</v>
      </c>
      <c r="BX463" s="2">
        <v>409</v>
      </c>
      <c r="BY463" s="2">
        <v>63</v>
      </c>
      <c r="BZ463" s="2">
        <v>76</v>
      </c>
      <c r="CA463" s="2">
        <v>69</v>
      </c>
      <c r="CB463" s="9" t="str">
        <f>HYPERLINK(".\links\CDD\AGAP000116-PA-CDD.txt","C2_Rab11-FIP_classI, C2 domain found in Rab11-family interacting proteins (FIP) class I")</f>
        <v>C2_Rab11-FIP_classI, C2 domain found in Rab11-family interacting proteins (FIP) class I</v>
      </c>
      <c r="CC463" s="15">
        <v>9.9999999999999993E-41</v>
      </c>
      <c r="CD463" s="2">
        <v>102.4</v>
      </c>
      <c r="CE463" s="2" t="s">
        <v>4905</v>
      </c>
      <c r="CF463" s="2" t="s">
        <v>4906</v>
      </c>
      <c r="CG463" s="9" t="str">
        <f>HYPERLINK(".\links\KOG\AGAP000116-PA-KOG.txt","required for synaptic vesicle and secretory granule exocytosis")</f>
        <v>required for synaptic vesicle and secretory granule exocytosis</v>
      </c>
      <c r="CH463" s="15">
        <v>3E-11</v>
      </c>
      <c r="CI463" s="2">
        <v>41.8</v>
      </c>
      <c r="CJ463" s="2" t="s">
        <v>4907</v>
      </c>
      <c r="CK463" s="2" t="s">
        <v>463</v>
      </c>
      <c r="CL463" s="9" t="str">
        <f>HYPERLINK(".\links\PFAM\AGAP000116-PA-PFAM.txt","C2, C2 domain")</f>
        <v>C2, C2 domain</v>
      </c>
      <c r="CM463" s="15">
        <v>9.9999999999999998E-17</v>
      </c>
      <c r="CN463" s="2">
        <v>101.9</v>
      </c>
      <c r="CO463" s="2" t="s">
        <v>4908</v>
      </c>
      <c r="CP463" s="9" t="str">
        <f>HYPERLINK(".\links\SMART\AGAP000116-PA-SMART.txt","detects C2 domains using one or both of two profiles")</f>
        <v>detects C2 domains using one or both of two profiles</v>
      </c>
      <c r="CQ463" s="15">
        <v>8.9999999999999995E-14</v>
      </c>
      <c r="CR463" s="2">
        <v>96</v>
      </c>
      <c r="CS463" s="2" t="s">
        <v>2131</v>
      </c>
      <c r="CT463" s="2" t="s">
        <v>4902</v>
      </c>
      <c r="CU463" s="2" t="s">
        <v>4902</v>
      </c>
      <c r="CV463" s="2" t="s">
        <v>4902</v>
      </c>
      <c r="CW463" s="2" t="str">
        <f>HYPERLINK(".\links\pep\AGAP000116-PA-pep.txt","AGAP000116-PA")</f>
        <v>AGAP000116-PA</v>
      </c>
      <c r="CX463" s="2" t="s">
        <v>95</v>
      </c>
      <c r="CY463" s="2">
        <v>605</v>
      </c>
      <c r="CZ463" s="2" t="s">
        <v>113</v>
      </c>
      <c r="DA463" s="2" t="s">
        <v>4909</v>
      </c>
      <c r="DB463" s="2">
        <v>0</v>
      </c>
      <c r="DC463" s="2">
        <v>1</v>
      </c>
      <c r="DD463" s="2" t="str">
        <f>HYPERLINK("https://www.kegg.jp/kegg-bin/search_pathway_text?map=aga&amp;keyword=AGAP000116&amp;mode=1&amp;viewImage=true","AGAP000116")</f>
        <v>AGAP000116</v>
      </c>
      <c r="DE463" s="2" t="s">
        <v>4898</v>
      </c>
      <c r="DF463" s="2" t="s">
        <v>4899</v>
      </c>
      <c r="DG463" s="2" t="s">
        <v>94</v>
      </c>
      <c r="DH463" s="2" t="str">
        <f>HYPERLINK("https://vectorbase.org/vectorbase/app/record/gene/AGAP000116","AGAP000116-RA")</f>
        <v>AGAP000116-RA</v>
      </c>
      <c r="DI463" s="2" t="s">
        <v>118</v>
      </c>
      <c r="DJ463" s="2">
        <v>3550</v>
      </c>
      <c r="DK463" s="2" t="str">
        <f>HYPERLINK(".\links\netoglyc\AGAP000116-PA-netoglyc.txt","13")</f>
        <v>13</v>
      </c>
      <c r="DL463" s="2">
        <v>15.7</v>
      </c>
      <c r="DM463" s="2">
        <v>9.9</v>
      </c>
      <c r="DN463" s="2">
        <v>4.3</v>
      </c>
      <c r="DO463" s="2" t="s">
        <v>104</v>
      </c>
      <c r="DP463" s="2" t="s">
        <v>4910</v>
      </c>
      <c r="DQ463" s="2" t="str">
        <f>HYPERLINK(".\links\Sigp\AGAP000116-PA-SigP.txt","CYT")</f>
        <v>CYT</v>
      </c>
      <c r="DR463" s="2" t="s">
        <v>102</v>
      </c>
      <c r="DS463" s="2">
        <v>64.975999999999999</v>
      </c>
      <c r="DT463" s="2">
        <v>9.15</v>
      </c>
      <c r="DU463" s="2" t="s">
        <v>102</v>
      </c>
      <c r="DV463" s="2" t="s">
        <v>102</v>
      </c>
      <c r="DW463" s="2" t="s">
        <v>4904</v>
      </c>
      <c r="DX463" s="2">
        <v>605</v>
      </c>
      <c r="DY463" s="12">
        <v>0</v>
      </c>
      <c r="DZ463" s="2" t="s">
        <v>102</v>
      </c>
      <c r="EA463" s="2" t="s">
        <v>102</v>
      </c>
      <c r="EB463" s="2" t="s">
        <v>102</v>
      </c>
      <c r="EC463" s="2" t="str">
        <f>HYPERLINK(".\links\gpi\AGAP000116-PA-gpi.txt","Y-NoSP")</f>
        <v>Y-NoSP</v>
      </c>
      <c r="ED463" s="2">
        <v>0.31</v>
      </c>
      <c r="EF463" s="2">
        <v>3</v>
      </c>
      <c r="EG463" s="2" t="s">
        <v>102</v>
      </c>
      <c r="EH463" s="2" t="s">
        <v>102</v>
      </c>
      <c r="EI463" s="2">
        <v>15.702479338843</v>
      </c>
      <c r="EJ463" s="2">
        <v>4.2975206611570202</v>
      </c>
      <c r="EK463" s="2">
        <v>9.9173553719008307</v>
      </c>
      <c r="EL463" s="2">
        <v>14.2148760330579</v>
      </c>
      <c r="EM463" s="2" t="s">
        <v>102</v>
      </c>
      <c r="EN463" s="2">
        <v>5</v>
      </c>
      <c r="EO463" s="2">
        <v>5</v>
      </c>
      <c r="EP463" s="2" t="s">
        <v>102</v>
      </c>
      <c r="EQ463" s="2" t="s">
        <v>102</v>
      </c>
      <c r="ER463" s="2" t="s">
        <v>102</v>
      </c>
      <c r="ES463" s="2" t="s">
        <v>102</v>
      </c>
      <c r="ET463" s="2" t="str">
        <f>HYPERLINK(".\links\REFSEQ-INVERTEBRATE\AGAP000116-PA-REFSEQ-INVERTEBRATE.txt","AGAP000116-PA")</f>
        <v>AGAP000116-PA</v>
      </c>
      <c r="EU463" s="2" t="str">
        <f>HYPERLINK("http://www.ncbi.nlm.nih.gov/sutils/blink.cgi?pid=XP_311030.5","0.0")</f>
        <v>0.0</v>
      </c>
      <c r="EV463" s="2" t="str">
        <f>HYPERLINK("http://www.ncbi.nlm.nih.gov/protein/XP_311030.5","XP_311030.5")</f>
        <v>XP_311030.5</v>
      </c>
      <c r="EW463" s="2">
        <v>100</v>
      </c>
      <c r="EX463" s="2">
        <v>100</v>
      </c>
      <c r="EY463" s="2">
        <v>100</v>
      </c>
      <c r="EZ463" s="2" t="s">
        <v>105</v>
      </c>
    </row>
    <row r="464" spans="1:156" x14ac:dyDescent="0.25">
      <c r="A464" s="2" t="s">
        <v>4911</v>
      </c>
      <c r="B464" s="2">
        <v>-0.39421967723983098</v>
      </c>
      <c r="C464" s="2">
        <f t="shared" si="7"/>
        <v>0.76090082025035266</v>
      </c>
      <c r="D464" s="2">
        <v>6.0403754511839498</v>
      </c>
      <c r="E464" s="2">
        <v>10.282695380079</v>
      </c>
      <c r="F464" s="2">
        <v>1.3428363854502E-3</v>
      </c>
      <c r="G464" s="2">
        <v>3.66583173922762E-2</v>
      </c>
      <c r="H464" s="2" t="s">
        <v>549</v>
      </c>
      <c r="I464" s="2" t="s">
        <v>88</v>
      </c>
      <c r="J464" s="8" t="s">
        <v>4912</v>
      </c>
      <c r="Q464" s="9"/>
      <c r="W464" s="10"/>
      <c r="AB464" s="9"/>
      <c r="AC464" s="9"/>
      <c r="AJ464" s="9"/>
      <c r="AN464" s="9"/>
      <c r="AO464" s="11"/>
      <c r="AP464" s="9"/>
      <c r="AT464" s="9"/>
      <c r="BA464" s="9"/>
      <c r="BH464" s="9"/>
      <c r="BO464" s="9"/>
      <c r="BV464" s="9"/>
      <c r="CB464" s="9"/>
      <c r="CG464" s="9"/>
      <c r="CL464" s="9"/>
      <c r="CP464" s="9"/>
      <c r="DE464" s="2" t="s">
        <v>4911</v>
      </c>
      <c r="DF464" s="2" t="s">
        <v>549</v>
      </c>
      <c r="DG464" s="2" t="s">
        <v>88</v>
      </c>
      <c r="DH464" s="8" t="s">
        <v>4912</v>
      </c>
      <c r="DI464" s="2" t="s">
        <v>135</v>
      </c>
      <c r="DJ464" s="2">
        <v>7553</v>
      </c>
      <c r="DQ464" s="2" t="s">
        <v>141</v>
      </c>
      <c r="DS464" s="2">
        <v>200819</v>
      </c>
      <c r="DT464" s="2">
        <v>8.89</v>
      </c>
      <c r="DX464" s="2">
        <v>1879</v>
      </c>
      <c r="DY464" s="12"/>
    </row>
    <row r="465" spans="1:156" x14ac:dyDescent="0.25">
      <c r="A465" s="2" t="s">
        <v>4913</v>
      </c>
      <c r="B465" s="2">
        <v>-0.39496260220889401</v>
      </c>
      <c r="C465" s="2">
        <f t="shared" si="7"/>
        <v>0.7605090904135543</v>
      </c>
      <c r="D465" s="2">
        <v>5.3377006292939599</v>
      </c>
      <c r="E465" s="2">
        <v>10.2895467819383</v>
      </c>
      <c r="F465" s="2">
        <v>1.33785945997387E-3</v>
      </c>
      <c r="G465" s="2">
        <v>3.66515000864703E-2</v>
      </c>
      <c r="H465" s="2" t="s">
        <v>4914</v>
      </c>
      <c r="I465" s="2" t="s">
        <v>94</v>
      </c>
      <c r="J465" s="2" t="str">
        <f>HYPERLINK("https://vectorbase.org/vectorbase/app/record/gene/AGAP008516","AGAP008516-RB")</f>
        <v>AGAP008516-RB</v>
      </c>
      <c r="K465" s="2" t="str">
        <f>HYPERLINK(".\links\pep\AGAP008516-PB-pep.txt","AGAP008516-PB")</f>
        <v>AGAP008516-PB</v>
      </c>
      <c r="L465" s="12" t="s">
        <v>95</v>
      </c>
      <c r="M465" s="2">
        <v>560</v>
      </c>
      <c r="N465" s="2">
        <v>0</v>
      </c>
      <c r="O465" s="2">
        <v>0</v>
      </c>
      <c r="P465" s="2" t="s">
        <v>4915</v>
      </c>
      <c r="Q465" s="9" t="s">
        <v>4916</v>
      </c>
      <c r="R465" s="2" t="s">
        <v>781</v>
      </c>
      <c r="S465" s="2" t="str">
        <f>HYPERLINK(".\links\KOG\AGAP008516-PB-KOG.txt","KOG")</f>
        <v>KOG</v>
      </c>
      <c r="T465" s="2">
        <v>0</v>
      </c>
      <c r="U465" s="2">
        <v>112.8</v>
      </c>
      <c r="V465" s="2" t="s">
        <v>4917</v>
      </c>
      <c r="W465" s="10" t="s">
        <v>183</v>
      </c>
      <c r="X465" s="2" t="s">
        <v>781</v>
      </c>
      <c r="Y465" s="2" t="str">
        <f>HYPERLINK(".\links\COG\AGAP008516-PB-COG.txt","COG")</f>
        <v>COG</v>
      </c>
      <c r="Z465" s="15">
        <v>9E-61</v>
      </c>
      <c r="AA465" s="2">
        <v>101.2</v>
      </c>
      <c r="AB465" s="13" t="str">
        <f>HYPERLINK(".\links\pep\AGAP008516-PB-sulf.txt","2")</f>
        <v>2</v>
      </c>
      <c r="AC465" s="13" t="str">
        <f>HYPERLINK(".\links\Sigp\AGAP008516-PB-SigP.txt","CYT")</f>
        <v>CYT</v>
      </c>
      <c r="AD465" s="2" t="s">
        <v>102</v>
      </c>
      <c r="AE465" s="2">
        <v>62.877000000000002</v>
      </c>
      <c r="AF465" s="2">
        <v>5.82</v>
      </c>
      <c r="AG465" s="2" t="s">
        <v>102</v>
      </c>
      <c r="AH465" s="2" t="s">
        <v>102</v>
      </c>
      <c r="AI465" s="2" t="s">
        <v>4918</v>
      </c>
      <c r="AJ465" s="13">
        <v>0</v>
      </c>
      <c r="AK465" s="2" t="s">
        <v>102</v>
      </c>
      <c r="AL465" s="2" t="s">
        <v>102</v>
      </c>
      <c r="AM465" s="2" t="s">
        <v>102</v>
      </c>
      <c r="AN465" s="13" t="str">
        <f>HYPERLINK(".\links\gpi\AGAP008516-PB-gpi.txt","N")</f>
        <v>N</v>
      </c>
      <c r="AO465" s="14" t="str">
        <f>HYPERLINK(".\links\netoglyc\AGAP008516-PB-netoglyc.txt","0")</f>
        <v>0</v>
      </c>
      <c r="AP465" s="13">
        <v>11.8</v>
      </c>
      <c r="AQ465" s="2">
        <v>6.6</v>
      </c>
      <c r="AR465" s="2">
        <v>3.9</v>
      </c>
      <c r="AS465" s="2" t="s">
        <v>104</v>
      </c>
      <c r="AT465" s="9" t="str">
        <f>HYPERLINK(".\links\NR-LIGHT\AGAP008516-PB-NR-LIGHT.txt","AGAP008516-PA")</f>
        <v>AGAP008516-PA</v>
      </c>
      <c r="AU465" s="2" t="str">
        <f>HYPERLINK("http://www.ncbi.nlm.nih.gov/sutils/blink.cgi?pid=XP_316922.3","0.0")</f>
        <v>0.0</v>
      </c>
      <c r="AV465" s="2" t="str">
        <f>HYPERLINK("http://www.ncbi.nlm.nih.gov/protein/XP_316922.3","XP_316922.3")</f>
        <v>XP_316922.3</v>
      </c>
      <c r="AW465" s="2">
        <v>100</v>
      </c>
      <c r="AX465" s="2">
        <v>100</v>
      </c>
      <c r="AY465" s="2">
        <v>100</v>
      </c>
      <c r="AZ465" s="2" t="s">
        <v>105</v>
      </c>
      <c r="BA465" s="9" t="str">
        <f>HYPERLINK(".\links\REFSEQ-INVERTEBRATE\AGAP008516-PB-REFSEQ-INVERTEBRATE.txt","AGAP008516-PA")</f>
        <v>AGAP008516-PA</v>
      </c>
      <c r="BB465" s="2" t="str">
        <f>HYPERLINK("http://www.ncbi.nlm.nih.gov/sutils/blink.cgi?pid=XP_316922.3","0.0")</f>
        <v>0.0</v>
      </c>
      <c r="BC465" s="2" t="str">
        <f>HYPERLINK("http://www.ncbi.nlm.nih.gov/protein/XP_316922.3","XP_316922.3")</f>
        <v>XP_316922.3</v>
      </c>
      <c r="BD465" s="2">
        <v>100</v>
      </c>
      <c r="BE465" s="2">
        <v>100</v>
      </c>
      <c r="BF465" s="2">
        <v>100</v>
      </c>
      <c r="BG465" s="2" t="s">
        <v>105</v>
      </c>
      <c r="BH465" s="9" t="str">
        <f>HYPERLINK(".\links\REFSEQ-PROTOZOA\AGAP008516-PB-REFSEQ-PROTOZOA.txt","hypothetical protein")</f>
        <v>hypothetical protein</v>
      </c>
      <c r="BI465" s="2" t="str">
        <f>HYPERLINK("http://www.ncbi.nlm.nih.gov/sutils/blink.cgi?pid=XP_001745982.1","0.0")</f>
        <v>0.0</v>
      </c>
      <c r="BJ465" s="2" t="str">
        <f>HYPERLINK("http://www.ncbi.nlm.nih.gov/protein/XP_001745982.1","XP_001745982.1")</f>
        <v>XP_001745982.1</v>
      </c>
      <c r="BK465" s="2">
        <v>57</v>
      </c>
      <c r="BL465" s="2">
        <v>73</v>
      </c>
      <c r="BM465" s="2">
        <v>97</v>
      </c>
      <c r="BN465" s="2" t="s">
        <v>248</v>
      </c>
      <c r="BO465" s="9" t="str">
        <f>HYPERLINK(".\links\SWISSP\AGAP008516-PB-SWISSP.txt","Nicotinate phosphoribosyltransferase")</f>
        <v>Nicotinate phosphoribosyltransferase</v>
      </c>
      <c r="BP465" s="2" t="str">
        <f>HYPERLINK("http://www.uniprot.org/uniprot/Q9VQX4","0.0")</f>
        <v>0.0</v>
      </c>
      <c r="BQ465" s="2" t="str">
        <f>HYPERLINK("http://www.uniprot.org/uniprot/Q9VQX4#expression","Q9VQX4")</f>
        <v>Q9VQX4</v>
      </c>
      <c r="BR465" s="2">
        <v>84</v>
      </c>
      <c r="BS465" s="2">
        <v>91</v>
      </c>
      <c r="BT465" s="2">
        <v>97</v>
      </c>
      <c r="BU465" s="2" t="s">
        <v>107</v>
      </c>
      <c r="BV465" s="9" t="str">
        <f>HYPERLINK(".\links\FLYBASE\AGAP008516-PB-FLYBASE.txt","FBpp0077170")</f>
        <v>FBpp0077170</v>
      </c>
      <c r="BW465" s="2" t="str">
        <f>HYPERLINK("http://flybase.org/reports/FBgn0031589#alliance_summary_container","0.0")</f>
        <v>0.0</v>
      </c>
      <c r="BX465" s="2">
        <v>555</v>
      </c>
      <c r="BY465" s="2">
        <v>82</v>
      </c>
      <c r="BZ465" s="2">
        <v>89</v>
      </c>
      <c r="CA465" s="2">
        <v>100</v>
      </c>
      <c r="CB465" s="9" t="str">
        <f>HYPERLINK(".\links\CDD\AGAP008516-PB-CDD.txt","PLN02885, nicotinate phosphoribosyltransferase")</f>
        <v>PLN02885, nicotinate phosphoribosyltransferase</v>
      </c>
      <c r="CC465" s="15">
        <v>0</v>
      </c>
      <c r="CD465" s="2">
        <v>99.1</v>
      </c>
      <c r="CE465" s="2" t="s">
        <v>4919</v>
      </c>
      <c r="CF465" s="2" t="s">
        <v>4920</v>
      </c>
      <c r="CG465" s="9" t="str">
        <f>HYPERLINK(".\links\KOG\AGAP008516-PB-KOG.txt","Nicotinic acid phosphoribosyltransferase")</f>
        <v>Nicotinic acid phosphoribosyltransferase</v>
      </c>
      <c r="CH465" s="15">
        <v>1E-136</v>
      </c>
      <c r="CI465" s="2">
        <v>112.9</v>
      </c>
      <c r="CJ465" s="2" t="s">
        <v>4921</v>
      </c>
      <c r="CK465" s="2" t="s">
        <v>786</v>
      </c>
      <c r="CL465" s="9" t="str">
        <f>HYPERLINK(".\links\PFAM\AGAP008516-PB-PFAM.txt","NAPRTase, Nicotinate phosphoribosyltransferase (NAPRTase) family")</f>
        <v>NAPRTase, Nicotinate phosphoribosyltransferase (NAPRTase) family</v>
      </c>
      <c r="CM465" s="15">
        <v>1.9999999999999999E-11</v>
      </c>
      <c r="CN465" s="2">
        <v>119.8</v>
      </c>
      <c r="CO465" s="2" t="s">
        <v>4922</v>
      </c>
      <c r="CP465" s="9" t="str">
        <f>HYPERLINK(".\links\SMART\AGAP008516-PB-SMART.txt","Glyco_10, Glycosyl hydrolase family 10")</f>
        <v>Glyco_10, Glycosyl hydrolase family 10</v>
      </c>
      <c r="CQ465" s="15">
        <v>0.85</v>
      </c>
      <c r="CR465" s="2">
        <v>17.100000000000001</v>
      </c>
      <c r="CS465" s="2" t="s">
        <v>4923</v>
      </c>
      <c r="CT465" s="2" t="s">
        <v>4917</v>
      </c>
      <c r="CU465" s="2" t="s">
        <v>4917</v>
      </c>
      <c r="CV465" s="2" t="s">
        <v>4917</v>
      </c>
      <c r="CW465" s="2" t="str">
        <f>HYPERLINK(".\links\pep\AGAP008516-PB-pep.txt","AGAP008516-PB")</f>
        <v>AGAP008516-PB</v>
      </c>
      <c r="CX465" s="2" t="s">
        <v>95</v>
      </c>
      <c r="CY465" s="2">
        <v>560</v>
      </c>
      <c r="CZ465" s="2" t="s">
        <v>113</v>
      </c>
      <c r="DA465" s="2" t="s">
        <v>4924</v>
      </c>
      <c r="DB465" s="2">
        <v>0</v>
      </c>
      <c r="DC465" s="2">
        <v>0</v>
      </c>
      <c r="DD465" s="2" t="str">
        <f>HYPERLINK("https://www.kegg.jp/kegg-bin/search_pathway_text?map=aga&amp;keyword=AGAP008516&amp;mode=1&amp;viewImage=true","AGAP008516")</f>
        <v>AGAP008516</v>
      </c>
      <c r="DE465" s="2" t="s">
        <v>4913</v>
      </c>
      <c r="DF465" s="2" t="s">
        <v>4914</v>
      </c>
      <c r="DG465" s="2" t="s">
        <v>94</v>
      </c>
      <c r="DH465" s="2" t="str">
        <f>HYPERLINK("https://vectorbase.org/vectorbase/app/record/gene/AGAP008516","AGAP008516-RB")</f>
        <v>AGAP008516-RB</v>
      </c>
      <c r="DI465" s="2" t="s">
        <v>115</v>
      </c>
      <c r="DJ465" s="2">
        <v>5556</v>
      </c>
      <c r="DK465" s="2" t="str">
        <f>HYPERLINK(".\links\netoglyc\AGAP008516-PB-netoglyc.txt","0")</f>
        <v>0</v>
      </c>
      <c r="DL465" s="2">
        <v>11.8</v>
      </c>
      <c r="DM465" s="2">
        <v>6.6</v>
      </c>
      <c r="DN465" s="2">
        <v>3.9</v>
      </c>
      <c r="DO465" s="2" t="s">
        <v>104</v>
      </c>
      <c r="DP465" s="2" t="s">
        <v>102</v>
      </c>
      <c r="DQ465" s="2" t="str">
        <f>HYPERLINK(".\links\Sigp\AGAP008516-PB-SigP.txt","CYT")</f>
        <v>CYT</v>
      </c>
      <c r="DR465" s="2" t="s">
        <v>102</v>
      </c>
      <c r="DS465" s="2">
        <v>62.877000000000002</v>
      </c>
      <c r="DT465" s="2">
        <v>5.82</v>
      </c>
      <c r="DU465" s="2" t="s">
        <v>102</v>
      </c>
      <c r="DV465" s="2" t="s">
        <v>102</v>
      </c>
      <c r="DW465" s="2" t="s">
        <v>4918</v>
      </c>
      <c r="DX465" s="2">
        <v>560</v>
      </c>
      <c r="DY465" s="12">
        <v>0</v>
      </c>
      <c r="DZ465" s="2" t="s">
        <v>102</v>
      </c>
      <c r="EA465" s="2" t="s">
        <v>102</v>
      </c>
      <c r="EB465" s="2" t="s">
        <v>102</v>
      </c>
      <c r="EC465" s="2" t="str">
        <f>HYPERLINK(".\links\gpi\AGAP008516-PB-gpi.txt","N")</f>
        <v>N</v>
      </c>
      <c r="ED465" s="2">
        <v>0.16</v>
      </c>
      <c r="EF465" s="2">
        <v>7</v>
      </c>
      <c r="EG465" s="2" t="str">
        <f>HYPERLINK(".\links\pep\AGAP008516-PB-sulf.txt","2")</f>
        <v>2</v>
      </c>
      <c r="EH465" s="2" t="s">
        <v>102</v>
      </c>
      <c r="EI465" s="2">
        <v>11.785714285714301</v>
      </c>
      <c r="EJ465" s="2">
        <v>3.9285714285714302</v>
      </c>
      <c r="EK465" s="2">
        <v>6.6071428571428603</v>
      </c>
      <c r="EL465" s="2">
        <v>10.535714285714301</v>
      </c>
      <c r="EM465" s="2" t="s">
        <v>102</v>
      </c>
      <c r="EN465" s="2">
        <v>1</v>
      </c>
      <c r="EO465" s="2">
        <v>2</v>
      </c>
      <c r="EP465" s="2" t="s">
        <v>102</v>
      </c>
      <c r="EQ465" s="2" t="s">
        <v>102</v>
      </c>
      <c r="ER465" s="2" t="s">
        <v>102</v>
      </c>
      <c r="ES465" s="2" t="s">
        <v>102</v>
      </c>
      <c r="ET465" s="2" t="str">
        <f>HYPERLINK(".\links\REFSEQ-INVERTEBRATE\AGAP008516-PB-REFSEQ-INVERTEBRATE.txt","nicotinate phosphoribosyltransferase isoform X3")</f>
        <v>nicotinate phosphoribosyltransferase isoform X3</v>
      </c>
      <c r="EU465" s="2" t="str">
        <f>HYPERLINK("http://www.ncbi.nlm.nih.gov/sutils/blink.cgi?pid=XP_035910932.1","0.0")</f>
        <v>0.0</v>
      </c>
      <c r="EV465" s="2" t="str">
        <f>HYPERLINK("http://www.ncbi.nlm.nih.gov/protein/XP_035910932.1","XP_035910932.1")</f>
        <v>XP_035910932.1</v>
      </c>
      <c r="EW465" s="2">
        <v>98</v>
      </c>
      <c r="EX465" s="2">
        <v>99</v>
      </c>
      <c r="EY465" s="2">
        <v>100</v>
      </c>
      <c r="EZ465" s="2" t="s">
        <v>370</v>
      </c>
    </row>
    <row r="466" spans="1:156" x14ac:dyDescent="0.25">
      <c r="A466" s="2" t="s">
        <v>4925</v>
      </c>
      <c r="B466" s="2">
        <v>-0.39594582987573401</v>
      </c>
      <c r="C466" s="2">
        <f t="shared" si="7"/>
        <v>0.75999096370610542</v>
      </c>
      <c r="D466" s="2">
        <v>7.0269330079012997</v>
      </c>
      <c r="E466" s="2">
        <v>9.7318641011480693</v>
      </c>
      <c r="F466" s="2">
        <v>1.8110072525073799E-3</v>
      </c>
      <c r="G466" s="2">
        <v>4.1602509262145003E-2</v>
      </c>
      <c r="H466" s="2" t="s">
        <v>4854</v>
      </c>
      <c r="I466" s="2" t="s">
        <v>88</v>
      </c>
      <c r="J466" s="8" t="s">
        <v>4855</v>
      </c>
      <c r="Q466" s="9"/>
      <c r="W466" s="10"/>
      <c r="AB466" s="9"/>
      <c r="AC466" s="9"/>
      <c r="AJ466" s="9"/>
      <c r="AN466" s="9"/>
      <c r="AO466" s="11"/>
      <c r="AP466" s="9"/>
      <c r="AT466" s="9"/>
      <c r="BA466" s="9"/>
      <c r="BH466" s="9"/>
      <c r="BO466" s="9"/>
      <c r="BV466" s="9"/>
      <c r="CB466" s="9"/>
      <c r="CG466" s="9"/>
      <c r="CL466" s="9"/>
      <c r="CP466" s="9"/>
      <c r="DE466" s="2" t="s">
        <v>4925</v>
      </c>
      <c r="DF466" s="2" t="s">
        <v>4854</v>
      </c>
      <c r="DG466" s="2" t="s">
        <v>88</v>
      </c>
      <c r="DH466" s="8" t="s">
        <v>4855</v>
      </c>
      <c r="DI466" s="2" t="s">
        <v>118</v>
      </c>
      <c r="DJ466" s="2">
        <v>13776</v>
      </c>
      <c r="DQ466" s="2" t="s">
        <v>141</v>
      </c>
      <c r="DS466" s="2">
        <v>137287</v>
      </c>
      <c r="DT466" s="2">
        <v>6.64</v>
      </c>
      <c r="DX466" s="2">
        <v>1229</v>
      </c>
      <c r="DY466" s="12"/>
    </row>
    <row r="467" spans="1:156" x14ac:dyDescent="0.25">
      <c r="A467" s="2" t="s">
        <v>4926</v>
      </c>
      <c r="B467" s="2">
        <v>-0.39733465454544198</v>
      </c>
      <c r="C467" s="2">
        <f t="shared" si="7"/>
        <v>0.75925970291206257</v>
      </c>
      <c r="D467" s="2">
        <v>6.48210807409483</v>
      </c>
      <c r="E467" s="2">
        <v>9.0770678084788408</v>
      </c>
      <c r="F467" s="2">
        <v>2.5883473185384998E-3</v>
      </c>
      <c r="G467" s="2">
        <v>4.7269525491001697E-2</v>
      </c>
      <c r="H467" s="2" t="s">
        <v>4927</v>
      </c>
      <c r="I467" s="2" t="s">
        <v>94</v>
      </c>
      <c r="J467" s="2" t="str">
        <f>HYPERLINK("https://vectorbase.org/vectorbase/app/record/gene/AGAP005881","AGAP005881-RA")</f>
        <v>AGAP005881-RA</v>
      </c>
      <c r="K467" s="2" t="str">
        <f>HYPERLINK(".\links\pep\AGAP005881-PA-pep.txt","AGAP005881-PA")</f>
        <v>AGAP005881-PA</v>
      </c>
      <c r="L467" s="12" t="s">
        <v>95</v>
      </c>
      <c r="M467" s="2">
        <v>2049</v>
      </c>
      <c r="N467" s="2">
        <v>0</v>
      </c>
      <c r="O467" s="2">
        <v>8</v>
      </c>
      <c r="P467" s="2" t="s">
        <v>4928</v>
      </c>
      <c r="Q467" s="9" t="s">
        <v>4929</v>
      </c>
      <c r="R467" s="2" t="s">
        <v>931</v>
      </c>
      <c r="S467" s="2" t="str">
        <f>HYPERLINK(".\links\SWISSP\AGAP005881-PA-SWISSP.txt","SWISSP")</f>
        <v>SWISSP</v>
      </c>
      <c r="T467" s="2">
        <v>2.0000000000000001E-59</v>
      </c>
      <c r="U467" s="2">
        <v>56.8</v>
      </c>
      <c r="V467" s="2" t="s">
        <v>4930</v>
      </c>
      <c r="W467" s="10" t="s">
        <v>4931</v>
      </c>
      <c r="X467" s="2" t="s">
        <v>931</v>
      </c>
      <c r="Y467" s="2" t="str">
        <f>HYPERLINK(".\links\ARTHORPODA\AGAP005881-PA-ARTHORPODA.txt","ARTHORPODA")</f>
        <v>ARTHORPODA</v>
      </c>
      <c r="Z467" s="2">
        <v>0</v>
      </c>
      <c r="AA467" s="2">
        <v>100.8</v>
      </c>
      <c r="AB467" s="13" t="s">
        <v>102</v>
      </c>
      <c r="AC467" s="13" t="str">
        <f>HYPERLINK(".\links\Sigp\AGAP005881-PA-SigP.txt","CYT")</f>
        <v>CYT</v>
      </c>
      <c r="AD467" s="2" t="s">
        <v>102</v>
      </c>
      <c r="AE467" s="2">
        <v>226.483</v>
      </c>
      <c r="AF467" s="2">
        <v>6.96</v>
      </c>
      <c r="AG467" s="2" t="s">
        <v>102</v>
      </c>
      <c r="AH467" s="2" t="s">
        <v>102</v>
      </c>
      <c r="AI467" s="2" t="s">
        <v>211</v>
      </c>
      <c r="AJ467" s="13">
        <v>0</v>
      </c>
      <c r="AK467" s="2" t="s">
        <v>102</v>
      </c>
      <c r="AL467" s="2" t="s">
        <v>102</v>
      </c>
      <c r="AM467" s="2" t="s">
        <v>102</v>
      </c>
      <c r="AN467" s="13" t="str">
        <f>HYPERLINK(".\links\gpi\AGAP005881-PA-gpi.txt","N")</f>
        <v>N</v>
      </c>
      <c r="AO467" s="14" t="str">
        <f>HYPERLINK(".\links\netoglyc\AGAP005881-PA-netoglyc.txt","31")</f>
        <v>31</v>
      </c>
      <c r="AP467" s="13">
        <v>16.7</v>
      </c>
      <c r="AQ467" s="2">
        <v>6</v>
      </c>
      <c r="AR467" s="2">
        <v>6.4</v>
      </c>
      <c r="AS467" s="2" t="s">
        <v>104</v>
      </c>
      <c r="AT467" s="9" t="str">
        <f>HYPERLINK(".\links\NR-LIGHT\AGAP005881-PA-NR-LIGHT.txt","AGAP005881-PA")</f>
        <v>AGAP005881-PA</v>
      </c>
      <c r="AU467" s="2" t="str">
        <f>HYPERLINK("http://www.ncbi.nlm.nih.gov/sutils/blink.cgi?pid=XP_315906.4","0.0")</f>
        <v>0.0</v>
      </c>
      <c r="AV467" s="2" t="str">
        <f>HYPERLINK("http://www.ncbi.nlm.nih.gov/protein/XP_315906.4","XP_315906.4")</f>
        <v>XP_315906.4</v>
      </c>
      <c r="AW467" s="2">
        <v>100</v>
      </c>
      <c r="AX467" s="2">
        <v>100</v>
      </c>
      <c r="AY467" s="2">
        <v>100</v>
      </c>
      <c r="AZ467" s="2" t="s">
        <v>105</v>
      </c>
      <c r="BA467" s="9" t="str">
        <f>HYPERLINK(".\links\REFSEQ-INVERTEBRATE\AGAP005881-PA-REFSEQ-INVERTEBRATE.txt","AGAP005881-PA")</f>
        <v>AGAP005881-PA</v>
      </c>
      <c r="BB467" s="2" t="str">
        <f>HYPERLINK("http://www.ncbi.nlm.nih.gov/sutils/blink.cgi?pid=XP_315906.4","0.0")</f>
        <v>0.0</v>
      </c>
      <c r="BC467" s="2" t="str">
        <f>HYPERLINK("http://www.ncbi.nlm.nih.gov/protein/XP_315906.4","XP_315906.4")</f>
        <v>XP_315906.4</v>
      </c>
      <c r="BD467" s="2">
        <v>100</v>
      </c>
      <c r="BE467" s="2">
        <v>100</v>
      </c>
      <c r="BF467" s="2">
        <v>100</v>
      </c>
      <c r="BG467" s="2" t="s">
        <v>105</v>
      </c>
      <c r="BH467" s="9" t="str">
        <f>HYPERLINK(".\links\REFSEQ-PROTOZOA\AGAP005881-PA-REFSEQ-PROTOZOA.txt","hypothetical protein, conserved")</f>
        <v>hypothetical protein, conserved</v>
      </c>
      <c r="BI467" s="2" t="str">
        <f>HYPERLINK("http://www.ncbi.nlm.nih.gov/sutils/blink.cgi?pid=XP_013353409.1","2E-073")</f>
        <v>2E-073</v>
      </c>
      <c r="BJ467" s="2" t="str">
        <f>HYPERLINK("http://www.ncbi.nlm.nih.gov/protein/XP_013353409.1","XP_013353409.1")</f>
        <v>XP_013353409.1</v>
      </c>
      <c r="BK467" s="2">
        <v>28</v>
      </c>
      <c r="BL467" s="2">
        <v>38</v>
      </c>
      <c r="BM467" s="2">
        <v>81</v>
      </c>
      <c r="BN467" s="2" t="s">
        <v>568</v>
      </c>
      <c r="BO467" s="9" t="str">
        <f>HYPERLINK(".\links\SWISSP\AGAP005881-PA-SWISSP.txt","Sentrin-specific protease 6")</f>
        <v>Sentrin-specific protease 6</v>
      </c>
      <c r="BP467" s="2" t="str">
        <f>HYPERLINK("http://www.uniprot.org/uniprot/Q6P7W0","2E-059")</f>
        <v>2E-059</v>
      </c>
      <c r="BQ467" s="2" t="str">
        <f>HYPERLINK("http://www.uniprot.org/uniprot/Q6P7W0#expression","Q6P7W0")</f>
        <v>Q6P7W0</v>
      </c>
      <c r="BR467" s="2">
        <v>29</v>
      </c>
      <c r="BS467" s="2">
        <v>45</v>
      </c>
      <c r="BT467" s="2">
        <v>57</v>
      </c>
      <c r="BU467" s="2" t="s">
        <v>662</v>
      </c>
      <c r="BV467" s="9" t="str">
        <f>HYPERLINK(".\links\FLYBASE\AGAP005881-PA-FLYBASE.txt","FBpp0076661")</f>
        <v>FBpp0076661</v>
      </c>
      <c r="BW467" s="2" t="str">
        <f>HYPERLINK("http://flybase.org/reports/FBgn0035713#alliance_summary_container","1E-161")</f>
        <v>1E-161</v>
      </c>
      <c r="BX467" s="2">
        <v>1833</v>
      </c>
      <c r="BY467" s="2">
        <v>40</v>
      </c>
      <c r="BZ467" s="2">
        <v>55</v>
      </c>
      <c r="CA467" s="2">
        <v>45</v>
      </c>
      <c r="CB467" s="9" t="str">
        <f>HYPERLINK(".\links\CDD\AGAP005881-PA-CDD.txt","ULP1, Protease, Ulp1 family")</f>
        <v>ULP1, Protease, Ulp1 family</v>
      </c>
      <c r="CC467" s="15">
        <v>1.9999999999999999E-23</v>
      </c>
      <c r="CD467" s="2">
        <v>33.6</v>
      </c>
      <c r="CE467" s="2" t="s">
        <v>4932</v>
      </c>
      <c r="CF467" s="2" t="s">
        <v>4933</v>
      </c>
      <c r="CG467" s="9" t="str">
        <f>HYPERLINK(".\links\KOG\AGAP005881-PA-KOG.txt","Ulp1 family")</f>
        <v>Ulp1 family</v>
      </c>
      <c r="CH467" s="15">
        <v>4.9999999999999996E-25</v>
      </c>
      <c r="CI467" s="2">
        <v>72.3</v>
      </c>
      <c r="CJ467" s="2" t="s">
        <v>4934</v>
      </c>
      <c r="CK467" s="2" t="s">
        <v>111</v>
      </c>
      <c r="CL467" s="9" t="str">
        <f>HYPERLINK(".\links\PFAM\AGAP005881-PA-PFAM.txt","Peptidase_C48, Ulp1 protease family, C-terminal catalytic domain")</f>
        <v>Peptidase_C48, Ulp1 protease family, C-terminal catalytic domain</v>
      </c>
      <c r="CM467" s="15">
        <v>8.9999999999999999E-18</v>
      </c>
      <c r="CN467" s="2">
        <v>51.7</v>
      </c>
      <c r="CO467" s="2" t="s">
        <v>4935</v>
      </c>
      <c r="CP467" s="9" t="str">
        <f>HYPERLINK(".\links\SMART\AGAP005881-PA-SMART.txt","Amelogenin, Amelogenins, cell adhesion proteins, play a role in the biomineralisation of teeth")</f>
        <v>Amelogenin, Amelogenins, cell adhesion proteins, play a role in the biomineralisation of teeth</v>
      </c>
      <c r="CQ467" s="15">
        <v>2.0000000000000001E-4</v>
      </c>
      <c r="CR467" s="2">
        <v>44.2</v>
      </c>
      <c r="CS467" s="2" t="s">
        <v>311</v>
      </c>
      <c r="CT467" s="2" t="s">
        <v>4930</v>
      </c>
      <c r="CU467" s="2" t="s">
        <v>4930</v>
      </c>
      <c r="CV467" s="2" t="s">
        <v>4930</v>
      </c>
      <c r="CW467" s="2" t="str">
        <f>HYPERLINK(".\links\pep\AGAP005881-PA-pep.txt","AGAP005881-PA")</f>
        <v>AGAP005881-PA</v>
      </c>
      <c r="CX467" s="2" t="s">
        <v>95</v>
      </c>
      <c r="CY467" s="2">
        <v>2049</v>
      </c>
      <c r="CZ467" s="2" t="s">
        <v>113</v>
      </c>
      <c r="DA467" s="2" t="s">
        <v>4936</v>
      </c>
      <c r="DB467" s="2">
        <v>0</v>
      </c>
      <c r="DC467" s="2">
        <v>8</v>
      </c>
      <c r="DD467" s="2" t="str">
        <f>HYPERLINK("https://www.kegg.jp/kegg-bin/search_pathway_text?map=aga&amp;keyword=AGAP005881&amp;mode=1&amp;viewImage=true","AGAP005881")</f>
        <v>AGAP005881</v>
      </c>
      <c r="DE467" s="2" t="s">
        <v>4926</v>
      </c>
      <c r="DF467" s="2" t="s">
        <v>4927</v>
      </c>
      <c r="DG467" s="2" t="s">
        <v>94</v>
      </c>
      <c r="DH467" s="2" t="str">
        <f>HYPERLINK("https://vectorbase.org/vectorbase/app/record/gene/AGAP005881","AGAP005881-RA")</f>
        <v>AGAP005881-RA</v>
      </c>
      <c r="DI467" s="2" t="s">
        <v>135</v>
      </c>
      <c r="DJ467" s="2">
        <v>6732</v>
      </c>
      <c r="DK467" s="2" t="str">
        <f>HYPERLINK(".\links\netoglyc\AGAP005881-PA-netoglyc.txt","31")</f>
        <v>31</v>
      </c>
      <c r="DL467" s="2">
        <v>16.7</v>
      </c>
      <c r="DM467" s="2">
        <v>6</v>
      </c>
      <c r="DN467" s="2">
        <v>6.4</v>
      </c>
      <c r="DO467" s="2" t="s">
        <v>104</v>
      </c>
      <c r="DP467" s="2" t="s">
        <v>4937</v>
      </c>
      <c r="DQ467" s="2" t="str">
        <f>HYPERLINK(".\links\Sigp\AGAP005881-PA-SigP.txt","CYT")</f>
        <v>CYT</v>
      </c>
      <c r="DR467" s="2" t="s">
        <v>102</v>
      </c>
      <c r="DS467" s="2">
        <v>226.483</v>
      </c>
      <c r="DT467" s="2">
        <v>6.96</v>
      </c>
      <c r="DU467" s="2" t="s">
        <v>102</v>
      </c>
      <c r="DV467" s="2" t="s">
        <v>102</v>
      </c>
      <c r="DW467" s="2" t="s">
        <v>211</v>
      </c>
      <c r="DX467" s="2">
        <v>2049</v>
      </c>
      <c r="DY467" s="12">
        <v>0</v>
      </c>
      <c r="DZ467" s="2" t="s">
        <v>102</v>
      </c>
      <c r="EA467" s="2" t="s">
        <v>102</v>
      </c>
      <c r="EB467" s="2" t="s">
        <v>102</v>
      </c>
      <c r="EC467" s="2" t="str">
        <f>HYPERLINK(".\links\gpi\AGAP005881-PA-gpi.txt","Y-NoSP")</f>
        <v>Y-NoSP</v>
      </c>
      <c r="ED467" s="2">
        <v>0.35</v>
      </c>
      <c r="EE467" s="2" t="s">
        <v>4938</v>
      </c>
      <c r="EF467" s="2">
        <v>20</v>
      </c>
      <c r="EG467" s="2" t="s">
        <v>102</v>
      </c>
      <c r="EH467" s="2" t="s">
        <v>102</v>
      </c>
      <c r="EI467" s="2">
        <v>16.691068814055601</v>
      </c>
      <c r="EJ467" s="2">
        <v>6.4421669106881403</v>
      </c>
      <c r="EK467" s="2">
        <v>5.9541239629087404</v>
      </c>
      <c r="EL467" s="2">
        <v>12.3962908735969</v>
      </c>
      <c r="EM467" s="2">
        <v>3</v>
      </c>
      <c r="EN467" s="2">
        <v>6</v>
      </c>
      <c r="EO467" s="2">
        <v>6</v>
      </c>
      <c r="EP467" s="2" t="s">
        <v>102</v>
      </c>
      <c r="EQ467" s="2" t="s">
        <v>102</v>
      </c>
      <c r="ER467" s="2" t="s">
        <v>102</v>
      </c>
      <c r="ES467" s="2" t="s">
        <v>102</v>
      </c>
      <c r="ET467" s="2" t="str">
        <f>HYPERLINK(".\links\REFSEQ-INVERTEBRATE\AGAP005881-PA-REFSEQ-INVERTEBRATE.txt","AGAP005881-PA")</f>
        <v>AGAP005881-PA</v>
      </c>
      <c r="EU467" s="2" t="str">
        <f>HYPERLINK("http://www.ncbi.nlm.nih.gov/sutils/blink.cgi?pid=XP_315906.4","0.0")</f>
        <v>0.0</v>
      </c>
      <c r="EV467" s="2" t="str">
        <f>HYPERLINK("http://www.ncbi.nlm.nih.gov/protein/XP_315906.4","XP_315906.4")</f>
        <v>XP_315906.4</v>
      </c>
      <c r="EW467" s="2">
        <v>100</v>
      </c>
      <c r="EX467" s="2">
        <v>100</v>
      </c>
      <c r="EY467" s="2">
        <v>100</v>
      </c>
      <c r="EZ467" s="2" t="s">
        <v>105</v>
      </c>
    </row>
    <row r="468" spans="1:156" x14ac:dyDescent="0.25">
      <c r="A468" s="2" t="s">
        <v>4939</v>
      </c>
      <c r="B468" s="2">
        <v>-0.39947769450663401</v>
      </c>
      <c r="C468" s="2">
        <f t="shared" si="7"/>
        <v>0.7581327038324378</v>
      </c>
      <c r="D468" s="2">
        <v>5.7027672705688701</v>
      </c>
      <c r="E468" s="2">
        <v>15.8354912870472</v>
      </c>
      <c r="F468" s="2">
        <v>6.9094272010747598E-5</v>
      </c>
      <c r="G468" s="2">
        <v>8.8973846436317602E-3</v>
      </c>
      <c r="H468" s="2" t="s">
        <v>4940</v>
      </c>
      <c r="I468" s="2" t="s">
        <v>88</v>
      </c>
      <c r="J468" s="8" t="s">
        <v>4941</v>
      </c>
      <c r="Q468" s="9"/>
      <c r="W468" s="10"/>
      <c r="AB468" s="9"/>
      <c r="AC468" s="9"/>
      <c r="AJ468" s="9"/>
      <c r="AN468" s="9"/>
      <c r="AO468" s="11"/>
      <c r="AP468" s="9"/>
      <c r="AT468" s="9"/>
      <c r="BA468" s="9"/>
      <c r="BH468" s="9"/>
      <c r="BO468" s="9"/>
      <c r="BV468" s="9"/>
      <c r="CB468" s="9"/>
      <c r="CG468" s="9"/>
      <c r="CL468" s="9"/>
      <c r="CP468" s="9"/>
      <c r="DE468" s="2" t="s">
        <v>4939</v>
      </c>
      <c r="DF468" s="2" t="s">
        <v>4940</v>
      </c>
      <c r="DG468" s="2" t="s">
        <v>88</v>
      </c>
      <c r="DH468" s="8" t="s">
        <v>4941</v>
      </c>
      <c r="DI468" s="2" t="s">
        <v>115</v>
      </c>
      <c r="DJ468" s="2">
        <v>5901</v>
      </c>
      <c r="DQ468" s="2" t="s">
        <v>141</v>
      </c>
      <c r="DS468" s="2">
        <v>139130</v>
      </c>
      <c r="DT468" s="2">
        <v>7.05</v>
      </c>
      <c r="DX468" s="2">
        <v>1244</v>
      </c>
      <c r="DY468" s="12"/>
    </row>
    <row r="469" spans="1:156" x14ac:dyDescent="0.25">
      <c r="A469" s="2" t="s">
        <v>4942</v>
      </c>
      <c r="B469" s="2">
        <v>-0.40027536589414298</v>
      </c>
      <c r="C469" s="2">
        <f t="shared" si="7"/>
        <v>0.75771364533583307</v>
      </c>
      <c r="D469" s="2">
        <v>7.3817786566026502</v>
      </c>
      <c r="E469" s="2">
        <v>14.976332274160701</v>
      </c>
      <c r="F469" s="2">
        <v>1.0886810324491999E-4</v>
      </c>
      <c r="G469" s="2">
        <v>1.1138391531328701E-2</v>
      </c>
      <c r="H469" s="2" t="s">
        <v>4943</v>
      </c>
      <c r="I469" s="2" t="s">
        <v>94</v>
      </c>
      <c r="J469" s="2" t="str">
        <f>HYPERLINK("https://vectorbase.org/vectorbase/app/record/gene/AGAP000171","AGAP000171-RA")</f>
        <v>AGAP000171-RA</v>
      </c>
      <c r="K469" s="2" t="str">
        <f>HYPERLINK(".\links\pep\AGAP000171-PA-pep.txt","AGAP000171-PA")</f>
        <v>AGAP000171-PA</v>
      </c>
      <c r="L469" s="12" t="s">
        <v>95</v>
      </c>
      <c r="M469" s="2">
        <v>1334</v>
      </c>
      <c r="N469" s="2">
        <v>0</v>
      </c>
      <c r="O469" s="2">
        <v>5</v>
      </c>
      <c r="P469" s="2" t="s">
        <v>4944</v>
      </c>
      <c r="Q469" s="9" t="s">
        <v>4945</v>
      </c>
      <c r="R469" s="2" t="s">
        <v>822</v>
      </c>
      <c r="S469" s="2" t="str">
        <f>HYPERLINK(".\links\REFSEQ-INVERTEBRATE\AGAP000171-PA-REFSEQ-INVERTEBRATE.txt","REFSEQ-INVERTEBRATE")</f>
        <v>REFSEQ-INVERTEBRATE</v>
      </c>
      <c r="T469" s="2">
        <v>0</v>
      </c>
      <c r="U469" s="2">
        <v>50.7</v>
      </c>
      <c r="V469" s="2" t="s">
        <v>4946</v>
      </c>
      <c r="W469" s="10" t="s">
        <v>4947</v>
      </c>
      <c r="X469" s="2" t="s">
        <v>822</v>
      </c>
      <c r="Y469" s="2" t="str">
        <f>HYPERLINK(".\links\REFSEQVERTEBRATE95\AGAP000171-PA-REFSEQVERTEBRATE95.txt","REFSEQVERTEBRATE95")</f>
        <v>REFSEQVERTEBRATE95</v>
      </c>
      <c r="Z469" s="2">
        <v>0</v>
      </c>
      <c r="AA469" s="2">
        <v>49.8</v>
      </c>
      <c r="AB469" s="13" t="str">
        <f>HYPERLINK(".\links\pep\AGAP000171-PA-sulf.txt","2")</f>
        <v>2</v>
      </c>
      <c r="AC469" s="13" t="str">
        <f>HYPERLINK(".\links\Sigp\AGAP000171-PA-SigP.txt","CYT")</f>
        <v>CYT</v>
      </c>
      <c r="AD469" s="2" t="s">
        <v>102</v>
      </c>
      <c r="AE469" s="2">
        <v>149.40899999999999</v>
      </c>
      <c r="AF469" s="2">
        <v>6.4</v>
      </c>
      <c r="AG469" s="2" t="s">
        <v>102</v>
      </c>
      <c r="AH469" s="2" t="s">
        <v>102</v>
      </c>
      <c r="AI469" s="2" t="s">
        <v>1143</v>
      </c>
      <c r="AJ469" s="13">
        <v>0</v>
      </c>
      <c r="AK469" s="2" t="s">
        <v>102</v>
      </c>
      <c r="AL469" s="2" t="s">
        <v>102</v>
      </c>
      <c r="AM469" s="2" t="s">
        <v>102</v>
      </c>
      <c r="AN469" s="13" t="str">
        <f>HYPERLINK(".\links\gpi\AGAP000171-PA-gpi.txt","N")</f>
        <v>N</v>
      </c>
      <c r="AO469" s="14" t="str">
        <f>HYPERLINK(".\links\netoglyc\AGAP000171-PA-netoglyc.txt","0")</f>
        <v>0</v>
      </c>
      <c r="AP469" s="13">
        <v>9.8000000000000007</v>
      </c>
      <c r="AQ469" s="2">
        <v>6.7</v>
      </c>
      <c r="AR469" s="2">
        <v>5.6</v>
      </c>
      <c r="AS469" s="2" t="s">
        <v>104</v>
      </c>
      <c r="AT469" s="9" t="str">
        <f>HYPERLINK(".\links\NR-LIGHT\AGAP000171-PA-NR-LIGHT.txt","AGAP000171-PA")</f>
        <v>AGAP000171-PA</v>
      </c>
      <c r="AU469" s="2" t="str">
        <f>HYPERLINK("http://www.ncbi.nlm.nih.gov/sutils/blink.cgi?pid=XP_310967.5","0.0")</f>
        <v>0.0</v>
      </c>
      <c r="AV469" s="2" t="str">
        <f>HYPERLINK("http://www.ncbi.nlm.nih.gov/protein/XP_310967.5","XP_310967.5")</f>
        <v>XP_310967.5</v>
      </c>
      <c r="AW469" s="2">
        <v>100</v>
      </c>
      <c r="AX469" s="2">
        <v>100</v>
      </c>
      <c r="AY469" s="2">
        <v>52</v>
      </c>
      <c r="AZ469" s="2" t="s">
        <v>105</v>
      </c>
      <c r="BA469" s="9" t="str">
        <f>HYPERLINK(".\links\REFSEQ-INVERTEBRATE\AGAP000171-PA-REFSEQ-INVERTEBRATE.txt","AGAP000171-PA")</f>
        <v>AGAP000171-PA</v>
      </c>
      <c r="BB469" s="2" t="str">
        <f>HYPERLINK("http://www.ncbi.nlm.nih.gov/sutils/blink.cgi?pid=XP_310967.5","0.0")</f>
        <v>0.0</v>
      </c>
      <c r="BC469" s="2" t="str">
        <f>HYPERLINK("http://www.ncbi.nlm.nih.gov/protein/XP_310967.5","XP_310967.5")</f>
        <v>XP_310967.5</v>
      </c>
      <c r="BD469" s="2">
        <v>100</v>
      </c>
      <c r="BE469" s="2">
        <v>100</v>
      </c>
      <c r="BF469" s="2">
        <v>52</v>
      </c>
      <c r="BG469" s="2" t="s">
        <v>105</v>
      </c>
      <c r="BH469" s="9" t="str">
        <f>HYPERLINK(".\links\REFSEQ-PROTOZOA\AGAP000171-PA-REFSEQ-PROTOZOA.txt","hypothetical protein CAOG_02513")</f>
        <v>hypothetical protein CAOG_02513</v>
      </c>
      <c r="BI469" s="2" t="str">
        <f>HYPERLINK("http://www.ncbi.nlm.nih.gov/sutils/blink.cgi?pid=XP_004349263.1","4E-086")</f>
        <v>4E-086</v>
      </c>
      <c r="BJ469" s="2" t="str">
        <f>HYPERLINK("http://www.ncbi.nlm.nih.gov/protein/XP_004349263.1","XP_004349263.1")</f>
        <v>XP_004349263.1</v>
      </c>
      <c r="BK469" s="2">
        <v>27</v>
      </c>
      <c r="BL469" s="2">
        <v>44</v>
      </c>
      <c r="BM469" s="2">
        <v>32</v>
      </c>
      <c r="BN469" s="2" t="s">
        <v>106</v>
      </c>
      <c r="BO469" s="9" t="str">
        <f>HYPERLINK(".\links\SWISSP\AGAP000171-PA-SWISSP.txt","E3 ubiquitin-protein ligase UBR1")</f>
        <v>E3 ubiquitin-protein ligase UBR1</v>
      </c>
      <c r="BP469" s="2" t="str">
        <f>HYPERLINK("http://www.uniprot.org/uniprot/Q9VX91","0.0")</f>
        <v>0.0</v>
      </c>
      <c r="BQ469" s="2" t="str">
        <f>HYPERLINK("http://www.uniprot.org/uniprot/Q9VX91#expression","Q9VX91")</f>
        <v>Q9VX91</v>
      </c>
      <c r="BR469" s="2">
        <v>52</v>
      </c>
      <c r="BS469" s="2">
        <v>70</v>
      </c>
      <c r="BT469" s="2">
        <v>50</v>
      </c>
      <c r="BU469" s="2" t="s">
        <v>107</v>
      </c>
      <c r="BV469" s="9" t="str">
        <f>HYPERLINK(".\links\FLYBASE\AGAP000171-PA-FLYBASE.txt","FBpp0312009")</f>
        <v>FBpp0312009</v>
      </c>
      <c r="BW469" s="2" t="str">
        <f>HYPERLINK("http://flybase.org/reports/FBgn0030809#alliance_summary_container","0.0")</f>
        <v>0.0</v>
      </c>
      <c r="BX469" s="2">
        <v>1824</v>
      </c>
      <c r="BY469" s="2">
        <v>49</v>
      </c>
      <c r="BZ469" s="2">
        <v>67</v>
      </c>
      <c r="CA469" s="2">
        <v>54</v>
      </c>
      <c r="CB469" s="9" t="str">
        <f>HYPERLINK(".\links\CDD\AGAP000171-PA-CDD.txt","zf-UBR, Putative zinc finger in N-recognin (UBR box)")</f>
        <v>zf-UBR, Putative zinc finger in N-recognin (UBR box)</v>
      </c>
      <c r="CC469" s="15">
        <v>1.9999999999999999E-29</v>
      </c>
      <c r="CD469" s="2">
        <v>100</v>
      </c>
      <c r="CE469" s="2" t="s">
        <v>4948</v>
      </c>
      <c r="CF469" s="2" t="s">
        <v>4949</v>
      </c>
      <c r="CG469" s="9" t="str">
        <f>HYPERLINK(".\links\KOG\AGAP000171-PA-KOG.txt","recognition component UBR1")</f>
        <v>recognition component UBR1</v>
      </c>
      <c r="CH469" s="15">
        <v>9.9999999999999999E-117</v>
      </c>
      <c r="CI469" s="2">
        <v>54.5</v>
      </c>
      <c r="CJ469" s="2" t="s">
        <v>4950</v>
      </c>
      <c r="CK469" s="2" t="s">
        <v>111</v>
      </c>
      <c r="CL469" s="9" t="str">
        <f>HYPERLINK(".\links\PFAM\AGAP000171-PA-PFAM.txt","zf-UBR, Putative zinc finger in N-recognin (UBR box)")</f>
        <v>zf-UBR, Putative zinc finger in N-recognin (UBR box)</v>
      </c>
      <c r="CM469" s="15">
        <v>2.9999999999999999E-30</v>
      </c>
      <c r="CN469" s="2">
        <v>100</v>
      </c>
      <c r="CO469" s="2" t="s">
        <v>4948</v>
      </c>
      <c r="CP469" s="9" t="str">
        <f>HYPERLINK(".\links\SMART\AGAP000171-PA-SMART.txt","ZnF_UBR1, Putative zinc finger in N-recognin, a recognition component of the N-end rule pathway")</f>
        <v>ZnF_UBR1, Putative zinc finger in N-recognin, a recognition component of the N-end rule pathway</v>
      </c>
      <c r="CQ469" s="15">
        <v>2.0000000000000001E-26</v>
      </c>
      <c r="CR469" s="2">
        <v>98.6</v>
      </c>
      <c r="CS469" s="2" t="s">
        <v>4951</v>
      </c>
      <c r="CT469" s="2" t="s">
        <v>4946</v>
      </c>
      <c r="CU469" s="2" t="s">
        <v>4946</v>
      </c>
      <c r="CV469" s="2" t="s">
        <v>4946</v>
      </c>
      <c r="CW469" s="2" t="str">
        <f>HYPERLINK(".\links\pep\AGAP000171-PA-pep.txt","AGAP000171-PA")</f>
        <v>AGAP000171-PA</v>
      </c>
      <c r="CX469" s="2" t="s">
        <v>95</v>
      </c>
      <c r="CY469" s="2">
        <v>1334</v>
      </c>
      <c r="CZ469" s="2" t="s">
        <v>113</v>
      </c>
      <c r="DA469" s="2" t="s">
        <v>4952</v>
      </c>
      <c r="DB469" s="2">
        <v>0</v>
      </c>
      <c r="DC469" s="2">
        <v>5</v>
      </c>
      <c r="DD469" s="2" t="str">
        <f>HYPERLINK("https://www.kegg.jp/kegg-bin/search_pathway_text?map=aga&amp;keyword=AGAP000171&amp;mode=1&amp;viewImage=true","AGAP000171")</f>
        <v>AGAP000171</v>
      </c>
      <c r="DE469" s="2" t="s">
        <v>4942</v>
      </c>
      <c r="DF469" s="2" t="s">
        <v>4943</v>
      </c>
      <c r="DG469" s="2" t="s">
        <v>94</v>
      </c>
      <c r="DH469" s="2" t="str">
        <f>HYPERLINK("https://vectorbase.org/vectorbase/app/record/gene/AGAP000171","AGAP000171-RA")</f>
        <v>AGAP000171-RA</v>
      </c>
      <c r="DI469" s="2" t="s">
        <v>90</v>
      </c>
      <c r="DJ469" s="2">
        <v>10132</v>
      </c>
      <c r="DK469" s="2" t="str">
        <f>HYPERLINK(".\links\netoglyc\AGAP000171-PA-netoglyc.txt","0")</f>
        <v>0</v>
      </c>
      <c r="DL469" s="2">
        <v>9.8000000000000007</v>
      </c>
      <c r="DM469" s="2">
        <v>6.7</v>
      </c>
      <c r="DN469" s="2">
        <v>5.6</v>
      </c>
      <c r="DO469" s="2" t="s">
        <v>104</v>
      </c>
      <c r="DP469" s="2" t="s">
        <v>4953</v>
      </c>
      <c r="DQ469" s="2" t="str">
        <f>HYPERLINK(".\links\Sigp\AGAP000171-PA-SigP.txt","CYT")</f>
        <v>CYT</v>
      </c>
      <c r="DR469" s="2" t="s">
        <v>102</v>
      </c>
      <c r="DS469" s="2">
        <v>149.40899999999999</v>
      </c>
      <c r="DT469" s="2">
        <v>6.4</v>
      </c>
      <c r="DU469" s="2" t="s">
        <v>102</v>
      </c>
      <c r="DV469" s="2" t="s">
        <v>102</v>
      </c>
      <c r="DW469" s="2" t="s">
        <v>1143</v>
      </c>
      <c r="DX469" s="2">
        <v>1334</v>
      </c>
      <c r="DY469" s="12">
        <v>0</v>
      </c>
      <c r="DZ469" s="2" t="s">
        <v>102</v>
      </c>
      <c r="EA469" s="2" t="s">
        <v>102</v>
      </c>
      <c r="EB469" s="2" t="s">
        <v>102</v>
      </c>
      <c r="EC469" s="2" t="str">
        <f>HYPERLINK(".\links\gpi\AGAP000171-PA-gpi.txt","N")</f>
        <v>N</v>
      </c>
      <c r="ED469" s="2">
        <v>0.17</v>
      </c>
      <c r="EF469" s="2">
        <v>32</v>
      </c>
      <c r="EG469" s="2" t="str">
        <f>HYPERLINK(".\links\pep\AGAP000171-PA-sulf.txt","2")</f>
        <v>2</v>
      </c>
      <c r="EH469" s="2" t="s">
        <v>102</v>
      </c>
      <c r="EI469" s="2">
        <v>9.8200899550224907</v>
      </c>
      <c r="EJ469" s="2">
        <v>5.6221889055472296</v>
      </c>
      <c r="EK469" s="2">
        <v>6.7466266866566702</v>
      </c>
      <c r="EL469" s="2">
        <v>12.3688155922039</v>
      </c>
      <c r="EM469" s="2">
        <v>3</v>
      </c>
      <c r="EN469" s="2">
        <v>1</v>
      </c>
      <c r="EO469" s="2">
        <v>7</v>
      </c>
      <c r="EP469" s="2" t="s">
        <v>102</v>
      </c>
      <c r="EQ469" s="2" t="s">
        <v>102</v>
      </c>
      <c r="ER469" s="2" t="s">
        <v>102</v>
      </c>
      <c r="ES469" s="2" t="s">
        <v>102</v>
      </c>
      <c r="ET469" s="2" t="str">
        <f>HYPERLINK(".\links\REFSEQ-INVERTEBRATE\AGAP000171-PA-REFSEQ-INVERTEBRATE.txt","AGAP000171-PA")</f>
        <v>AGAP000171-PA</v>
      </c>
      <c r="EU469" s="2" t="str">
        <f>HYPERLINK("http://www.ncbi.nlm.nih.gov/sutils/blink.cgi?pid=XP_310967.5","0.0")</f>
        <v>0.0</v>
      </c>
      <c r="EV469" s="2" t="str">
        <f>HYPERLINK("http://www.ncbi.nlm.nih.gov/protein/XP_310967.5","XP_310967.5")</f>
        <v>XP_310967.5</v>
      </c>
      <c r="EW469" s="2">
        <v>99</v>
      </c>
      <c r="EX469" s="2">
        <v>99</v>
      </c>
      <c r="EY469" s="2">
        <v>53</v>
      </c>
      <c r="EZ469" s="2" t="s">
        <v>105</v>
      </c>
    </row>
    <row r="470" spans="1:156" x14ac:dyDescent="0.25">
      <c r="A470" s="2" t="s">
        <v>4954</v>
      </c>
      <c r="B470" s="2">
        <v>-0.40196479646171401</v>
      </c>
      <c r="C470" s="2">
        <f t="shared" si="7"/>
        <v>0.75682686376835351</v>
      </c>
      <c r="D470" s="2">
        <v>6.3214428151519604</v>
      </c>
      <c r="E470" s="2">
        <v>12.1738142817085</v>
      </c>
      <c r="F470" s="2">
        <v>4.8465098088216601E-4</v>
      </c>
      <c r="G470" s="2">
        <v>2.5271086860284401E-2</v>
      </c>
      <c r="H470" s="2" t="s">
        <v>4955</v>
      </c>
      <c r="I470" s="2" t="s">
        <v>94</v>
      </c>
      <c r="J470" s="2" t="str">
        <f>HYPERLINK("https://vectorbase.org/vectorbase/app/record/gene/AGAP002832","AGAP002832-RA")</f>
        <v>AGAP002832-RA</v>
      </c>
      <c r="K470" s="2" t="str">
        <f>HYPERLINK(".\links\pep\AGAP002832-PA-pep.txt","AGAP002832-PA")</f>
        <v>AGAP002832-PA</v>
      </c>
      <c r="L470" s="12" t="s">
        <v>95</v>
      </c>
      <c r="M470" s="2">
        <v>1085</v>
      </c>
      <c r="N470" s="2">
        <v>0</v>
      </c>
      <c r="O470" s="2">
        <v>2</v>
      </c>
      <c r="P470" s="2" t="s">
        <v>3036</v>
      </c>
      <c r="Q470" s="9" t="s">
        <v>4956</v>
      </c>
      <c r="R470" s="2" t="s">
        <v>164</v>
      </c>
      <c r="S470" s="2" t="str">
        <f>HYPERLINK(".\links\KOG\AGAP002832-PA-KOG.txt","KOG")</f>
        <v>KOG</v>
      </c>
      <c r="T470" s="2">
        <v>1.0000000000000001E-68</v>
      </c>
      <c r="U470" s="2">
        <v>48.3</v>
      </c>
      <c r="V470" s="2" t="s">
        <v>4957</v>
      </c>
      <c r="W470" s="10" t="s">
        <v>4958</v>
      </c>
      <c r="X470" s="2" t="s">
        <v>164</v>
      </c>
      <c r="Y470" s="2" t="str">
        <f>HYPERLINK(".\links\REFSEQVERTEBRATE95\AGAP002832-PA-REFSEQVERTEBRATE95.txt","REFSEQVERTEBRATE95")</f>
        <v>REFSEQVERTEBRATE95</v>
      </c>
      <c r="Z470" s="2">
        <v>0</v>
      </c>
      <c r="AA470" s="2">
        <v>53.2</v>
      </c>
      <c r="AB470" s="13" t="str">
        <f>HYPERLINK(".\links\pep\AGAP002832-PA-sulf.txt","3")</f>
        <v>3</v>
      </c>
      <c r="AC470" s="13" t="str">
        <f>HYPERLINK(".\links\Sigp\AGAP002832-PA-SigP.txt","CYT")</f>
        <v>CYT</v>
      </c>
      <c r="AD470" s="2" t="s">
        <v>102</v>
      </c>
      <c r="AE470" s="2">
        <v>121.83199999999999</v>
      </c>
      <c r="AF470" s="2">
        <v>5.84</v>
      </c>
      <c r="AG470" s="2" t="s">
        <v>102</v>
      </c>
      <c r="AH470" s="2" t="s">
        <v>102</v>
      </c>
      <c r="AI470" s="2" t="s">
        <v>4959</v>
      </c>
      <c r="AJ470" s="13" t="str">
        <f>HYPERLINK(".\links\tmhmm\AGAP002832-PA-tmhmm.txt","1")</f>
        <v>1</v>
      </c>
      <c r="AK470" s="2">
        <v>2</v>
      </c>
      <c r="AL470" s="2">
        <v>68.099999999999994</v>
      </c>
      <c r="AM470" s="2">
        <v>29.9</v>
      </c>
      <c r="AN470" s="13" t="str">
        <f>HYPERLINK(".\links\gpi\AGAP002832-PA-gpi.txt","N")</f>
        <v>N</v>
      </c>
      <c r="AO470" s="14" t="str">
        <f>HYPERLINK(".\links\netoglyc\AGAP002832-PA-netoglyc.txt","21")</f>
        <v>21</v>
      </c>
      <c r="AP470" s="13">
        <v>13.7</v>
      </c>
      <c r="AQ470" s="2">
        <v>6</v>
      </c>
      <c r="AR470" s="2">
        <v>6.7</v>
      </c>
      <c r="AS470" s="2" t="s">
        <v>104</v>
      </c>
      <c r="AT470" s="9" t="str">
        <f>HYPERLINK(".\links\NR-LIGHT\AGAP002832-PA-NR-LIGHT.txt","AGAP002832-PA")</f>
        <v>AGAP002832-PA</v>
      </c>
      <c r="AU470" s="2" t="str">
        <f>HYPERLINK("http://www.ncbi.nlm.nih.gov/sutils/blink.cgi?pid=XP_312081.5","0.0")</f>
        <v>0.0</v>
      </c>
      <c r="AV470" s="2" t="str">
        <f>HYPERLINK("http://www.ncbi.nlm.nih.gov/protein/XP_312081.5","XP_312081.5")</f>
        <v>XP_312081.5</v>
      </c>
      <c r="AW470" s="2">
        <v>100</v>
      </c>
      <c r="AX470" s="2">
        <v>100</v>
      </c>
      <c r="AY470" s="2">
        <v>100</v>
      </c>
      <c r="AZ470" s="2" t="s">
        <v>105</v>
      </c>
      <c r="BA470" s="9" t="str">
        <f>HYPERLINK(".\links\REFSEQ-INVERTEBRATE\AGAP002832-PA-REFSEQ-INVERTEBRATE.txt","AGAP002832-PA")</f>
        <v>AGAP002832-PA</v>
      </c>
      <c r="BB470" s="2" t="str">
        <f>HYPERLINK("http://www.ncbi.nlm.nih.gov/sutils/blink.cgi?pid=XP_312081.5","0.0")</f>
        <v>0.0</v>
      </c>
      <c r="BC470" s="2" t="str">
        <f>HYPERLINK("http://www.ncbi.nlm.nih.gov/protein/XP_312081.5","XP_312081.5")</f>
        <v>XP_312081.5</v>
      </c>
      <c r="BD470" s="2">
        <v>100</v>
      </c>
      <c r="BE470" s="2">
        <v>100</v>
      </c>
      <c r="BF470" s="2">
        <v>100</v>
      </c>
      <c r="BG470" s="2" t="s">
        <v>105</v>
      </c>
      <c r="BH470" s="9" t="str">
        <f>HYPERLINK(".\links\REFSEQ-PROTOZOA\AGAP002832-PA-REFSEQ-PROTOZOA.txt","receptor-linked protein tyrosine phosphatase")</f>
        <v>receptor-linked protein tyrosine phosphatase</v>
      </c>
      <c r="BI470" s="2" t="str">
        <f>HYPERLINK("http://www.ncbi.nlm.nih.gov/sutils/blink.cgi?pid=XP_004365141.2","7E-088")</f>
        <v>7E-088</v>
      </c>
      <c r="BJ470" s="2" t="str">
        <f>HYPERLINK("http://www.ncbi.nlm.nih.gov/protein/XP_004365141.2","XP_004365141.2")</f>
        <v>XP_004365141.2</v>
      </c>
      <c r="BK470" s="2">
        <v>30</v>
      </c>
      <c r="BL470" s="2">
        <v>45</v>
      </c>
      <c r="BM470" s="2">
        <v>42</v>
      </c>
      <c r="BN470" s="2" t="s">
        <v>106</v>
      </c>
      <c r="BO470" s="9" t="str">
        <f>HYPERLINK(".\links\SWISSP\AGAP002832-PA-SWISSP.txt","Tyrosine-protein phosphatase 99A")</f>
        <v>Tyrosine-protein phosphatase 99A</v>
      </c>
      <c r="BP470" s="2" t="str">
        <f>HYPERLINK("http://www.uniprot.org/uniprot/P35832","0.0")</f>
        <v>0.0</v>
      </c>
      <c r="BQ470" s="2" t="str">
        <f>HYPERLINK("http://www.uniprot.org/uniprot/P35832#expression","P35832")</f>
        <v>P35832</v>
      </c>
      <c r="BR470" s="2">
        <v>59</v>
      </c>
      <c r="BS470" s="2">
        <v>74</v>
      </c>
      <c r="BT470" s="2">
        <v>80</v>
      </c>
      <c r="BU470" s="2" t="s">
        <v>107</v>
      </c>
      <c r="BV470" s="9" t="str">
        <f>HYPERLINK(".\links\FLYBASE\AGAP002832-PA-FLYBASE.txt","FBpp0084792")</f>
        <v>FBpp0084792</v>
      </c>
      <c r="BW470" s="2" t="str">
        <f>HYPERLINK("http://flybase.org/reports/FBgn0004369#alliance_summary_container","0.0")</f>
        <v>0.0</v>
      </c>
      <c r="BX470" s="2">
        <v>1297</v>
      </c>
      <c r="BY470" s="2">
        <v>63</v>
      </c>
      <c r="BZ470" s="2">
        <v>79</v>
      </c>
      <c r="CA470" s="2">
        <v>73</v>
      </c>
      <c r="CB470" s="9" t="str">
        <f>HYPERLINK(".\links\CDD\AGAP002832-PA-CDD.txt","PTPc, Protein tyrosine phosphatase, catalytic domain")</f>
        <v>PTPc, Protein tyrosine phosphatase, catalytic domain</v>
      </c>
      <c r="CC470" s="15">
        <v>4.0000000000000001E-97</v>
      </c>
      <c r="CD470" s="2">
        <v>103.5</v>
      </c>
      <c r="CE470" s="2" t="s">
        <v>4960</v>
      </c>
      <c r="CF470" s="2" t="s">
        <v>4961</v>
      </c>
      <c r="CG470" s="9" t="str">
        <f>HYPERLINK(".\links\KOG\AGAP002832-PA-KOG.txt","Protein tyrosine phosphatase")</f>
        <v>Protein tyrosine phosphatase</v>
      </c>
      <c r="CH470" s="15">
        <v>9.9999999999999998E-138</v>
      </c>
      <c r="CI470" s="2">
        <v>76.8</v>
      </c>
      <c r="CJ470" s="2" t="s">
        <v>4962</v>
      </c>
      <c r="CK470" s="2" t="s">
        <v>173</v>
      </c>
      <c r="CL470" s="9" t="str">
        <f>HYPERLINK(".\links\PFAM\AGAP002832-PA-PFAM.txt","Y_phosphatase, Protein-tyrosine phosphatase")</f>
        <v>Y_phosphatase, Protein-tyrosine phosphatase</v>
      </c>
      <c r="CM470" s="15">
        <v>1.9999999999999998E-93</v>
      </c>
      <c r="CN470" s="2">
        <v>103.9</v>
      </c>
      <c r="CO470" s="2" t="s">
        <v>4963</v>
      </c>
      <c r="CP470" s="9" t="str">
        <f>HYPERLINK(".\links\SMART\AGAP002832-PA-SMART.txt","PTPc, Protein tyrosine phosphatase, catalytic domain")</f>
        <v>PTPc, Protein tyrosine phosphatase, catalytic domain</v>
      </c>
      <c r="CQ470" s="15">
        <v>3.0000000000000001E-99</v>
      </c>
      <c r="CR470" s="2">
        <v>103.5</v>
      </c>
      <c r="CS470" s="2" t="s">
        <v>4960</v>
      </c>
      <c r="CT470" s="2" t="s">
        <v>4957</v>
      </c>
      <c r="CU470" s="2" t="s">
        <v>4957</v>
      </c>
      <c r="CV470" s="2" t="s">
        <v>4957</v>
      </c>
      <c r="CW470" s="2" t="str">
        <f>HYPERLINK(".\links\pep\AGAP002832-PA-pep.txt","AGAP002832-PA")</f>
        <v>AGAP002832-PA</v>
      </c>
      <c r="CX470" s="2" t="s">
        <v>95</v>
      </c>
      <c r="CY470" s="2">
        <v>1085</v>
      </c>
      <c r="CZ470" s="2" t="s">
        <v>113</v>
      </c>
      <c r="DA470" s="2" t="s">
        <v>4964</v>
      </c>
      <c r="DB470" s="2">
        <v>0</v>
      </c>
      <c r="DC470" s="2">
        <v>2</v>
      </c>
      <c r="DD470" s="2" t="str">
        <f>HYPERLINK("https://www.kegg.jp/kegg-bin/search_pathway_text?map=aga&amp;keyword=AGAP002832&amp;mode=1&amp;viewImage=true","AGAP002832")</f>
        <v>AGAP002832</v>
      </c>
      <c r="DE470" s="2" t="s">
        <v>4954</v>
      </c>
      <c r="DF470" s="2" t="s">
        <v>4955</v>
      </c>
      <c r="DG470" s="2" t="s">
        <v>94</v>
      </c>
      <c r="DH470" s="2" t="str">
        <f>HYPERLINK("https://vectorbase.org/vectorbase/app/record/gene/AGAP002832","AGAP002832-RA")</f>
        <v>AGAP002832-RA</v>
      </c>
      <c r="DI470" s="2" t="s">
        <v>135</v>
      </c>
      <c r="DJ470" s="2">
        <v>3496</v>
      </c>
      <c r="DK470" s="2" t="str">
        <f>HYPERLINK(".\links\netoglyc\AGAP002832-PA-netoglyc.txt","21")</f>
        <v>21</v>
      </c>
      <c r="DL470" s="2">
        <v>13.7</v>
      </c>
      <c r="DM470" s="2">
        <v>6</v>
      </c>
      <c r="DN470" s="2">
        <v>6.7</v>
      </c>
      <c r="DO470" s="2" t="s">
        <v>104</v>
      </c>
      <c r="DP470" s="2" t="s">
        <v>102</v>
      </c>
      <c r="DQ470" s="2" t="str">
        <f>HYPERLINK(".\links\Sigp\AGAP002832-PA-SigP.txt","CYT")</f>
        <v>CYT</v>
      </c>
      <c r="DR470" s="2" t="s">
        <v>102</v>
      </c>
      <c r="DS470" s="2">
        <v>121.83199999999999</v>
      </c>
      <c r="DT470" s="2">
        <v>5.84</v>
      </c>
      <c r="DU470" s="2" t="s">
        <v>102</v>
      </c>
      <c r="DV470" s="2" t="s">
        <v>102</v>
      </c>
      <c r="DW470" s="2" t="s">
        <v>4959</v>
      </c>
      <c r="DX470" s="2">
        <v>1085</v>
      </c>
      <c r="DY470" s="12" t="str">
        <f>HYPERLINK(".\links\tmhmm\AGAP002832-PA-tmhmm.txt","1")</f>
        <v>1</v>
      </c>
      <c r="DZ470" s="2">
        <v>2</v>
      </c>
      <c r="EA470" s="2">
        <v>68.099999999999994</v>
      </c>
      <c r="EB470" s="2">
        <v>29.9</v>
      </c>
      <c r="EC470" s="2" t="str">
        <f>HYPERLINK(".\links\gpi\AGAP002832-PA-gpi.txt","Y-NoSP")</f>
        <v>Y-NoSP</v>
      </c>
      <c r="ED470" s="2">
        <v>0.2</v>
      </c>
      <c r="EF470" s="2">
        <v>14</v>
      </c>
      <c r="EG470" s="2" t="str">
        <f>HYPERLINK(".\links\pep\AGAP002832-PA-sulf.txt","3")</f>
        <v>3</v>
      </c>
      <c r="EH470" s="2" t="s">
        <v>102</v>
      </c>
      <c r="EI470" s="2">
        <v>13.732718894009199</v>
      </c>
      <c r="EJ470" s="2">
        <v>6.7281105990783399</v>
      </c>
      <c r="EK470" s="2">
        <v>5.99078341013825</v>
      </c>
      <c r="EL470" s="2">
        <v>12.7188940092166</v>
      </c>
      <c r="EM470" s="2">
        <v>3</v>
      </c>
      <c r="EN470" s="2">
        <v>2</v>
      </c>
      <c r="EO470" s="2">
        <v>7</v>
      </c>
      <c r="EP470" s="2" t="s">
        <v>102</v>
      </c>
      <c r="EQ470" s="2" t="s">
        <v>102</v>
      </c>
      <c r="ER470" s="2" t="s">
        <v>102</v>
      </c>
      <c r="ES470" s="2" t="s">
        <v>102</v>
      </c>
      <c r="ET470" s="2" t="str">
        <f>HYPERLINK(".\links\REFSEQ-INVERTEBRATE\AGAP002832-PA-REFSEQ-INVERTEBRATE.txt","AGAP002832-PA")</f>
        <v>AGAP002832-PA</v>
      </c>
      <c r="EU470" s="2" t="str">
        <f>HYPERLINK("http://www.ncbi.nlm.nih.gov/sutils/blink.cgi?pid=XP_312081.5","0.0")</f>
        <v>0.0</v>
      </c>
      <c r="EV470" s="2" t="str">
        <f>HYPERLINK("http://www.ncbi.nlm.nih.gov/protein/XP_312081.5","XP_312081.5")</f>
        <v>XP_312081.5</v>
      </c>
      <c r="EW470" s="2">
        <v>100</v>
      </c>
      <c r="EX470" s="2">
        <v>100</v>
      </c>
      <c r="EY470" s="2">
        <v>100</v>
      </c>
      <c r="EZ470" s="2" t="s">
        <v>105</v>
      </c>
    </row>
    <row r="471" spans="1:156" x14ac:dyDescent="0.25">
      <c r="A471" s="2" t="s">
        <v>4965</v>
      </c>
      <c r="B471" s="2">
        <v>-0.40569345978118398</v>
      </c>
      <c r="C471" s="2">
        <f t="shared" si="7"/>
        <v>0.75487336081723944</v>
      </c>
      <c r="D471" s="2">
        <v>5.5045742167891101</v>
      </c>
      <c r="E471" s="2">
        <v>15.5540794278776</v>
      </c>
      <c r="F471" s="2">
        <v>8.0178453718793605E-5</v>
      </c>
      <c r="G471" s="2">
        <v>9.5872350077669498E-3</v>
      </c>
      <c r="H471" s="2" t="s">
        <v>93</v>
      </c>
      <c r="I471" s="2" t="s">
        <v>94</v>
      </c>
      <c r="J471" s="2" t="str">
        <f>HYPERLINK("https://vectorbase.org/vectorbase/app/record/gene/AGAP013524","AGAP013524-RA")</f>
        <v>AGAP013524-RA</v>
      </c>
      <c r="K471" s="2" t="str">
        <f>HYPERLINK(".\links\pep\AGAP013524-PA-pep.txt","AGAP013524-PA")</f>
        <v>AGAP013524-PA</v>
      </c>
      <c r="L471" s="12" t="s">
        <v>95</v>
      </c>
      <c r="M471" s="2">
        <v>605</v>
      </c>
      <c r="N471" s="2">
        <v>0</v>
      </c>
      <c r="O471" s="2">
        <v>1</v>
      </c>
      <c r="P471" s="2" t="s">
        <v>102</v>
      </c>
      <c r="Q471" s="9" t="s">
        <v>4966</v>
      </c>
      <c r="R471" s="2" t="s">
        <v>672</v>
      </c>
      <c r="S471" s="2" t="str">
        <f>HYPERLINK(".\links\NR-LIGHT\AGAP013524-PA-NR-LIGHT.txt","NR-LIGHT")</f>
        <v>NR-LIGHT</v>
      </c>
      <c r="T471" s="2">
        <v>0</v>
      </c>
      <c r="U471" s="2">
        <v>106.9</v>
      </c>
      <c r="V471" s="2" t="s">
        <v>4967</v>
      </c>
      <c r="W471" s="10" t="s">
        <v>4968</v>
      </c>
      <c r="X471" s="2" t="s">
        <v>196</v>
      </c>
      <c r="Y471" s="2" t="str">
        <f>HYPERLINK(".\links\ARTHORPODA\AGAP013524-PA-ARTHORPODA.txt","ARTHORPODA")</f>
        <v>ARTHORPODA</v>
      </c>
      <c r="Z471" s="2">
        <v>0</v>
      </c>
      <c r="AA471" s="2">
        <v>97.5</v>
      </c>
      <c r="AB471" s="13" t="s">
        <v>102</v>
      </c>
      <c r="AC471" s="13" t="str">
        <f>HYPERLINK(".\links\Sigp\AGAP013524-PA-SigP.txt","CYT")</f>
        <v>CYT</v>
      </c>
      <c r="AD471" s="2" t="s">
        <v>102</v>
      </c>
      <c r="AE471" s="2">
        <v>65.641999999999996</v>
      </c>
      <c r="AF471" s="2">
        <v>5.78</v>
      </c>
      <c r="AG471" s="2" t="s">
        <v>102</v>
      </c>
      <c r="AH471" s="2" t="s">
        <v>102</v>
      </c>
      <c r="AI471" s="2" t="s">
        <v>2908</v>
      </c>
      <c r="AJ471" s="13">
        <v>0</v>
      </c>
      <c r="AK471" s="2" t="s">
        <v>102</v>
      </c>
      <c r="AL471" s="2" t="s">
        <v>102</v>
      </c>
      <c r="AM471" s="2" t="s">
        <v>102</v>
      </c>
      <c r="AN471" s="13" t="str">
        <f>HYPERLINK(".\links\gpi\AGAP013524-PA-gpi.txt","N")</f>
        <v>N</v>
      </c>
      <c r="AO471" s="14" t="str">
        <f>HYPERLINK(".\links\netoglyc\AGAP013524-PA-netoglyc.txt","18")</f>
        <v>18</v>
      </c>
      <c r="AP471" s="13">
        <v>17.899999999999999</v>
      </c>
      <c r="AQ471" s="2">
        <v>8.4</v>
      </c>
      <c r="AR471" s="2">
        <v>5</v>
      </c>
      <c r="AS471" s="2" t="s">
        <v>104</v>
      </c>
      <c r="AT471" s="9" t="str">
        <f>HYPERLINK(".\links\NR-LIGHT\AGAP013524-PA-NR-LIGHT.txt","AGAP013524-PA")</f>
        <v>AGAP013524-PA</v>
      </c>
      <c r="AU471" s="2" t="str">
        <f>HYPERLINK("http://www.ncbi.nlm.nih.gov/sutils/blink.cgi?pid=XP_003436726.1","0.0")</f>
        <v>0.0</v>
      </c>
      <c r="AV471" s="2" t="str">
        <f>HYPERLINK("http://www.ncbi.nlm.nih.gov/protein/XP_003436726.1","XP_003436726.1")</f>
        <v>XP_003436726.1</v>
      </c>
      <c r="AW471" s="2">
        <v>100</v>
      </c>
      <c r="AX471" s="2">
        <v>100</v>
      </c>
      <c r="AY471" s="2">
        <v>100</v>
      </c>
      <c r="AZ471" s="2" t="s">
        <v>105</v>
      </c>
      <c r="BA471" s="9" t="str">
        <f>HYPERLINK(".\links\REFSEQ-INVERTEBRATE\AGAP013524-PA-REFSEQ-INVERTEBRATE.txt","AGAP013524-PA")</f>
        <v>AGAP013524-PA</v>
      </c>
      <c r="BB471" s="2" t="str">
        <f>HYPERLINK("http://www.ncbi.nlm.nih.gov/sutils/blink.cgi?pid=XP_003436726.1","0.0")</f>
        <v>0.0</v>
      </c>
      <c r="BC471" s="2" t="str">
        <f>HYPERLINK("http://www.ncbi.nlm.nih.gov/protein/XP_003436726.1","XP_003436726.1")</f>
        <v>XP_003436726.1</v>
      </c>
      <c r="BD471" s="2">
        <v>100</v>
      </c>
      <c r="BE471" s="2">
        <v>100</v>
      </c>
      <c r="BF471" s="2">
        <v>100</v>
      </c>
      <c r="BG471" s="2" t="s">
        <v>105</v>
      </c>
      <c r="BH471" s="9" t="str">
        <f>HYPERLINK(".\links\REFSEQ-PROTOZOA\AGAP013524-PA-REFSEQ-PROTOZOA.txt","hypothetical protein EMH_0034610")</f>
        <v>hypothetical protein EMH_0034610</v>
      </c>
      <c r="BI471" s="2" t="str">
        <f>HYPERLINK("http://www.ncbi.nlm.nih.gov/sutils/blink.cgi?pid=XP_013350343.1","1E-013")</f>
        <v>1E-013</v>
      </c>
      <c r="BJ471" s="2" t="str">
        <f>HYPERLINK("http://www.ncbi.nlm.nih.gov/protein/XP_013350343.1","XP_013350343.1")</f>
        <v>XP_013350343.1</v>
      </c>
      <c r="BK471" s="2">
        <v>35</v>
      </c>
      <c r="BL471" s="2">
        <v>48</v>
      </c>
      <c r="BM471" s="2">
        <v>72</v>
      </c>
      <c r="BN471" s="2" t="s">
        <v>568</v>
      </c>
      <c r="BO471" s="9" t="str">
        <f>HYPERLINK(".\links\SWISSP\AGAP013524-PA-SWISSP.txt","G-box-binding factor")</f>
        <v>G-box-binding factor</v>
      </c>
      <c r="BP471" s="2" t="str">
        <f>HYPERLINK("http://www.uniprot.org/uniprot/P36417","4E-011")</f>
        <v>4E-011</v>
      </c>
      <c r="BQ471" s="2" t="str">
        <f>HYPERLINK("http://www.uniprot.org/uniprot/P36417#expression","P36417")</f>
        <v>P36417</v>
      </c>
      <c r="BR471" s="2">
        <v>30</v>
      </c>
      <c r="BS471" s="2">
        <v>45</v>
      </c>
      <c r="BT471" s="2">
        <v>19</v>
      </c>
      <c r="BU471" s="2" t="s">
        <v>1919</v>
      </c>
      <c r="BV471" s="9"/>
      <c r="CB471" s="9" t="str">
        <f>HYPERLINK(".\links\CDD\AGAP013524-PA-CDD.txt","zf-AD, Zinc-finger associated domain (zf-AD)")</f>
        <v>zf-AD, Zinc-finger associated domain (zf-AD)</v>
      </c>
      <c r="CC471" s="15">
        <v>4.0000000000000003E-15</v>
      </c>
      <c r="CD471" s="2">
        <v>102.7</v>
      </c>
      <c r="CE471" s="2" t="s">
        <v>684</v>
      </c>
      <c r="CF471" s="2" t="s">
        <v>4969</v>
      </c>
      <c r="CG471" s="9" t="str">
        <f>HYPERLINK(".\links\KOG\AGAP013524-PA-KOG.txt","subunit 3")</f>
        <v>subunit 3</v>
      </c>
      <c r="CH471" s="15">
        <v>6.0000000000000002E-6</v>
      </c>
      <c r="CI471" s="2">
        <v>6</v>
      </c>
      <c r="CJ471" s="2" t="s">
        <v>4970</v>
      </c>
      <c r="CK471" s="2" t="s">
        <v>309</v>
      </c>
      <c r="CL471" s="9" t="str">
        <f>HYPERLINK(".\links\PFAM\AGAP013524-PA-PFAM.txt","zf-AD, Zinc-finger associated domain (zf-AD)")</f>
        <v>zf-AD, Zinc-finger associated domain (zf-AD)</v>
      </c>
      <c r="CM471" s="15">
        <v>2E-14</v>
      </c>
      <c r="CN471" s="2">
        <v>102.7</v>
      </c>
      <c r="CO471" s="2" t="s">
        <v>687</v>
      </c>
      <c r="CP471" s="9" t="str">
        <f>HYPERLINK(".\links\SMART\AGAP013524-PA-SMART.txt","zf-AD, Zinc-finger associated domain (zf-AD)")</f>
        <v>zf-AD, Zinc-finger associated domain (zf-AD)</v>
      </c>
      <c r="CQ471" s="15">
        <v>3.0000000000000001E-17</v>
      </c>
      <c r="CR471" s="2">
        <v>102.7</v>
      </c>
      <c r="CS471" s="2" t="s">
        <v>684</v>
      </c>
      <c r="CT471" s="2" t="s">
        <v>4967</v>
      </c>
      <c r="CU471" s="2" t="s">
        <v>4967</v>
      </c>
      <c r="CV471" s="2" t="s">
        <v>4967</v>
      </c>
      <c r="CW471" s="2" t="str">
        <f>HYPERLINK(".\links\pep\AGAP013524-PA-pep.txt","AGAP013524-PA")</f>
        <v>AGAP013524-PA</v>
      </c>
      <c r="CX471" s="2" t="s">
        <v>95</v>
      </c>
      <c r="CY471" s="2">
        <v>605</v>
      </c>
      <c r="CZ471" s="2" t="s">
        <v>113</v>
      </c>
      <c r="DA471" s="2" t="s">
        <v>4971</v>
      </c>
      <c r="DB471" s="2">
        <v>0</v>
      </c>
      <c r="DC471" s="2">
        <v>1</v>
      </c>
      <c r="DD471" s="2" t="str">
        <f>HYPERLINK("https://www.kegg.jp/kegg-bin/search_pathway_text?map=aga&amp;keyword=AGAP013524&amp;mode=1&amp;viewImage=true","AGAP013524")</f>
        <v>AGAP013524</v>
      </c>
      <c r="DE471" s="2" t="s">
        <v>4965</v>
      </c>
      <c r="DF471" s="2" t="s">
        <v>93</v>
      </c>
      <c r="DG471" s="2" t="s">
        <v>94</v>
      </c>
      <c r="DH471" s="2" t="str">
        <f>HYPERLINK("https://vectorbase.org/vectorbase/app/record/gene/AGAP013524","AGAP013524-RA")</f>
        <v>AGAP013524-RA</v>
      </c>
      <c r="DI471" s="2" t="s">
        <v>115</v>
      </c>
      <c r="DJ471" s="2">
        <v>3290</v>
      </c>
      <c r="DK471" s="2" t="str">
        <f>HYPERLINK(".\links\netoglyc\AGAP013524-PA-netoglyc.txt","18")</f>
        <v>18</v>
      </c>
      <c r="DL471" s="2">
        <v>17.899999999999999</v>
      </c>
      <c r="DM471" s="2">
        <v>8.4</v>
      </c>
      <c r="DN471" s="2">
        <v>5</v>
      </c>
      <c r="DO471" s="2" t="s">
        <v>104</v>
      </c>
      <c r="DP471" s="2" t="s">
        <v>102</v>
      </c>
      <c r="DQ471" s="2" t="str">
        <f>HYPERLINK(".\links\Sigp\AGAP013524-PA-SigP.txt","CYT")</f>
        <v>CYT</v>
      </c>
      <c r="DR471" s="2" t="s">
        <v>102</v>
      </c>
      <c r="DS471" s="2">
        <v>65.644999999999996</v>
      </c>
      <c r="DT471" s="2">
        <v>5.78</v>
      </c>
      <c r="DU471" s="2" t="s">
        <v>102</v>
      </c>
      <c r="DV471" s="2" t="s">
        <v>102</v>
      </c>
      <c r="DW471" s="2" t="s">
        <v>2908</v>
      </c>
      <c r="DX471" s="2">
        <v>605</v>
      </c>
      <c r="DY471" s="12">
        <v>0</v>
      </c>
      <c r="DZ471" s="2" t="s">
        <v>102</v>
      </c>
      <c r="EA471" s="2" t="s">
        <v>102</v>
      </c>
      <c r="EB471" s="2" t="s">
        <v>102</v>
      </c>
      <c r="EC471" s="2" t="str">
        <f>HYPERLINK(".\links\gpi\AGAP013524-PA-gpi.txt","N")</f>
        <v>N</v>
      </c>
      <c r="ED471" s="2">
        <v>0.28000000000000003</v>
      </c>
      <c r="EF471" s="2">
        <v>9</v>
      </c>
      <c r="EG471" s="2" t="s">
        <v>102</v>
      </c>
      <c r="EH471" s="2" t="s">
        <v>102</v>
      </c>
      <c r="EI471" s="2">
        <v>17.851239669421499</v>
      </c>
      <c r="EJ471" s="2">
        <v>4.95867768595041</v>
      </c>
      <c r="EK471" s="2">
        <v>8.4297520661157002</v>
      </c>
      <c r="EL471" s="2">
        <v>13.3884297520661</v>
      </c>
      <c r="EM471" s="2" t="s">
        <v>102</v>
      </c>
      <c r="EN471" s="2">
        <v>1</v>
      </c>
      <c r="EO471" s="2">
        <v>2</v>
      </c>
      <c r="EP471" s="2" t="s">
        <v>102</v>
      </c>
      <c r="EQ471" s="2" t="s">
        <v>102</v>
      </c>
      <c r="ER471" s="2" t="s">
        <v>102</v>
      </c>
      <c r="ES471" s="2" t="s">
        <v>102</v>
      </c>
      <c r="ET471" s="2" t="str">
        <f>HYPERLINK(".\links\REFSEQ-INVERTEBRATE\AGAP013524-PA-REFSEQ-INVERTEBRATE.txt","AGAP013524-PA")</f>
        <v>AGAP013524-PA</v>
      </c>
      <c r="EU471" s="2" t="str">
        <f>HYPERLINK("http://www.ncbi.nlm.nih.gov/sutils/blink.cgi?pid=XP_003436726.1","0.0")</f>
        <v>0.0</v>
      </c>
      <c r="EV471" s="2" t="str">
        <f>HYPERLINK("http://www.ncbi.nlm.nih.gov/protein/XP_003436726.1","XP_003436726.1")</f>
        <v>XP_003436726.1</v>
      </c>
      <c r="EW471" s="2">
        <v>100</v>
      </c>
      <c r="EX471" s="2">
        <v>100</v>
      </c>
      <c r="EY471" s="2">
        <v>100</v>
      </c>
      <c r="EZ471" s="2" t="s">
        <v>105</v>
      </c>
    </row>
    <row r="472" spans="1:156" x14ac:dyDescent="0.25">
      <c r="A472" s="2" t="s">
        <v>4972</v>
      </c>
      <c r="B472" s="2">
        <v>-0.40598637277020799</v>
      </c>
      <c r="C472" s="2">
        <f t="shared" si="7"/>
        <v>0.75472011306820186</v>
      </c>
      <c r="D472" s="2">
        <v>7.5647302963501204</v>
      </c>
      <c r="E472" s="2">
        <v>14.8803683504406</v>
      </c>
      <c r="F472" s="2">
        <v>1.14548908138277E-4</v>
      </c>
      <c r="G472" s="2">
        <v>1.12503193640794E-2</v>
      </c>
      <c r="H472" s="2" t="s">
        <v>4973</v>
      </c>
      <c r="I472" s="2" t="s">
        <v>94</v>
      </c>
      <c r="J472" s="2" t="str">
        <f>HYPERLINK("https://vectorbase.org/vectorbase/app/record/gene/AGAP011831","AGAP011831-RA")</f>
        <v>AGAP011831-RA</v>
      </c>
      <c r="K472" s="2" t="str">
        <f>HYPERLINK(".\links\pep\AGAP011831-PA-pep.txt","AGAP011831-PA")</f>
        <v>AGAP011831-PA</v>
      </c>
      <c r="L472" s="12" t="s">
        <v>95</v>
      </c>
      <c r="M472" s="2">
        <v>606</v>
      </c>
      <c r="N472" s="2">
        <v>0</v>
      </c>
      <c r="O472" s="2">
        <v>2</v>
      </c>
      <c r="P472" s="2" t="s">
        <v>4974</v>
      </c>
      <c r="Q472" s="9" t="s">
        <v>4975</v>
      </c>
      <c r="R472" s="2" t="s">
        <v>196</v>
      </c>
      <c r="S472" s="2" t="str">
        <f>HYPERLINK(".\links\REFSEQ-INVERTEBRATE\AGAP011831-PA-REFSEQ-INVERTEBRATE.txt","REFSEQ-INVERTEBRATE")</f>
        <v>REFSEQ-INVERTEBRATE</v>
      </c>
      <c r="T472" s="2">
        <v>0</v>
      </c>
      <c r="U472" s="2">
        <v>100</v>
      </c>
      <c r="V472" s="2" t="s">
        <v>4976</v>
      </c>
      <c r="W472" s="10" t="s">
        <v>4977</v>
      </c>
      <c r="X472" s="2" t="s">
        <v>420</v>
      </c>
      <c r="Y472" s="2" t="str">
        <f>HYPERLINK(".\links\UNIPROTKB\AGAP011831-PA-UNIPROTKB.txt","UNIPROTKB")</f>
        <v>UNIPROTKB</v>
      </c>
      <c r="Z472" s="15">
        <v>1.9999999999999999E-48</v>
      </c>
      <c r="AA472" s="2">
        <v>46.4</v>
      </c>
      <c r="AB472" s="13" t="s">
        <v>102</v>
      </c>
      <c r="AC472" s="13" t="str">
        <f>HYPERLINK(".\links\Sigp\AGAP011831-PA-SigP.txt","CYT")</f>
        <v>CYT</v>
      </c>
      <c r="AD472" s="2" t="s">
        <v>102</v>
      </c>
      <c r="AE472" s="2">
        <v>66.393000000000001</v>
      </c>
      <c r="AF472" s="2">
        <v>4.51</v>
      </c>
      <c r="AG472" s="2" t="s">
        <v>102</v>
      </c>
      <c r="AH472" s="2" t="s">
        <v>102</v>
      </c>
      <c r="AI472" s="2" t="s">
        <v>211</v>
      </c>
      <c r="AJ472" s="13">
        <v>0</v>
      </c>
      <c r="AK472" s="2" t="s">
        <v>102</v>
      </c>
      <c r="AL472" s="2" t="s">
        <v>102</v>
      </c>
      <c r="AM472" s="2" t="s">
        <v>102</v>
      </c>
      <c r="AN472" s="13" t="str">
        <f>HYPERLINK(".\links\gpi\AGAP011831-PA-gpi.txt","N")</f>
        <v>N</v>
      </c>
      <c r="AO472" s="14" t="str">
        <f>HYPERLINK(".\links\netoglyc\AGAP011831-PA-netoglyc.txt","12")</f>
        <v>12</v>
      </c>
      <c r="AP472" s="13">
        <v>15.2</v>
      </c>
      <c r="AQ472" s="2">
        <v>5.6</v>
      </c>
      <c r="AR472" s="2">
        <v>8.9</v>
      </c>
      <c r="AS472" s="2">
        <v>0.5</v>
      </c>
      <c r="AT472" s="9" t="str">
        <f>HYPERLINK(".\links\NR-LIGHT\AGAP011831-PA-NR-LIGHT.txt","AGAP011831-PA, partial")</f>
        <v>AGAP011831-PA, partial</v>
      </c>
      <c r="AU472" s="2" t="str">
        <f>HYPERLINK("http://www.ncbi.nlm.nih.gov/sutils/blink.cgi?pid=XP_001689281.1","0.0")</f>
        <v>0.0</v>
      </c>
      <c r="AV472" s="2" t="str">
        <f>HYPERLINK("http://www.ncbi.nlm.nih.gov/protein/XP_001689281.1","XP_001689281.1")</f>
        <v>XP_001689281.1</v>
      </c>
      <c r="AW472" s="2">
        <v>100</v>
      </c>
      <c r="AX472" s="2">
        <v>100</v>
      </c>
      <c r="AY472" s="2">
        <v>100</v>
      </c>
      <c r="AZ472" s="2" t="s">
        <v>105</v>
      </c>
      <c r="BA472" s="9" t="str">
        <f>HYPERLINK(".\links\REFSEQ-INVERTEBRATE\AGAP011831-PA-REFSEQ-INVERTEBRATE.txt","AGAP011831-PA, partial")</f>
        <v>AGAP011831-PA, partial</v>
      </c>
      <c r="BB472" s="2" t="str">
        <f>HYPERLINK("http://www.ncbi.nlm.nih.gov/sutils/blink.cgi?pid=XP_001689281.1","0.0")</f>
        <v>0.0</v>
      </c>
      <c r="BC472" s="2" t="str">
        <f>HYPERLINK("http://www.ncbi.nlm.nih.gov/protein/XP_001689281.1","XP_001689281.1")</f>
        <v>XP_001689281.1</v>
      </c>
      <c r="BD472" s="2">
        <v>100</v>
      </c>
      <c r="BE472" s="2">
        <v>100</v>
      </c>
      <c r="BF472" s="2">
        <v>100</v>
      </c>
      <c r="BG472" s="2" t="s">
        <v>105</v>
      </c>
      <c r="BH472" s="9" t="str">
        <f>HYPERLINK(".\links\REFSEQ-PROTOZOA\AGAP011831-PA-REFSEQ-PROTOZOA.txt","hypothetical protein CAOG_03986")</f>
        <v>hypothetical protein CAOG_03986</v>
      </c>
      <c r="BI472" s="2" t="str">
        <f>HYPERLINK("http://www.ncbi.nlm.nih.gov/sutils/blink.cgi?pid=XP_004347811.2","4E-044")</f>
        <v>4E-044</v>
      </c>
      <c r="BJ472" s="2" t="str">
        <f>HYPERLINK("http://www.ncbi.nlm.nih.gov/protein/XP_004347811.2","XP_004347811.2")</f>
        <v>XP_004347811.2</v>
      </c>
      <c r="BK472" s="2">
        <v>29</v>
      </c>
      <c r="BL472" s="2">
        <v>46</v>
      </c>
      <c r="BM472" s="2">
        <v>82</v>
      </c>
      <c r="BN472" s="2" t="s">
        <v>106</v>
      </c>
      <c r="BO472" s="9" t="str">
        <f>HYPERLINK(".\links\SWISSP\AGAP011831-PA-SWISSP.txt","H/ACA ribonucleoprotein complex non-core subunit NAF1")</f>
        <v>H/ACA ribonucleoprotein complex non-core subunit NAF1</v>
      </c>
      <c r="BP472" s="2" t="str">
        <f>HYPERLINK("http://www.uniprot.org/uniprot/Q9VJ62","4E-059")</f>
        <v>4E-059</v>
      </c>
      <c r="BQ472" s="2" t="str">
        <f>HYPERLINK("http://www.uniprot.org/uniprot/Q9VJ62#expression","Q9VJ62")</f>
        <v>Q9VJ62</v>
      </c>
      <c r="BR472" s="2">
        <v>31</v>
      </c>
      <c r="BS472" s="2">
        <v>44</v>
      </c>
      <c r="BT472" s="2">
        <v>103</v>
      </c>
      <c r="BU472" s="2" t="s">
        <v>107</v>
      </c>
      <c r="BV472" s="9" t="str">
        <f>HYPERLINK(".\links\FLYBASE\AGAP011831-PA-FLYBASE.txt","FBpp0309810")</f>
        <v>FBpp0309810</v>
      </c>
      <c r="BW472" s="2" t="str">
        <f>HYPERLINK("http://flybase.org/reports/FBgn0032701#alliance_summary_container","1E-49")</f>
        <v>1E-49</v>
      </c>
      <c r="BX472" s="2">
        <v>563</v>
      </c>
      <c r="BY472" s="2">
        <v>40</v>
      </c>
      <c r="BZ472" s="2">
        <v>58</v>
      </c>
      <c r="CA472" s="2">
        <v>47</v>
      </c>
      <c r="CB472" s="9" t="str">
        <f>HYPERLINK(".\links\CDD\AGAP011831-PA-CDD.txt","Gar1, Gar1/Naf1 RNA binding region")</f>
        <v>Gar1, Gar1/Naf1 RNA binding region</v>
      </c>
      <c r="CC472" s="15">
        <v>3E-34</v>
      </c>
      <c r="CD472" s="2">
        <v>101.3</v>
      </c>
      <c r="CE472" s="2" t="s">
        <v>4978</v>
      </c>
      <c r="CF472" s="2" t="s">
        <v>4979</v>
      </c>
      <c r="CG472" s="9" t="str">
        <f>HYPERLINK(".\links\KOG\AGAP011831-PA-KOG.txt","Uncharacterized conserved protein")</f>
        <v>Uncharacterized conserved protein</v>
      </c>
      <c r="CH472" s="15">
        <v>1E-42</v>
      </c>
      <c r="CI472" s="2">
        <v>105.6</v>
      </c>
      <c r="CJ472" s="2" t="s">
        <v>4980</v>
      </c>
      <c r="CK472" s="2" t="s">
        <v>284</v>
      </c>
      <c r="CL472" s="9" t="str">
        <f>HYPERLINK(".\links\PFAM\AGAP011831-PA-PFAM.txt","Gar1, Gar1/Naf1 RNA binding region")</f>
        <v>Gar1, Gar1/Naf1 RNA binding region</v>
      </c>
      <c r="CM472" s="15">
        <v>5.9999999999999998E-35</v>
      </c>
      <c r="CN472" s="2">
        <v>101.3</v>
      </c>
      <c r="CO472" s="2" t="s">
        <v>4978</v>
      </c>
      <c r="CP472" s="9" t="str">
        <f>HYPERLINK(".\links\SMART\AGAP011831-PA-SMART.txt","Amelogenin, Amelogenins, cell adhesion proteins, play a role in the biomineralisation of teeth")</f>
        <v>Amelogenin, Amelogenins, cell adhesion proteins, play a role in the biomineralisation of teeth</v>
      </c>
      <c r="CQ472" s="15">
        <v>5.0000000000000001E-4</v>
      </c>
      <c r="CR472" s="2">
        <v>45.5</v>
      </c>
      <c r="CS472" s="2" t="s">
        <v>311</v>
      </c>
      <c r="CT472" s="2" t="s">
        <v>4976</v>
      </c>
      <c r="CU472" s="2" t="s">
        <v>4976</v>
      </c>
      <c r="CV472" s="2" t="s">
        <v>4976</v>
      </c>
      <c r="CW472" s="2" t="str">
        <f>HYPERLINK(".\links\pep\AGAP011831-PA-pep.txt","AGAP011831-PA")</f>
        <v>AGAP011831-PA</v>
      </c>
      <c r="CX472" s="2" t="s">
        <v>95</v>
      </c>
      <c r="CY472" s="2">
        <v>606</v>
      </c>
      <c r="CZ472" s="2" t="s">
        <v>113</v>
      </c>
      <c r="DA472" s="2" t="s">
        <v>4981</v>
      </c>
      <c r="DB472" s="2">
        <v>0</v>
      </c>
      <c r="DC472" s="2">
        <v>2</v>
      </c>
      <c r="DD472" s="2" t="str">
        <f>HYPERLINK("https://www.kegg.jp/kegg-bin/search_pathway_text?map=aga&amp;keyword=AGAP011831&amp;mode=1&amp;viewImage=true","AGAP011831")</f>
        <v>AGAP011831</v>
      </c>
      <c r="DE472" s="2" t="s">
        <v>4972</v>
      </c>
      <c r="DF472" s="2" t="s">
        <v>4973</v>
      </c>
      <c r="DG472" s="2" t="s">
        <v>94</v>
      </c>
      <c r="DH472" s="2" t="str">
        <f>HYPERLINK("https://vectorbase.org/vectorbase/app/record/gene/AGAP011831","AGAP011831-RA")</f>
        <v>AGAP011831-RA</v>
      </c>
      <c r="DI472" s="2" t="s">
        <v>135</v>
      </c>
      <c r="DJ472" s="2">
        <v>2420</v>
      </c>
      <c r="DK472" s="2" t="str">
        <f>HYPERLINK(".\links\netoglyc\AGAP011831-PA-netoglyc.txt","12")</f>
        <v>12</v>
      </c>
      <c r="DL472" s="2">
        <v>15.2</v>
      </c>
      <c r="DM472" s="2">
        <v>5.6</v>
      </c>
      <c r="DN472" s="2">
        <v>8.9</v>
      </c>
      <c r="DO472" s="2">
        <v>0.5</v>
      </c>
      <c r="DP472" s="2" t="s">
        <v>102</v>
      </c>
      <c r="DQ472" s="2" t="str">
        <f>HYPERLINK(".\links\Sigp\AGAP011831-PA-SigP.txt","CYT")</f>
        <v>CYT</v>
      </c>
      <c r="DR472" s="2" t="s">
        <v>102</v>
      </c>
      <c r="DS472" s="2">
        <v>66.393000000000001</v>
      </c>
      <c r="DT472" s="2">
        <v>4.51</v>
      </c>
      <c r="DU472" s="2" t="s">
        <v>102</v>
      </c>
      <c r="DV472" s="2" t="s">
        <v>102</v>
      </c>
      <c r="DW472" s="2" t="s">
        <v>211</v>
      </c>
      <c r="DX472" s="2">
        <v>606</v>
      </c>
      <c r="DY472" s="12">
        <v>0</v>
      </c>
      <c r="DZ472" s="2" t="s">
        <v>102</v>
      </c>
      <c r="EA472" s="2" t="s">
        <v>102</v>
      </c>
      <c r="EB472" s="2" t="s">
        <v>102</v>
      </c>
      <c r="EC472" s="2" t="str">
        <f>HYPERLINK(".\links\gpi\AGAP011831-PA-gpi.txt","N")</f>
        <v>N</v>
      </c>
      <c r="ED472" s="2">
        <v>0.28000000000000003</v>
      </c>
      <c r="EF472" s="2">
        <v>5</v>
      </c>
      <c r="EG472" s="2" t="s">
        <v>102</v>
      </c>
      <c r="EH472" s="2" t="s">
        <v>102</v>
      </c>
      <c r="EI472" s="2">
        <v>15.181518151815199</v>
      </c>
      <c r="EJ472" s="2">
        <v>8.9108910891089099</v>
      </c>
      <c r="EK472" s="2">
        <v>5.6105610561056096</v>
      </c>
      <c r="EL472" s="2">
        <v>14.5214521452145</v>
      </c>
      <c r="EM472" s="2">
        <v>1</v>
      </c>
      <c r="EN472" s="2">
        <v>1</v>
      </c>
      <c r="EO472" s="2">
        <v>2</v>
      </c>
      <c r="EP472" s="2" t="s">
        <v>102</v>
      </c>
      <c r="EQ472" s="2" t="s">
        <v>102</v>
      </c>
      <c r="ER472" s="2" t="s">
        <v>102</v>
      </c>
      <c r="ES472" s="2" t="s">
        <v>102</v>
      </c>
      <c r="ET472" s="2" t="str">
        <f>HYPERLINK(".\links\REFSEQ-INVERTEBRATE\AGAP011831-PA-REFSEQ-INVERTEBRATE.txt","AGAP011831-PA, partial")</f>
        <v>AGAP011831-PA, partial</v>
      </c>
      <c r="EU472" s="2" t="str">
        <f>HYPERLINK("http://www.ncbi.nlm.nih.gov/sutils/blink.cgi?pid=XP_001689281.1","0.0")</f>
        <v>0.0</v>
      </c>
      <c r="EV472" s="2" t="str">
        <f>HYPERLINK("http://www.ncbi.nlm.nih.gov/protein/XP_001689281.1","XP_001689281.1")</f>
        <v>XP_001689281.1</v>
      </c>
      <c r="EW472" s="2">
        <v>100</v>
      </c>
      <c r="EX472" s="2">
        <v>100</v>
      </c>
      <c r="EY472" s="2">
        <v>100</v>
      </c>
      <c r="EZ472" s="2" t="s">
        <v>105</v>
      </c>
    </row>
    <row r="473" spans="1:156" x14ac:dyDescent="0.25">
      <c r="A473" s="2" t="s">
        <v>4982</v>
      </c>
      <c r="B473" s="2">
        <v>-0.40970200195506301</v>
      </c>
      <c r="C473" s="2">
        <f t="shared" si="7"/>
        <v>0.75277884901559755</v>
      </c>
      <c r="D473" s="2">
        <v>7.3375819309336396</v>
      </c>
      <c r="E473" s="2">
        <v>10.365292927714799</v>
      </c>
      <c r="F473" s="2">
        <v>1.28406523277125E-3</v>
      </c>
      <c r="G473" s="2">
        <v>3.6155608197030502E-2</v>
      </c>
      <c r="H473" s="2" t="s">
        <v>93</v>
      </c>
      <c r="I473" s="2" t="s">
        <v>94</v>
      </c>
      <c r="J473" s="2" t="str">
        <f>HYPERLINK("https://vectorbase.org/vectorbase/app/record/gene/AGAP000141","AGAP000141-RA")</f>
        <v>AGAP000141-RA</v>
      </c>
      <c r="K473" s="2" t="str">
        <f>HYPERLINK(".\links\pep\AGAP000141-PA-pep.txt","AGAP000141-PA")</f>
        <v>AGAP000141-PA</v>
      </c>
      <c r="L473" s="12" t="s">
        <v>95</v>
      </c>
      <c r="M473" s="2">
        <v>2237</v>
      </c>
      <c r="N473" s="2">
        <v>0</v>
      </c>
      <c r="O473" s="2">
        <v>4</v>
      </c>
      <c r="P473" s="2" t="s">
        <v>102</v>
      </c>
      <c r="Q473" s="9" t="s">
        <v>4983</v>
      </c>
      <c r="R473" s="2" t="s">
        <v>420</v>
      </c>
      <c r="S473" s="2" t="str">
        <f>HYPERLINK(".\links\KOG\AGAP000141-PA-KOG.txt","KOG")</f>
        <v>KOG</v>
      </c>
      <c r="T473" s="2">
        <v>8.9999999999999996E-17</v>
      </c>
      <c r="U473" s="2">
        <v>57.7</v>
      </c>
      <c r="V473" s="2" t="s">
        <v>4984</v>
      </c>
      <c r="W473" s="10" t="s">
        <v>4985</v>
      </c>
      <c r="X473" s="2" t="s">
        <v>420</v>
      </c>
      <c r="Y473" s="2" t="str">
        <f>HYPERLINK(".\links\UNIPROTKB\AGAP000141-PA-UNIPROTKB.txt","UNIPROTKB")</f>
        <v>UNIPROTKB</v>
      </c>
      <c r="Z473" s="15">
        <v>1.9999999999999999E-57</v>
      </c>
      <c r="AA473" s="2">
        <v>54.1</v>
      </c>
      <c r="AB473" s="13" t="str">
        <f>HYPERLINK(".\links\pep\AGAP000141-PA-sulf.txt","9")</f>
        <v>9</v>
      </c>
      <c r="AC473" s="13" t="str">
        <f>HYPERLINK(".\links\Sigp\AGAP000141-PA-SigP.txt","CYT")</f>
        <v>CYT</v>
      </c>
      <c r="AD473" s="2" t="s">
        <v>102</v>
      </c>
      <c r="AE473" s="2">
        <v>242.19900000000001</v>
      </c>
      <c r="AF473" s="2">
        <v>5.42</v>
      </c>
      <c r="AG473" s="2" t="s">
        <v>102</v>
      </c>
      <c r="AH473" s="2" t="s">
        <v>102</v>
      </c>
      <c r="AI473" s="2" t="s">
        <v>211</v>
      </c>
      <c r="AJ473" s="13">
        <v>0</v>
      </c>
      <c r="AK473" s="2" t="s">
        <v>102</v>
      </c>
      <c r="AL473" s="2" t="s">
        <v>102</v>
      </c>
      <c r="AM473" s="2" t="s">
        <v>102</v>
      </c>
      <c r="AN473" s="13" t="str">
        <f>HYPERLINK(".\links\gpi\AGAP000141-PA-gpi.txt","N")</f>
        <v>N</v>
      </c>
      <c r="AO473" s="14" t="str">
        <f>HYPERLINK(".\links\netoglyc\AGAP000141-PA-netoglyc.txt","27")</f>
        <v>27</v>
      </c>
      <c r="AP473" s="13">
        <v>17.7</v>
      </c>
      <c r="AQ473" s="2">
        <v>6.7</v>
      </c>
      <c r="AR473" s="2">
        <v>7.2</v>
      </c>
      <c r="AS473" s="2" t="s">
        <v>104</v>
      </c>
      <c r="AT473" s="9" t="str">
        <f>HYPERLINK(".\links\NR-LIGHT\AGAP000141-PA-NR-LIGHT.txt","AGAP000141-PA")</f>
        <v>AGAP000141-PA</v>
      </c>
      <c r="AU473" s="2" t="str">
        <f>HYPERLINK("http://www.ncbi.nlm.nih.gov/sutils/blink.cgi?pid=XP_311004.5","0.0")</f>
        <v>0.0</v>
      </c>
      <c r="AV473" s="2" t="str">
        <f>HYPERLINK("http://www.ncbi.nlm.nih.gov/protein/XP_311004.5","XP_311004.5")</f>
        <v>XP_311004.5</v>
      </c>
      <c r="AW473" s="2">
        <v>100</v>
      </c>
      <c r="AX473" s="2">
        <v>100</v>
      </c>
      <c r="AY473" s="2">
        <v>100</v>
      </c>
      <c r="AZ473" s="2" t="s">
        <v>105</v>
      </c>
      <c r="BA473" s="9" t="str">
        <f>HYPERLINK(".\links\REFSEQ-INVERTEBRATE\AGAP000141-PA-REFSEQ-INVERTEBRATE.txt","AGAP000141-PA")</f>
        <v>AGAP000141-PA</v>
      </c>
      <c r="BB473" s="2" t="str">
        <f>HYPERLINK("http://www.ncbi.nlm.nih.gov/sutils/blink.cgi?pid=XP_311004.5","0.0")</f>
        <v>0.0</v>
      </c>
      <c r="BC473" s="2" t="str">
        <f>HYPERLINK("http://www.ncbi.nlm.nih.gov/protein/XP_311004.5","XP_311004.5")</f>
        <v>XP_311004.5</v>
      </c>
      <c r="BD473" s="2">
        <v>100</v>
      </c>
      <c r="BE473" s="2">
        <v>100</v>
      </c>
      <c r="BF473" s="2">
        <v>100</v>
      </c>
      <c r="BG473" s="2" t="s">
        <v>105</v>
      </c>
      <c r="BH473" s="9" t="str">
        <f>HYPERLINK(".\links\REFSEQ-PROTOZOA\AGAP000141-PA-REFSEQ-PROTOZOA.txt","zinc finger protein")</f>
        <v>zinc finger protein</v>
      </c>
      <c r="BI473" s="2" t="str">
        <f>HYPERLINK("http://www.ncbi.nlm.nih.gov/sutils/blink.cgi?pid=XP_004997261.1","6E-039")</f>
        <v>6E-039</v>
      </c>
      <c r="BJ473" s="2" t="str">
        <f>HYPERLINK("http://www.ncbi.nlm.nih.gov/protein/XP_004997261.1","XP_004997261.1")</f>
        <v>XP_004997261.1</v>
      </c>
      <c r="BK473" s="2">
        <v>25</v>
      </c>
      <c r="BL473" s="2">
        <v>39</v>
      </c>
      <c r="BM473" s="2">
        <v>53</v>
      </c>
      <c r="BN473" s="2" t="s">
        <v>435</v>
      </c>
      <c r="BO473" s="9" t="str">
        <f>HYPERLINK(".\links\SWISSP\AGAP000141-PA-SWISSP.txt","Zinc finger protein 568")</f>
        <v>Zinc finger protein 568</v>
      </c>
      <c r="BP473" s="2" t="str">
        <f>HYPERLINK("http://www.uniprot.org/uniprot/Q3ZCX4","2E-061")</f>
        <v>2E-061</v>
      </c>
      <c r="BQ473" s="2" t="str">
        <f>HYPERLINK("http://www.uniprot.org/uniprot/Q3ZCX4#expression","Q3ZCX4")</f>
        <v>Q3ZCX4</v>
      </c>
      <c r="BR473" s="2">
        <v>36</v>
      </c>
      <c r="BS473" s="2">
        <v>52</v>
      </c>
      <c r="BT473" s="2">
        <v>57</v>
      </c>
      <c r="BU473" s="2" t="s">
        <v>127</v>
      </c>
      <c r="BV473" s="9" t="str">
        <f>HYPERLINK(".\links\FLYBASE\AGAP000141-PA-FLYBASE.txt","FBpp0310714")</f>
        <v>FBpp0310714</v>
      </c>
      <c r="BW473" s="2" t="str">
        <f>HYPERLINK("http://flybase.org/reports/FBgn0051224#alliance_summary_container","1E-139")</f>
        <v>1E-139</v>
      </c>
      <c r="BX473" s="2">
        <v>1784</v>
      </c>
      <c r="BY473" s="2">
        <v>56</v>
      </c>
      <c r="BZ473" s="2">
        <v>72</v>
      </c>
      <c r="CA473" s="2">
        <v>20</v>
      </c>
      <c r="CB473" s="9" t="str">
        <f>HYPERLINK(".\links\CDD\AGAP000141-PA-CDD.txt","ZF_C2H2, Zinc finger, C2H2 type")</f>
        <v>ZF_C2H2, Zinc finger, C2H2 type</v>
      </c>
      <c r="CC473" s="15">
        <v>6.9999999999999999E-23</v>
      </c>
      <c r="CD473" s="2">
        <v>100</v>
      </c>
      <c r="CE473" s="2" t="s">
        <v>569</v>
      </c>
      <c r="CF473" s="2" t="s">
        <v>4986</v>
      </c>
      <c r="CG473" s="9" t="str">
        <f>HYPERLINK(".\links\KOG\AGAP000141-PA-KOG.txt","C2H2-type Zn-finger protein")</f>
        <v>C2H2-type Zn-finger protein</v>
      </c>
      <c r="CH473" s="15">
        <v>8.9999999999999996E-17</v>
      </c>
      <c r="CI473" s="2">
        <v>57.7</v>
      </c>
      <c r="CJ473" s="2" t="s">
        <v>743</v>
      </c>
      <c r="CK473" s="2" t="s">
        <v>309</v>
      </c>
      <c r="CL473" s="9" t="str">
        <f>HYPERLINK(".\links\PFAM\AGAP000141-PA-PFAM.txt","Nop14, Nop14-like family")</f>
        <v>Nop14, Nop14-like family</v>
      </c>
      <c r="CM473" s="15">
        <v>8.9999999999999994E-21</v>
      </c>
      <c r="CN473" s="2">
        <v>15.4</v>
      </c>
      <c r="CO473" s="2" t="s">
        <v>4987</v>
      </c>
      <c r="CP473" s="9" t="str">
        <f>HYPERLINK(".\links\SMART\AGAP000141-PA-SMART.txt","SPT2, SPT2 chromatin protein")</f>
        <v>SPT2, SPT2 chromatin protein</v>
      </c>
      <c r="CQ473" s="15">
        <v>4.9999999999999998E-8</v>
      </c>
      <c r="CR473" s="2">
        <v>99.1</v>
      </c>
      <c r="CS473" s="2" t="s">
        <v>2646</v>
      </c>
      <c r="CT473" s="2" t="s">
        <v>4984</v>
      </c>
      <c r="CU473" s="2" t="s">
        <v>4984</v>
      </c>
      <c r="CV473" s="2" t="s">
        <v>4984</v>
      </c>
      <c r="CW473" s="2" t="str">
        <f>HYPERLINK(".\links\pep\AGAP000141-PA-pep.txt","AGAP000141-PA")</f>
        <v>AGAP000141-PA</v>
      </c>
      <c r="CX473" s="2" t="s">
        <v>95</v>
      </c>
      <c r="CY473" s="2">
        <v>2237</v>
      </c>
      <c r="CZ473" s="2" t="s">
        <v>113</v>
      </c>
      <c r="DA473" s="2" t="s">
        <v>4988</v>
      </c>
      <c r="DB473" s="2">
        <v>0</v>
      </c>
      <c r="DC473" s="2">
        <v>4</v>
      </c>
      <c r="DD473" s="2" t="str">
        <f>HYPERLINK("https://www.kegg.jp/kegg-bin/search_pathway_text?map=aga&amp;keyword=AGAP000141&amp;mode=1&amp;viewImage=true","AGAP000141")</f>
        <v>AGAP000141</v>
      </c>
      <c r="DE473" s="2" t="s">
        <v>4982</v>
      </c>
      <c r="DF473" s="2" t="s">
        <v>93</v>
      </c>
      <c r="DG473" s="2" t="s">
        <v>94</v>
      </c>
      <c r="DH473" s="2" t="str">
        <f>HYPERLINK("https://vectorbase.org/vectorbase/app/record/gene/AGAP000141","AGAP000141-RA")</f>
        <v>AGAP000141-RA</v>
      </c>
      <c r="DI473" s="2" t="s">
        <v>115</v>
      </c>
      <c r="DJ473" s="2">
        <v>7499</v>
      </c>
      <c r="DK473" s="2" t="str">
        <f>HYPERLINK(".\links\netoglyc\AGAP000141-PA-netoglyc.txt","27")</f>
        <v>27</v>
      </c>
      <c r="DL473" s="2">
        <v>17.7</v>
      </c>
      <c r="DM473" s="2">
        <v>6.7</v>
      </c>
      <c r="DN473" s="2">
        <v>7.2</v>
      </c>
      <c r="DO473" s="2" t="s">
        <v>104</v>
      </c>
      <c r="DP473" s="2" t="s">
        <v>4989</v>
      </c>
      <c r="DQ473" s="2" t="str">
        <f>HYPERLINK(".\links\Sigp\AGAP000141-PA-SigP.txt","CYT")</f>
        <v>CYT</v>
      </c>
      <c r="DR473" s="2" t="s">
        <v>102</v>
      </c>
      <c r="DS473" s="2">
        <v>242.19900000000001</v>
      </c>
      <c r="DT473" s="2">
        <v>5.42</v>
      </c>
      <c r="DU473" s="2" t="s">
        <v>102</v>
      </c>
      <c r="DV473" s="2" t="s">
        <v>102</v>
      </c>
      <c r="DW473" s="2" t="s">
        <v>211</v>
      </c>
      <c r="DX473" s="2">
        <v>2237</v>
      </c>
      <c r="DY473" s="12">
        <v>0</v>
      </c>
      <c r="DZ473" s="2" t="s">
        <v>102</v>
      </c>
      <c r="EA473" s="2" t="s">
        <v>102</v>
      </c>
      <c r="EB473" s="2" t="s">
        <v>102</v>
      </c>
      <c r="EC473" s="2" t="str">
        <f>HYPERLINK(".\links\gpi\AGAP000141-PA-gpi.txt","Y-NoSP")</f>
        <v>Y-NoSP</v>
      </c>
      <c r="ED473" s="2">
        <v>0.27</v>
      </c>
      <c r="EF473" s="2">
        <v>42</v>
      </c>
      <c r="EG473" s="2" t="str">
        <f>HYPERLINK(".\links\pep\AGAP000141-PA-sulf.txt","9")</f>
        <v>9</v>
      </c>
      <c r="EH473" s="2" t="s">
        <v>102</v>
      </c>
      <c r="EI473" s="2">
        <v>17.6575771122038</v>
      </c>
      <c r="EJ473" s="2">
        <v>7.1971390254805501</v>
      </c>
      <c r="EK473" s="2">
        <v>6.7054090299508298</v>
      </c>
      <c r="EL473" s="2">
        <v>13.902548055431399</v>
      </c>
      <c r="EM473" s="2">
        <v>5</v>
      </c>
      <c r="EN473" s="2">
        <v>3</v>
      </c>
      <c r="EO473" s="2">
        <v>3</v>
      </c>
      <c r="EP473" s="2" t="s">
        <v>102</v>
      </c>
      <c r="EQ473" s="2" t="s">
        <v>102</v>
      </c>
      <c r="ER473" s="2" t="s">
        <v>102</v>
      </c>
      <c r="ES473" s="2" t="s">
        <v>102</v>
      </c>
      <c r="ET473" s="2" t="str">
        <f>HYPERLINK(".\links\REFSEQ-INVERTEBRATE\AGAP000141-PA-REFSEQ-INVERTEBRATE.txt","AGAP000141-PA")</f>
        <v>AGAP000141-PA</v>
      </c>
      <c r="EU473" s="2" t="str">
        <f>HYPERLINK("http://www.ncbi.nlm.nih.gov/sutils/blink.cgi?pid=XP_311004.5","0.0")</f>
        <v>0.0</v>
      </c>
      <c r="EV473" s="2" t="str">
        <f>HYPERLINK("http://www.ncbi.nlm.nih.gov/protein/XP_311004.5","XP_311004.5")</f>
        <v>XP_311004.5</v>
      </c>
      <c r="EW473" s="2">
        <v>100</v>
      </c>
      <c r="EX473" s="2">
        <v>100</v>
      </c>
      <c r="EY473" s="2">
        <v>100</v>
      </c>
      <c r="EZ473" s="2" t="s">
        <v>105</v>
      </c>
    </row>
    <row r="474" spans="1:156" x14ac:dyDescent="0.25">
      <c r="A474" s="2" t="s">
        <v>4990</v>
      </c>
      <c r="B474" s="2">
        <v>-0.41056877069451497</v>
      </c>
      <c r="C474" s="2">
        <f t="shared" si="7"/>
        <v>0.75232671659064754</v>
      </c>
      <c r="D474" s="2">
        <v>6.6060770032413902</v>
      </c>
      <c r="E474" s="2">
        <v>9.25304908134963</v>
      </c>
      <c r="F474" s="2">
        <v>2.3510365672809001E-3</v>
      </c>
      <c r="G474" s="2">
        <v>4.6095259138498101E-2</v>
      </c>
      <c r="H474" s="2" t="s">
        <v>93</v>
      </c>
      <c r="I474" s="2" t="s">
        <v>94</v>
      </c>
      <c r="J474" s="2" t="str">
        <f>HYPERLINK("https://vectorbase.org/vectorbase/app/record/gene/AGAP001368","AGAP001368-RB")</f>
        <v>AGAP001368-RB</v>
      </c>
      <c r="K474" s="2" t="str">
        <f>HYPERLINK(".\links\pep\AGAP001368-PB-pep.txt","AGAP001368-PB")</f>
        <v>AGAP001368-PB</v>
      </c>
      <c r="L474" s="12" t="s">
        <v>95</v>
      </c>
      <c r="M474" s="2">
        <v>678</v>
      </c>
      <c r="N474" s="2">
        <v>0</v>
      </c>
      <c r="O474" s="2">
        <v>1</v>
      </c>
      <c r="P474" s="2" t="s">
        <v>102</v>
      </c>
      <c r="Q474" s="9" t="s">
        <v>4991</v>
      </c>
      <c r="R474" s="2" t="s">
        <v>196</v>
      </c>
      <c r="S474" s="2" t="str">
        <f>HYPERLINK(".\links\REFSEQ-INVERTEBRATE\AGAP001368-PB-REFSEQ-INVERTEBRATE.txt","REFSEQ-INVERTEBRATE")</f>
        <v>REFSEQ-INVERTEBRATE</v>
      </c>
      <c r="T474" s="2">
        <v>0</v>
      </c>
      <c r="U474" s="2">
        <v>100</v>
      </c>
      <c r="V474" s="2" t="s">
        <v>4991</v>
      </c>
      <c r="W474" s="10" t="s">
        <v>4992</v>
      </c>
      <c r="X474" s="2" t="s">
        <v>196</v>
      </c>
      <c r="Y474" s="2" t="str">
        <f>HYPERLINK(".\links\ARTHORPODA\AGAP001368-PB-ARTHORPODA.txt","ARTHORPODA")</f>
        <v>ARTHORPODA</v>
      </c>
      <c r="Z474" s="15">
        <v>0</v>
      </c>
      <c r="AA474" s="2">
        <v>99.5</v>
      </c>
      <c r="AB474" s="13" t="str">
        <f>HYPERLINK(".\links\pep\AGAP001368-PB-sulf.txt","1")</f>
        <v>1</v>
      </c>
      <c r="AC474" s="13" t="str">
        <f>HYPERLINK(".\links\Sigp\AGAP001368-PB-SigP.txt","CYT")</f>
        <v>CYT</v>
      </c>
      <c r="AD474" s="2" t="s">
        <v>102</v>
      </c>
      <c r="AE474" s="2">
        <v>75.777000000000001</v>
      </c>
      <c r="AF474" s="2">
        <v>5.04</v>
      </c>
      <c r="AG474" s="2" t="s">
        <v>102</v>
      </c>
      <c r="AH474" s="2" t="s">
        <v>102</v>
      </c>
      <c r="AI474" s="2" t="s">
        <v>211</v>
      </c>
      <c r="AJ474" s="13">
        <v>0</v>
      </c>
      <c r="AK474" s="2" t="s">
        <v>102</v>
      </c>
      <c r="AL474" s="2" t="s">
        <v>102</v>
      </c>
      <c r="AM474" s="2" t="s">
        <v>102</v>
      </c>
      <c r="AN474" s="13" t="str">
        <f>HYPERLINK(".\links\gpi\AGAP001368-PB-gpi.txt","N")</f>
        <v>N</v>
      </c>
      <c r="AO474" s="14" t="str">
        <f>HYPERLINK(".\links\netoglyc\AGAP001368-PB-netoglyc.txt","3")</f>
        <v>3</v>
      </c>
      <c r="AP474" s="13">
        <v>15.6</v>
      </c>
      <c r="AQ474" s="2">
        <v>5</v>
      </c>
      <c r="AR474" s="2">
        <v>3.4</v>
      </c>
      <c r="AS474" s="2" t="s">
        <v>104</v>
      </c>
      <c r="AT474" s="9" t="str">
        <f>HYPERLINK(".\links\NR-LIGHT\AGAP001368-PB-NR-LIGHT.txt","AGAP001368-PA")</f>
        <v>AGAP001368-PA</v>
      </c>
      <c r="AU474" s="2" t="str">
        <f>HYPERLINK("http://www.ncbi.nlm.nih.gov/sutils/blink.cgi?pid=XP_321773.4","0.0")</f>
        <v>0.0</v>
      </c>
      <c r="AV474" s="2" t="str">
        <f>HYPERLINK("http://www.ncbi.nlm.nih.gov/protein/XP_321773.4","XP_321773.4")</f>
        <v>XP_321773.4</v>
      </c>
      <c r="AW474" s="2">
        <v>100</v>
      </c>
      <c r="AX474" s="2">
        <v>100</v>
      </c>
      <c r="AY474" s="2">
        <v>100</v>
      </c>
      <c r="AZ474" s="2" t="s">
        <v>105</v>
      </c>
      <c r="BA474" s="9" t="str">
        <f>HYPERLINK(".\links\REFSEQ-INVERTEBRATE\AGAP001368-PB-REFSEQ-INVERTEBRATE.txt","AGAP001368-PB")</f>
        <v>AGAP001368-PB</v>
      </c>
      <c r="BB474" s="2" t="str">
        <f>HYPERLINK("http://www.ncbi.nlm.nih.gov/sutils/blink.cgi?pid=XP_003435810.1","0.0")</f>
        <v>0.0</v>
      </c>
      <c r="BC474" s="2" t="str">
        <f>HYPERLINK("http://www.ncbi.nlm.nih.gov/protein/XP_003435810.1","XP_003435810.1")</f>
        <v>XP_003435810.1</v>
      </c>
      <c r="BD474" s="2">
        <v>100</v>
      </c>
      <c r="BE474" s="2">
        <v>100</v>
      </c>
      <c r="BF474" s="2">
        <v>100</v>
      </c>
      <c r="BG474" s="2" t="s">
        <v>105</v>
      </c>
      <c r="BH474" s="9" t="str">
        <f>HYPERLINK(".\links\REFSEQ-PROTOZOA\AGAP001368-PB-REFSEQ-PROTOZOA.txt","hypothetical protein IMG5_181180")</f>
        <v>hypothetical protein IMG5_181180</v>
      </c>
      <c r="BI474" s="2" t="str">
        <f>HYPERLINK("http://www.ncbi.nlm.nih.gov/sutils/blink.cgi?pid=XP_004027534.1","4E-018")</f>
        <v>4E-018</v>
      </c>
      <c r="BJ474" s="2" t="str">
        <f>HYPERLINK("http://www.ncbi.nlm.nih.gov/protein/XP_004027534.1","XP_004027534.1")</f>
        <v>XP_004027534.1</v>
      </c>
      <c r="BK474" s="2">
        <v>21</v>
      </c>
      <c r="BL474" s="2">
        <v>46</v>
      </c>
      <c r="BM474" s="2">
        <v>53</v>
      </c>
      <c r="BN474" s="2" t="s">
        <v>972</v>
      </c>
      <c r="BO474" s="9" t="str">
        <f>HYPERLINK(".\links\SWISSP\AGAP001368-PB-SWISSP.txt","Protein LANA1")</f>
        <v>Protein LANA1</v>
      </c>
      <c r="BP474" s="2" t="str">
        <f>HYPERLINK("http://www.uniprot.org/uniprot/Q9QR71","9E-017")</f>
        <v>9E-017</v>
      </c>
      <c r="BQ474" s="2" t="str">
        <f>HYPERLINK("http://www.uniprot.org/uniprot/Q9QR71#expression","Q9QR71")</f>
        <v>Q9QR71</v>
      </c>
      <c r="BR474" s="2">
        <v>23</v>
      </c>
      <c r="BS474" s="2">
        <v>43</v>
      </c>
      <c r="BT474" s="2">
        <v>25</v>
      </c>
      <c r="BU474" s="2" t="s">
        <v>4993</v>
      </c>
      <c r="BV474" s="9" t="str">
        <f>HYPERLINK(".\links\FLYBASE\AGAP001368-PB-FLYBASE.txt","FBpp0309130")</f>
        <v>FBpp0309130</v>
      </c>
      <c r="BW474" s="2" t="str">
        <f>HYPERLINK("http://flybase.org/reports/FBgn0034210#alliance_summary_container","5E-11")</f>
        <v>5E-11</v>
      </c>
      <c r="BX474" s="2">
        <v>450</v>
      </c>
      <c r="BY474" s="2">
        <v>23</v>
      </c>
      <c r="BZ474" s="2">
        <v>39</v>
      </c>
      <c r="CA474" s="2">
        <v>73</v>
      </c>
      <c r="CB474" s="9" t="str">
        <f>HYPERLINK(".\links\CDD\AGAP001368-PB-CDD.txt","PRK12678, transcription termination factor Rho")</f>
        <v>PRK12678, transcription termination factor Rho</v>
      </c>
      <c r="CC474" s="15">
        <v>2.9999999999999999E-7</v>
      </c>
      <c r="CD474" s="2">
        <v>28.6</v>
      </c>
      <c r="CE474" s="2" t="s">
        <v>4492</v>
      </c>
      <c r="CF474" s="2" t="s">
        <v>4994</v>
      </c>
      <c r="CG474" s="9" t="str">
        <f>HYPERLINK(".\links\KOG\AGAP001368-PB-KOG.txt","subunit TRAP230")</f>
        <v>subunit TRAP230</v>
      </c>
      <c r="CH474" s="15">
        <v>1.9999999999999999E-6</v>
      </c>
      <c r="CI474" s="2">
        <v>9</v>
      </c>
      <c r="CJ474" s="2" t="s">
        <v>4038</v>
      </c>
      <c r="CK474" s="2" t="s">
        <v>309</v>
      </c>
      <c r="CL474" s="9" t="str">
        <f>HYPERLINK(".\links\PFAM\AGAP001368-PB-PFAM.txt","DUF4775, Domain of unknown function (DUF4775)")</f>
        <v>DUF4775, Domain of unknown function (DUF4775)</v>
      </c>
      <c r="CM474" s="15">
        <v>3.0000000000000001E-5</v>
      </c>
      <c r="CN474" s="2">
        <v>44.9</v>
      </c>
      <c r="CO474" s="2" t="s">
        <v>4995</v>
      </c>
      <c r="CP474" s="9" t="str">
        <f>HYPERLINK(".\links\SMART\AGAP001368-PB-SMART.txt","OmpH, Outer membrane protein (OmpH-like)")</f>
        <v>OmpH, Outer membrane protein (OmpH-like)</v>
      </c>
      <c r="CQ474" s="15">
        <v>0.38</v>
      </c>
      <c r="CR474" s="2">
        <v>47.9</v>
      </c>
      <c r="CS474" s="2" t="s">
        <v>895</v>
      </c>
      <c r="CT474" s="2" t="s">
        <v>4991</v>
      </c>
      <c r="CU474" s="2" t="s">
        <v>4991</v>
      </c>
      <c r="CV474" s="2" t="s">
        <v>4991</v>
      </c>
      <c r="CW474" s="2" t="str">
        <f>HYPERLINK(".\links\pep\AGAP001368-PB-pep.txt","AGAP001368-PB")</f>
        <v>AGAP001368-PB</v>
      </c>
      <c r="CX474" s="2" t="s">
        <v>95</v>
      </c>
      <c r="CY474" s="2">
        <v>678</v>
      </c>
      <c r="CZ474" s="2" t="s">
        <v>113</v>
      </c>
      <c r="DA474" s="2" t="s">
        <v>4996</v>
      </c>
      <c r="DB474" s="2">
        <v>0</v>
      </c>
      <c r="DC474" s="2">
        <v>1</v>
      </c>
      <c r="DD474" s="2" t="str">
        <f>HYPERLINK("https://www.kegg.jp/kegg-bin/search_pathway_text?map=aga&amp;keyword=AGAP001368&amp;mode=1&amp;viewImage=true","AGAP001368")</f>
        <v>AGAP001368</v>
      </c>
      <c r="DE474" s="2" t="s">
        <v>4990</v>
      </c>
      <c r="DF474" s="2" t="s">
        <v>93</v>
      </c>
      <c r="DG474" s="2" t="s">
        <v>94</v>
      </c>
      <c r="DH474" s="2" t="str">
        <f>HYPERLINK("https://vectorbase.org/vectorbase/app/record/gene/AGAP001368","AGAP001368-RB")</f>
        <v>AGAP001368-RB</v>
      </c>
      <c r="DI474" s="2" t="s">
        <v>115</v>
      </c>
      <c r="DJ474" s="2">
        <v>2920</v>
      </c>
      <c r="DK474" s="2" t="str">
        <f>HYPERLINK(".\links\netoglyc\AGAP001368-PB-netoglyc.txt","3")</f>
        <v>3</v>
      </c>
      <c r="DL474" s="2">
        <v>15.6</v>
      </c>
      <c r="DM474" s="2">
        <v>5</v>
      </c>
      <c r="DN474" s="2">
        <v>3.4</v>
      </c>
      <c r="DO474" s="2" t="s">
        <v>104</v>
      </c>
      <c r="DP474" s="2" t="s">
        <v>4997</v>
      </c>
      <c r="DQ474" s="2" t="str">
        <f>HYPERLINK(".\links\Sigp\AGAP001368-PB-SigP.txt","CYT")</f>
        <v>CYT</v>
      </c>
      <c r="DR474" s="2" t="s">
        <v>102</v>
      </c>
      <c r="DS474" s="2">
        <v>75.777000000000001</v>
      </c>
      <c r="DT474" s="2">
        <v>5.04</v>
      </c>
      <c r="DU474" s="2" t="s">
        <v>102</v>
      </c>
      <c r="DV474" s="2" t="s">
        <v>102</v>
      </c>
      <c r="DW474" s="2" t="s">
        <v>211</v>
      </c>
      <c r="DX474" s="2">
        <v>678</v>
      </c>
      <c r="DY474" s="12">
        <v>0</v>
      </c>
      <c r="DZ474" s="2" t="s">
        <v>102</v>
      </c>
      <c r="EA474" s="2" t="s">
        <v>102</v>
      </c>
      <c r="EB474" s="2" t="s">
        <v>102</v>
      </c>
      <c r="EC474" s="2" t="str">
        <f>HYPERLINK(".\links\gpi\AGAP001368-PB-gpi.txt","N")</f>
        <v>N</v>
      </c>
      <c r="ED474" s="2">
        <v>0.24</v>
      </c>
      <c r="EF474" s="2">
        <v>7</v>
      </c>
      <c r="EG474" s="2" t="str">
        <f>HYPERLINK(".\links\pep\AGAP001368-PB-sulf.txt","1")</f>
        <v>1</v>
      </c>
      <c r="EH474" s="2" t="s">
        <v>102</v>
      </c>
      <c r="EI474" s="2">
        <v>15.634218289085499</v>
      </c>
      <c r="EJ474" s="2">
        <v>3.39233038348083</v>
      </c>
      <c r="EK474" s="2">
        <v>5.0147492625368697</v>
      </c>
      <c r="EL474" s="2">
        <v>8.4070796460176993</v>
      </c>
      <c r="EM474" s="2" t="s">
        <v>102</v>
      </c>
      <c r="EN474" s="2">
        <v>1</v>
      </c>
      <c r="EO474" s="2">
        <v>1</v>
      </c>
      <c r="EP474" s="2" t="s">
        <v>102</v>
      </c>
      <c r="EQ474" s="2" t="s">
        <v>102</v>
      </c>
      <c r="ER474" s="2" t="s">
        <v>102</v>
      </c>
      <c r="ES474" s="2" t="s">
        <v>102</v>
      </c>
      <c r="ET474" s="2" t="str">
        <f>HYPERLINK(".\links\REFSEQ-INVERTEBRATE\AGAP001368-PB-REFSEQ-INVERTEBRATE.txt","AGAP001368-PB")</f>
        <v>AGAP001368-PB</v>
      </c>
      <c r="EU474" s="2" t="str">
        <f>HYPERLINK("http://www.ncbi.nlm.nih.gov/sutils/blink.cgi?pid=XP_003435810.1","0.0")</f>
        <v>0.0</v>
      </c>
      <c r="EV474" s="2" t="str">
        <f>HYPERLINK("http://www.ncbi.nlm.nih.gov/protein/XP_003435810.1","XP_003435810.1")</f>
        <v>XP_003435810.1</v>
      </c>
      <c r="EW474" s="2">
        <v>100</v>
      </c>
      <c r="EX474" s="2">
        <v>100</v>
      </c>
      <c r="EY474" s="2">
        <v>100</v>
      </c>
      <c r="EZ474" s="2" t="s">
        <v>105</v>
      </c>
    </row>
    <row r="475" spans="1:156" x14ac:dyDescent="0.25">
      <c r="A475" s="2" t="s">
        <v>4998</v>
      </c>
      <c r="B475" s="2">
        <v>-0.410742188027446</v>
      </c>
      <c r="C475" s="2">
        <f t="shared" si="7"/>
        <v>0.75223628954402932</v>
      </c>
      <c r="D475" s="2">
        <v>6.7613856228381302</v>
      </c>
      <c r="E475" s="2">
        <v>15.7468608752962</v>
      </c>
      <c r="F475" s="2">
        <v>7.2407991497530101E-5</v>
      </c>
      <c r="G475" s="2">
        <v>9.0326678001032799E-3</v>
      </c>
      <c r="H475" s="2" t="s">
        <v>93</v>
      </c>
      <c r="I475" s="2" t="s">
        <v>94</v>
      </c>
      <c r="J475" s="2" t="str">
        <f>HYPERLINK("https://vectorbase.org/vectorbase/app/record/gene/AGAP004143","AGAP004143-RA")</f>
        <v>AGAP004143-RA</v>
      </c>
      <c r="K475" s="2" t="str">
        <f>HYPERLINK(".\links\pep\AGAP004143-PA-pep.txt","AGAP004143-PA")</f>
        <v>AGAP004143-PA</v>
      </c>
      <c r="L475" s="12" t="s">
        <v>95</v>
      </c>
      <c r="M475" s="2">
        <v>2244</v>
      </c>
      <c r="N475" s="2">
        <v>0</v>
      </c>
      <c r="O475" s="2">
        <v>3</v>
      </c>
      <c r="P475" s="2" t="s">
        <v>102</v>
      </c>
      <c r="Q475" s="9" t="s">
        <v>4999</v>
      </c>
      <c r="R475" s="2" t="s">
        <v>355</v>
      </c>
      <c r="S475" s="2" t="str">
        <f>HYPERLINK(".\links\KOG\AGAP004143-PA-KOG.txt","KOG")</f>
        <v>KOG</v>
      </c>
      <c r="T475" s="2">
        <v>2.0000000000000001E-54</v>
      </c>
      <c r="U475" s="2">
        <v>38.299999999999997</v>
      </c>
      <c r="V475" s="2" t="s">
        <v>5000</v>
      </c>
      <c r="W475" s="10" t="s">
        <v>5001</v>
      </c>
      <c r="X475" s="2" t="s">
        <v>355</v>
      </c>
      <c r="Y475" s="2" t="str">
        <f>HYPERLINK(".\links\REFSEQVERTEBRATE95\AGAP004143-PA-REFSEQVERTEBRATE95.txt","REFSEQVERTEBRATE95")</f>
        <v>REFSEQVERTEBRATE95</v>
      </c>
      <c r="Z475" s="15">
        <v>0</v>
      </c>
      <c r="AA475" s="2">
        <v>87.2</v>
      </c>
      <c r="AB475" s="13" t="s">
        <v>102</v>
      </c>
      <c r="AC475" s="13" t="str">
        <f>HYPERLINK(".\links\Sigp\AGAP004143-PA-SigP.txt","CYT")</f>
        <v>CYT</v>
      </c>
      <c r="AD475" s="2" t="s">
        <v>102</v>
      </c>
      <c r="AE475" s="2">
        <v>242.49100000000001</v>
      </c>
      <c r="AF475" s="2">
        <v>8.5</v>
      </c>
      <c r="AG475" s="2" t="s">
        <v>102</v>
      </c>
      <c r="AH475" s="2" t="s">
        <v>102</v>
      </c>
      <c r="AI475" s="2" t="s">
        <v>1942</v>
      </c>
      <c r="AJ475" s="13">
        <v>0</v>
      </c>
      <c r="AK475" s="2" t="s">
        <v>102</v>
      </c>
      <c r="AL475" s="2" t="s">
        <v>102</v>
      </c>
      <c r="AM475" s="2" t="s">
        <v>102</v>
      </c>
      <c r="AN475" s="13" t="str">
        <f>HYPERLINK(".\links\gpi\AGAP004143-PA-gpi.txt","N")</f>
        <v>N</v>
      </c>
      <c r="AO475" s="14" t="str">
        <f>HYPERLINK(".\links\netoglyc\AGAP004143-PA-netoglyc.txt","4")</f>
        <v>4</v>
      </c>
      <c r="AP475" s="13">
        <v>15.7</v>
      </c>
      <c r="AQ475" s="2">
        <v>8.4</v>
      </c>
      <c r="AR475" s="2">
        <v>5.7</v>
      </c>
      <c r="AS475" s="2">
        <v>0.1</v>
      </c>
      <c r="AT475" s="9" t="str">
        <f>HYPERLINK(".\links\NR-LIGHT\AGAP004143-PA-NR-LIGHT.txt","AGAP004143-PA")</f>
        <v>AGAP004143-PA</v>
      </c>
      <c r="AU475" s="2" t="str">
        <f>HYPERLINK("http://www.ncbi.nlm.nih.gov/sutils/blink.cgi?pid=XP_313024.5","0.0")</f>
        <v>0.0</v>
      </c>
      <c r="AV475" s="2" t="str">
        <f>HYPERLINK("http://www.ncbi.nlm.nih.gov/protein/XP_313024.5","XP_313024.5")</f>
        <v>XP_313024.5</v>
      </c>
      <c r="AW475" s="2">
        <v>100</v>
      </c>
      <c r="AX475" s="2">
        <v>100</v>
      </c>
      <c r="AY475" s="2">
        <v>100</v>
      </c>
      <c r="AZ475" s="2" t="s">
        <v>105</v>
      </c>
      <c r="BA475" s="9" t="str">
        <f>HYPERLINK(".\links\REFSEQ-INVERTEBRATE\AGAP004143-PA-REFSEQ-INVERTEBRATE.txt","AGAP004143-PA")</f>
        <v>AGAP004143-PA</v>
      </c>
      <c r="BB475" s="2" t="str">
        <f>HYPERLINK("http://www.ncbi.nlm.nih.gov/sutils/blink.cgi?pid=XP_313024.5","0.0")</f>
        <v>0.0</v>
      </c>
      <c r="BC475" s="2" t="str">
        <f>HYPERLINK("http://www.ncbi.nlm.nih.gov/protein/XP_313024.5","XP_313024.5")</f>
        <v>XP_313024.5</v>
      </c>
      <c r="BD475" s="2">
        <v>100</v>
      </c>
      <c r="BE475" s="2">
        <v>100</v>
      </c>
      <c r="BF475" s="2">
        <v>100</v>
      </c>
      <c r="BG475" s="2" t="s">
        <v>105</v>
      </c>
      <c r="BH475" s="9" t="str">
        <f>HYPERLINK(".\links\REFSEQ-PROTOZOA\AGAP004143-PA-REFSEQ-PROTOZOA.txt","GARNL1 protein")</f>
        <v>GARNL1 protein</v>
      </c>
      <c r="BI475" s="2" t="str">
        <f>HYPERLINK("http://www.ncbi.nlm.nih.gov/sutils/blink.cgi?pid=XP_004363751.1","1E-062")</f>
        <v>1E-062</v>
      </c>
      <c r="BJ475" s="2" t="str">
        <f>HYPERLINK("http://www.ncbi.nlm.nih.gov/protein/XP_004363751.1","XP_004363751.1")</f>
        <v>XP_004363751.1</v>
      </c>
      <c r="BK475" s="2">
        <v>34</v>
      </c>
      <c r="BL475" s="2">
        <v>49</v>
      </c>
      <c r="BM475" s="2">
        <v>18</v>
      </c>
      <c r="BN475" s="2" t="s">
        <v>106</v>
      </c>
      <c r="BO475" s="9" t="str">
        <f>HYPERLINK(".\links\SWISSP\AGAP004143-PA-SWISSP.txt","Probable Rho GTPase-activating protein CG5521")</f>
        <v>Probable Rho GTPase-activating protein CG5521</v>
      </c>
      <c r="BP475" s="2" t="str">
        <f>HYPERLINK("http://www.uniprot.org/uniprot/Q9VB98","0.0")</f>
        <v>0.0</v>
      </c>
      <c r="BQ475" s="2" t="str">
        <f>HYPERLINK("http://www.uniprot.org/uniprot/Q9VB98#expression","Q9VB98")</f>
        <v>Q9VB98</v>
      </c>
      <c r="BR475" s="2">
        <v>50</v>
      </c>
      <c r="BS475" s="2">
        <v>64</v>
      </c>
      <c r="BT475" s="2">
        <v>116</v>
      </c>
      <c r="BU475" s="2" t="s">
        <v>107</v>
      </c>
      <c r="BV475" s="9" t="str">
        <f>HYPERLINK(".\links\FLYBASE\AGAP004143-PA-FLYBASE.txt","FBpp0290357")</f>
        <v>FBpp0290357</v>
      </c>
      <c r="BW475" s="2" t="str">
        <f>HYPERLINK("http://flybase.org/reports/FBgn0039466#alliance_summary_container","0.0")</f>
        <v>0.0</v>
      </c>
      <c r="BX475" s="2">
        <v>1964</v>
      </c>
      <c r="BY475" s="2">
        <v>51</v>
      </c>
      <c r="BZ475" s="2">
        <v>64</v>
      </c>
      <c r="CA475" s="2">
        <v>70</v>
      </c>
      <c r="CB475" s="9" t="str">
        <f>HYPERLINK(".\links\CDD\AGAP004143-PA-CDD.txt","Rap_GAP, Rap/ran-GAP")</f>
        <v>Rap_GAP, Rap/ran-GAP</v>
      </c>
      <c r="CC475" s="15">
        <v>2.0000000000000001E-54</v>
      </c>
      <c r="CD475" s="2">
        <v>102.2</v>
      </c>
      <c r="CE475" s="2" t="s">
        <v>5002</v>
      </c>
      <c r="CF475" s="2" t="s">
        <v>5003</v>
      </c>
      <c r="CG475" s="9" t="str">
        <f>HYPERLINK(".\links\KOG\AGAP004143-PA-KOG.txt","Rap1-GTPase-activating protein (Rap1GAP)")</f>
        <v>Rap1-GTPase-activating protein (Rap1GAP)</v>
      </c>
      <c r="CH475" s="15">
        <v>2.0000000000000001E-54</v>
      </c>
      <c r="CI475" s="2">
        <v>38.4</v>
      </c>
      <c r="CJ475" s="2" t="s">
        <v>5004</v>
      </c>
      <c r="CK475" s="2" t="s">
        <v>173</v>
      </c>
      <c r="CL475" s="9" t="str">
        <f>HYPERLINK(".\links\PFAM\AGAP004143-PA-PFAM.txt","Rap_GAP, Rap/ran-GAP")</f>
        <v>Rap_GAP, Rap/ran-GAP</v>
      </c>
      <c r="CM475" s="15">
        <v>4E-55</v>
      </c>
      <c r="CN475" s="2">
        <v>102.2</v>
      </c>
      <c r="CO475" s="2" t="s">
        <v>5002</v>
      </c>
      <c r="CP475" s="9" t="str">
        <f>HYPERLINK(".\links\SMART\AGAP004143-PA-SMART.txt","DCX, Domain in the Doublecortin (DCX) gene product")</f>
        <v>DCX, Domain in the Doublecortin (DCX) gene product</v>
      </c>
      <c r="CQ475" s="15">
        <v>2.4</v>
      </c>
      <c r="CR475" s="2">
        <v>38.200000000000003</v>
      </c>
      <c r="CS475" s="2" t="s">
        <v>5005</v>
      </c>
      <c r="CT475" s="2" t="s">
        <v>5000</v>
      </c>
      <c r="CU475" s="2" t="s">
        <v>5000</v>
      </c>
      <c r="CV475" s="2" t="s">
        <v>5000</v>
      </c>
      <c r="CW475" s="2" t="str">
        <f>HYPERLINK(".\links\pep\AGAP004143-PA-pep.txt","AGAP004143-PA")</f>
        <v>AGAP004143-PA</v>
      </c>
      <c r="CX475" s="2" t="s">
        <v>95</v>
      </c>
      <c r="CY475" s="2">
        <v>2244</v>
      </c>
      <c r="CZ475" s="2" t="s">
        <v>113</v>
      </c>
      <c r="DA475" s="2" t="s">
        <v>5006</v>
      </c>
      <c r="DB475" s="2">
        <v>0</v>
      </c>
      <c r="DC475" s="2">
        <v>3</v>
      </c>
      <c r="DD475" s="2" t="str">
        <f>HYPERLINK("https://www.kegg.jp/kegg-bin/search_pathway_text?map=aga&amp;keyword=AGAP004143&amp;mode=1&amp;viewImage=true","AGAP004143")</f>
        <v>AGAP004143</v>
      </c>
      <c r="DE475" s="2" t="s">
        <v>4998</v>
      </c>
      <c r="DF475" s="2" t="s">
        <v>93</v>
      </c>
      <c r="DG475" s="2" t="s">
        <v>94</v>
      </c>
      <c r="DH475" s="2" t="str">
        <f>HYPERLINK("https://vectorbase.org/vectorbase/app/record/gene/AGAP004143","AGAP004143-RA")</f>
        <v>AGAP004143-RA</v>
      </c>
      <c r="DI475" s="2" t="s">
        <v>115</v>
      </c>
      <c r="DJ475" s="2">
        <v>9335</v>
      </c>
      <c r="DK475" s="2" t="str">
        <f>HYPERLINK(".\links\netoglyc\AGAP004143-PA-netoglyc.txt","4")</f>
        <v>4</v>
      </c>
      <c r="DL475" s="2">
        <v>15.7</v>
      </c>
      <c r="DM475" s="2">
        <v>8.4</v>
      </c>
      <c r="DN475" s="2">
        <v>5.7</v>
      </c>
      <c r="DO475" s="2">
        <v>0.1</v>
      </c>
      <c r="DP475" s="2" t="s">
        <v>5007</v>
      </c>
      <c r="DQ475" s="2" t="str">
        <f>HYPERLINK(".\links\Sigp\AGAP004143-PA-SigP.txt","CYT")</f>
        <v>CYT</v>
      </c>
      <c r="DR475" s="2" t="s">
        <v>102</v>
      </c>
      <c r="DS475" s="2">
        <v>242.49100000000001</v>
      </c>
      <c r="DT475" s="2">
        <v>8.5</v>
      </c>
      <c r="DU475" s="2" t="s">
        <v>102</v>
      </c>
      <c r="DV475" s="2" t="s">
        <v>102</v>
      </c>
      <c r="DW475" s="2" t="s">
        <v>1942</v>
      </c>
      <c r="DX475" s="2">
        <v>2244</v>
      </c>
      <c r="DY475" s="12">
        <v>0</v>
      </c>
      <c r="DZ475" s="2" t="s">
        <v>102</v>
      </c>
      <c r="EA475" s="2" t="s">
        <v>102</v>
      </c>
      <c r="EB475" s="2" t="s">
        <v>102</v>
      </c>
      <c r="EC475" s="2" t="str">
        <f>HYPERLINK(".\links\gpi\AGAP004143-PA-gpi.txt","Y-NoSP")</f>
        <v>Y-NoSP</v>
      </c>
      <c r="ED475" s="2">
        <v>0.16</v>
      </c>
      <c r="EF475" s="2">
        <v>30</v>
      </c>
      <c r="EG475" s="2" t="s">
        <v>102</v>
      </c>
      <c r="EH475" s="2" t="s">
        <v>102</v>
      </c>
      <c r="EI475" s="2">
        <v>15.730837789661299</v>
      </c>
      <c r="EJ475" s="2">
        <v>5.7040998217468797</v>
      </c>
      <c r="EK475" s="2">
        <v>8.37789661319073</v>
      </c>
      <c r="EL475" s="2">
        <v>14.081996434937601</v>
      </c>
      <c r="EM475" s="2">
        <v>6</v>
      </c>
      <c r="EN475" s="2">
        <v>5</v>
      </c>
      <c r="EO475" s="2">
        <v>6</v>
      </c>
      <c r="EP475" s="2" t="s">
        <v>102</v>
      </c>
      <c r="EQ475" s="2" t="s">
        <v>102</v>
      </c>
      <c r="ER475" s="2" t="s">
        <v>102</v>
      </c>
      <c r="ES475" s="2" t="s">
        <v>102</v>
      </c>
      <c r="ET475" s="2" t="str">
        <f>HYPERLINK(".\links\REFSEQ-INVERTEBRATE\AGAP004143-PA-REFSEQ-INVERTEBRATE.txt","AGAP004143-PA")</f>
        <v>AGAP004143-PA</v>
      </c>
      <c r="EU475" s="2" t="str">
        <f>HYPERLINK("http://www.ncbi.nlm.nih.gov/sutils/blink.cgi?pid=XP_313024.5","0.0")</f>
        <v>0.0</v>
      </c>
      <c r="EV475" s="2" t="str">
        <f>HYPERLINK("http://www.ncbi.nlm.nih.gov/protein/XP_313024.5","XP_313024.5")</f>
        <v>XP_313024.5</v>
      </c>
      <c r="EW475" s="2">
        <v>100</v>
      </c>
      <c r="EX475" s="2">
        <v>100</v>
      </c>
      <c r="EY475" s="2">
        <v>100</v>
      </c>
      <c r="EZ475" s="2" t="s">
        <v>105</v>
      </c>
    </row>
    <row r="476" spans="1:156" x14ac:dyDescent="0.25">
      <c r="A476" s="2" t="s">
        <v>5008</v>
      </c>
      <c r="B476" s="2">
        <v>-0.411027890416369</v>
      </c>
      <c r="C476" s="2">
        <f t="shared" si="7"/>
        <v>0.75208733607847778</v>
      </c>
      <c r="D476" s="2">
        <v>6.2009975196863101</v>
      </c>
      <c r="E476" s="2">
        <v>11.3306767609449</v>
      </c>
      <c r="F476" s="2">
        <v>7.62371123486042E-4</v>
      </c>
      <c r="G476" s="2">
        <v>2.9655933300736001E-2</v>
      </c>
      <c r="H476" s="2" t="s">
        <v>549</v>
      </c>
      <c r="I476" s="2" t="s">
        <v>88</v>
      </c>
      <c r="J476" s="8" t="s">
        <v>5009</v>
      </c>
      <c r="Q476" s="9"/>
      <c r="W476" s="10"/>
      <c r="AB476" s="9"/>
      <c r="AC476" s="9"/>
      <c r="AJ476" s="9"/>
      <c r="AN476" s="9"/>
      <c r="AO476" s="11"/>
      <c r="AP476" s="9"/>
      <c r="AT476" s="9"/>
      <c r="BA476" s="9"/>
      <c r="BH476" s="9"/>
      <c r="BO476" s="9"/>
      <c r="BV476" s="9"/>
      <c r="CB476" s="9"/>
      <c r="CG476" s="9"/>
      <c r="CL476" s="9"/>
      <c r="CP476" s="9"/>
      <c r="DE476" s="2" t="s">
        <v>5008</v>
      </c>
      <c r="DF476" s="2" t="s">
        <v>549</v>
      </c>
      <c r="DG476" s="2" t="s">
        <v>88</v>
      </c>
      <c r="DH476" s="8" t="s">
        <v>5009</v>
      </c>
      <c r="DI476" s="2" t="s">
        <v>135</v>
      </c>
      <c r="DJ476" s="2">
        <v>11823</v>
      </c>
      <c r="DQ476" s="2" t="s">
        <v>141</v>
      </c>
      <c r="DS476" s="2">
        <v>252482</v>
      </c>
      <c r="DT476" s="2">
        <v>6.86</v>
      </c>
      <c r="DX476" s="2">
        <v>2339</v>
      </c>
      <c r="DY476" s="12"/>
    </row>
    <row r="477" spans="1:156" x14ac:dyDescent="0.25">
      <c r="A477" s="2" t="s">
        <v>5010</v>
      </c>
      <c r="B477" s="2">
        <v>-0.41294427067397399</v>
      </c>
      <c r="C477" s="2">
        <f t="shared" si="7"/>
        <v>0.75108897644466543</v>
      </c>
      <c r="D477" s="2">
        <v>6.8782506294184698</v>
      </c>
      <c r="E477" s="2">
        <v>10.870219353406901</v>
      </c>
      <c r="F477" s="2">
        <v>9.7722954925185605E-4</v>
      </c>
      <c r="G477" s="2">
        <v>3.1950330044713503E-2</v>
      </c>
      <c r="H477" s="2" t="s">
        <v>5011</v>
      </c>
      <c r="I477" s="2" t="s">
        <v>102</v>
      </c>
      <c r="J477" s="2" t="str">
        <f>HYPERLINK("https://vectorbase.org/vectorbase/app/record/gene/AGAP000512","AGAP000512-RC")</f>
        <v>AGAP000512-RC</v>
      </c>
      <c r="K477" s="2" t="str">
        <f>HYPERLINK(".\links\pep\AGAP000512-PC-pep.txt","AGAP000512-PC")</f>
        <v>AGAP000512-PC</v>
      </c>
      <c r="L477" s="12" t="s">
        <v>95</v>
      </c>
      <c r="M477" s="2">
        <v>417</v>
      </c>
      <c r="N477" s="2">
        <v>0</v>
      </c>
      <c r="O477" s="2">
        <v>0</v>
      </c>
      <c r="P477" s="2" t="s">
        <v>5012</v>
      </c>
      <c r="Q477" s="9" t="s">
        <v>5013</v>
      </c>
      <c r="R477" s="2" t="s">
        <v>564</v>
      </c>
      <c r="S477" s="2" t="str">
        <f>HYPERLINK(".\links\KOG\AGAP000512-PC-KOG.txt","KOG")</f>
        <v>KOG</v>
      </c>
      <c r="T477" s="2">
        <v>0</v>
      </c>
      <c r="U477" s="2">
        <v>95.3</v>
      </c>
      <c r="V477" s="2" t="s">
        <v>5014</v>
      </c>
      <c r="W477" s="10" t="s">
        <v>5015</v>
      </c>
      <c r="X477" s="2" t="s">
        <v>420</v>
      </c>
      <c r="Y477" s="2" t="str">
        <f>HYPERLINK(".\links\REFSEQVERTEBRATE95\AGAP000512-PC-REFSEQVERTEBRATE95.txt","REFSEQVERTEBRATE95")</f>
        <v>REFSEQVERTEBRATE95</v>
      </c>
      <c r="Z477" s="2">
        <v>0</v>
      </c>
      <c r="AA477" s="2">
        <v>99.1</v>
      </c>
      <c r="AB477" s="13" t="s">
        <v>102</v>
      </c>
      <c r="AC477" s="13" t="str">
        <f>HYPERLINK(".\links\Sigp\AGAP000512-PC-SigP.txt","CYT")</f>
        <v>CYT</v>
      </c>
      <c r="AD477" s="2" t="s">
        <v>102</v>
      </c>
      <c r="AE477" s="2">
        <v>47.234999999999999</v>
      </c>
      <c r="AF477" s="2">
        <v>6.38</v>
      </c>
      <c r="AG477" s="2" t="s">
        <v>102</v>
      </c>
      <c r="AH477" s="2" t="s">
        <v>102</v>
      </c>
      <c r="AI477" s="2" t="s">
        <v>336</v>
      </c>
      <c r="AJ477" s="13">
        <v>0</v>
      </c>
      <c r="AK477" s="2" t="s">
        <v>102</v>
      </c>
      <c r="AL477" s="2" t="s">
        <v>102</v>
      </c>
      <c r="AM477" s="2" t="s">
        <v>102</v>
      </c>
      <c r="AN477" s="13" t="str">
        <f>HYPERLINK(".\links\gpi\AGAP000512-PC-gpi.txt","N")</f>
        <v>N</v>
      </c>
      <c r="AO477" s="14" t="str">
        <f>HYPERLINK(".\links\netoglyc\AGAP000512-PC-netoglyc.txt","1")</f>
        <v>1</v>
      </c>
      <c r="AP477" s="13">
        <v>12.7</v>
      </c>
      <c r="AQ477" s="2">
        <v>6.5</v>
      </c>
      <c r="AR477" s="2">
        <v>4.5999999999999996</v>
      </c>
      <c r="AS477" s="2" t="s">
        <v>104</v>
      </c>
      <c r="AT477" s="9" t="str">
        <f>HYPERLINK(".\links\NR-LIGHT\AGAP000512-PC-NR-LIGHT.txt","AGAP000512-PA, partial")</f>
        <v>AGAP000512-PA, partial</v>
      </c>
      <c r="AU477" s="2" t="str">
        <f>HYPERLINK("http://www.ncbi.nlm.nih.gov/sutils/blink.cgi?pid=XP_310580.4","0.0")</f>
        <v>0.0</v>
      </c>
      <c r="AV477" s="2" t="str">
        <f>HYPERLINK("http://www.ncbi.nlm.nih.gov/protein/XP_310580.4","XP_310580.4")</f>
        <v>XP_310580.4</v>
      </c>
      <c r="AW477" s="2">
        <v>99</v>
      </c>
      <c r="AX477" s="2">
        <v>99</v>
      </c>
      <c r="AY477" s="2">
        <v>92</v>
      </c>
      <c r="AZ477" s="2" t="s">
        <v>105</v>
      </c>
      <c r="BA477" s="9" t="str">
        <f>HYPERLINK(".\links\REFSEQ-INVERTEBRATE\AGAP000512-PC-REFSEQ-INVERTEBRATE.txt","AGAP000512-PA, partial")</f>
        <v>AGAP000512-PA, partial</v>
      </c>
      <c r="BB477" s="2" t="str">
        <f>HYPERLINK("http://www.ncbi.nlm.nih.gov/sutils/blink.cgi?pid=XP_310580.4","0.0")</f>
        <v>0.0</v>
      </c>
      <c r="BC477" s="2" t="str">
        <f>HYPERLINK("http://www.ncbi.nlm.nih.gov/protein/XP_310580.4","XP_310580.4")</f>
        <v>XP_310580.4</v>
      </c>
      <c r="BD477" s="2">
        <v>99</v>
      </c>
      <c r="BE477" s="2">
        <v>99</v>
      </c>
      <c r="BF477" s="2">
        <v>92</v>
      </c>
      <c r="BG477" s="2" t="s">
        <v>105</v>
      </c>
      <c r="BH477" s="9" t="str">
        <f>HYPERLINK(".\links\REFSEQ-PROTOZOA\AGAP000512-PC-REFSEQ-PROTOZOA.txt","hypothetical protein")</f>
        <v>hypothetical protein</v>
      </c>
      <c r="BI477" s="2" t="str">
        <f>HYPERLINK("http://www.ncbi.nlm.nih.gov/sutils/blink.cgi?pid=XP_001746963.1","4E-068")</f>
        <v>4E-068</v>
      </c>
      <c r="BJ477" s="2" t="str">
        <f>HYPERLINK("http://www.ncbi.nlm.nih.gov/protein/XP_001746963.1","XP_001746963.1")</f>
        <v>XP_001746963.1</v>
      </c>
      <c r="BK477" s="2">
        <v>41</v>
      </c>
      <c r="BL477" s="2">
        <v>55</v>
      </c>
      <c r="BM477" s="2">
        <v>90</v>
      </c>
      <c r="BN477" s="2" t="s">
        <v>248</v>
      </c>
      <c r="BO477" s="9" t="str">
        <f>HYPERLINK(".\links\SWISSP\AGAP000512-PC-SWISSP.txt","Protein scalloped")</f>
        <v>Protein scalloped</v>
      </c>
      <c r="BP477" s="2" t="str">
        <f>HYPERLINK("http://www.uniprot.org/uniprot/P30052","1E-164")</f>
        <v>1E-164</v>
      </c>
      <c r="BQ477" s="2" t="str">
        <f>HYPERLINK("http://www.uniprot.org/uniprot/P30052#expression","P30052")</f>
        <v>P30052</v>
      </c>
      <c r="BR477" s="2">
        <v>71</v>
      </c>
      <c r="BS477" s="2">
        <v>84</v>
      </c>
      <c r="BT477" s="2">
        <v>92</v>
      </c>
      <c r="BU477" s="2" t="s">
        <v>107</v>
      </c>
      <c r="BV477" s="9" t="str">
        <f>HYPERLINK(".\links\FLYBASE\AGAP000512-PC-FLYBASE.txt","FBpp0300453")</f>
        <v>FBpp0300453</v>
      </c>
      <c r="BW477" s="2" t="str">
        <f>HYPERLINK("http://flybase.org/reports/FBgn0003345#alliance_summary_container","0.0")</f>
        <v>0.0</v>
      </c>
      <c r="BX477" s="2">
        <v>435</v>
      </c>
      <c r="BY477" s="2">
        <v>72</v>
      </c>
      <c r="BZ477" s="2">
        <v>85</v>
      </c>
      <c r="CA477" s="2">
        <v>92</v>
      </c>
      <c r="CB477" s="9" t="str">
        <f>HYPERLINK(".\links\CDD\AGAP000512-PC-CDD.txt","TEA, TEA domain")</f>
        <v>TEA, TEA domain</v>
      </c>
      <c r="CC477" s="15">
        <v>6.9999999999999997E-33</v>
      </c>
      <c r="CD477" s="2">
        <v>100</v>
      </c>
      <c r="CE477" s="2" t="s">
        <v>5016</v>
      </c>
      <c r="CF477" s="2" t="s">
        <v>5017</v>
      </c>
      <c r="CG477" s="9" t="str">
        <f>HYPERLINK(".\links\KOG\AGAP000512-PC-KOG.txt","TEAD family")</f>
        <v>TEAD family</v>
      </c>
      <c r="CH477" s="15">
        <v>9.9999999999999995E-163</v>
      </c>
      <c r="CI477" s="2">
        <v>95.4</v>
      </c>
      <c r="CJ477" s="2" t="s">
        <v>5018</v>
      </c>
      <c r="CK477" s="2" t="s">
        <v>309</v>
      </c>
      <c r="CL477" s="9" t="str">
        <f>HYPERLINK(".\links\PFAM\AGAP000512-PC-PFAM.txt","TEA, TEA/ATTS domain family")</f>
        <v>TEA, TEA/ATTS domain family</v>
      </c>
      <c r="CM477" s="15">
        <v>3E-23</v>
      </c>
      <c r="CN477" s="2">
        <v>13.9</v>
      </c>
      <c r="CO477" s="2" t="s">
        <v>5019</v>
      </c>
      <c r="CP477" s="9" t="str">
        <f>HYPERLINK(".\links\SMART\AGAP000512-PC-SMART.txt","TEA, TEA domain")</f>
        <v>TEA, TEA domain</v>
      </c>
      <c r="CQ477" s="15">
        <v>5.9999999999999998E-35</v>
      </c>
      <c r="CR477" s="2">
        <v>100</v>
      </c>
      <c r="CS477" s="2" t="s">
        <v>5016</v>
      </c>
      <c r="CT477" s="2" t="s">
        <v>5014</v>
      </c>
      <c r="CU477" s="2" t="s">
        <v>5014</v>
      </c>
      <c r="CV477" s="2" t="s">
        <v>5014</v>
      </c>
      <c r="CW477" s="2" t="str">
        <f>HYPERLINK(".\links\pep\AGAP000512-PC-pep.txt","AGAP000512-PC")</f>
        <v>AGAP000512-PC</v>
      </c>
      <c r="CX477" s="2" t="s">
        <v>95</v>
      </c>
      <c r="CY477" s="2">
        <v>417</v>
      </c>
      <c r="CZ477" s="2" t="s">
        <v>113</v>
      </c>
      <c r="DA477" s="2">
        <v>0</v>
      </c>
      <c r="DB477" s="2">
        <v>0</v>
      </c>
      <c r="DD477" s="2" t="str">
        <f>HYPERLINK("https://www.kegg.jp/kegg-bin/search_pathway_text?map=aga&amp;keyword=AGAP000512&amp;mode=1&amp;viewImage=true","AGAP000512")</f>
        <v>AGAP000512</v>
      </c>
      <c r="DE477" s="2" t="s">
        <v>5010</v>
      </c>
      <c r="DF477" s="2" t="s">
        <v>5011</v>
      </c>
      <c r="DG477" s="2" t="s">
        <v>102</v>
      </c>
      <c r="DH477" s="2" t="str">
        <f>HYPERLINK("https://vectorbase.org/vectorbase/app/record/gene/AGAP000512","AGAP000512-RC")</f>
        <v>AGAP000512-RC</v>
      </c>
      <c r="DI477" s="2" t="s">
        <v>118</v>
      </c>
      <c r="DJ477" s="2">
        <v>8971</v>
      </c>
      <c r="DK477" s="2" t="str">
        <f>HYPERLINK(".\links\netoglyc\AGAP000512-PC-netoglyc.txt","1")</f>
        <v>1</v>
      </c>
      <c r="DL477" s="2">
        <v>12.7</v>
      </c>
      <c r="DM477" s="2">
        <v>6.5</v>
      </c>
      <c r="DN477" s="2">
        <v>4.5999999999999996</v>
      </c>
      <c r="DO477" s="2" t="s">
        <v>104</v>
      </c>
      <c r="DP477" s="2" t="s">
        <v>102</v>
      </c>
      <c r="DQ477" s="2" t="str">
        <f>HYPERLINK(".\links\Sigp\AGAP000512-PC-SigP.txt","CYT")</f>
        <v>CYT</v>
      </c>
      <c r="DR477" s="2" t="s">
        <v>102</v>
      </c>
      <c r="DS477" s="2">
        <v>47.234999999999999</v>
      </c>
      <c r="DT477" s="2">
        <v>6.38</v>
      </c>
      <c r="DU477" s="2" t="s">
        <v>102</v>
      </c>
      <c r="DV477" s="2" t="s">
        <v>102</v>
      </c>
      <c r="DW477" s="2" t="s">
        <v>336</v>
      </c>
      <c r="DX477" s="2">
        <v>417</v>
      </c>
      <c r="DY477" s="12">
        <v>0</v>
      </c>
      <c r="DZ477" s="2" t="s">
        <v>102</v>
      </c>
      <c r="EA477" s="2" t="s">
        <v>102</v>
      </c>
      <c r="EB477" s="2" t="s">
        <v>102</v>
      </c>
      <c r="EC477" s="2" t="str">
        <f>HYPERLINK(".\links\gpi\AGAP000512-PC-gpi.txt","Y-NoSP")</f>
        <v>Y-NoSP</v>
      </c>
      <c r="ED477" s="2">
        <v>0.13</v>
      </c>
      <c r="EF477" s="2">
        <v>6</v>
      </c>
      <c r="EG477" s="2" t="s">
        <v>102</v>
      </c>
      <c r="EH477" s="2" t="s">
        <v>102</v>
      </c>
      <c r="EI477" s="2">
        <v>12.709832134292601</v>
      </c>
      <c r="EJ477" s="2">
        <v>4.5563549160671499</v>
      </c>
      <c r="EK477" s="2">
        <v>6.47482014388489</v>
      </c>
      <c r="EL477" s="2">
        <v>11.031175059952</v>
      </c>
      <c r="EM477" s="2">
        <v>1</v>
      </c>
      <c r="EN477" s="2" t="s">
        <v>102</v>
      </c>
      <c r="EO477" s="2" t="s">
        <v>102</v>
      </c>
      <c r="EP477" s="2" t="s">
        <v>102</v>
      </c>
      <c r="EQ477" s="2" t="s">
        <v>102</v>
      </c>
      <c r="ER477" s="2" t="s">
        <v>102</v>
      </c>
      <c r="ES477" s="2" t="s">
        <v>102</v>
      </c>
      <c r="ET477" s="2" t="str">
        <f>HYPERLINK(".\links\REFSEQ-INVERTEBRATE\AGAP000512-PC-REFSEQ-INVERTEBRATE.txt","protein scalloped isoform X2")</f>
        <v>protein scalloped isoform X2</v>
      </c>
      <c r="EU477" s="2" t="str">
        <f>HYPERLINK("http://www.ncbi.nlm.nih.gov/sutils/blink.cgi?pid=XP_035897310.1","0.0")</f>
        <v>0.0</v>
      </c>
      <c r="EV477" s="2" t="str">
        <f>HYPERLINK("http://www.ncbi.nlm.nih.gov/protein/XP_035897310.1","XP_035897310.1")</f>
        <v>XP_035897310.1</v>
      </c>
      <c r="EW477" s="2">
        <v>99</v>
      </c>
      <c r="EX477" s="2">
        <v>99</v>
      </c>
      <c r="EY477" s="2">
        <v>100</v>
      </c>
      <c r="EZ477" s="2" t="s">
        <v>370</v>
      </c>
    </row>
    <row r="478" spans="1:156" x14ac:dyDescent="0.25">
      <c r="A478" s="2" t="s">
        <v>5020</v>
      </c>
      <c r="B478" s="2">
        <v>-0.41341710683372102</v>
      </c>
      <c r="C478" s="2">
        <f t="shared" si="7"/>
        <v>0.75084285108516591</v>
      </c>
      <c r="D478" s="2">
        <v>8.71973517952501</v>
      </c>
      <c r="E478" s="2">
        <v>8.9194455843310703</v>
      </c>
      <c r="F478" s="2">
        <v>2.8215015203926401E-3</v>
      </c>
      <c r="G478" s="2">
        <v>4.9127027355953E-2</v>
      </c>
      <c r="H478" s="2" t="s">
        <v>5021</v>
      </c>
      <c r="I478" s="2" t="s">
        <v>94</v>
      </c>
      <c r="J478" s="2" t="str">
        <f>HYPERLINK("https://vectorbase.org/vectorbase/app/record/gene/AGAP006133","AGAP006133-RA")</f>
        <v>AGAP006133-RA</v>
      </c>
      <c r="K478" s="2" t="str">
        <f>HYPERLINK(".\links\pep\AGAP006133-PA-pep.txt","AGAP006133-PA")</f>
        <v>AGAP006133-PA</v>
      </c>
      <c r="L478" s="12" t="s">
        <v>95</v>
      </c>
      <c r="M478" s="2">
        <v>3307</v>
      </c>
      <c r="N478" s="2">
        <v>0</v>
      </c>
      <c r="O478" s="2">
        <v>6</v>
      </c>
      <c r="P478" s="2" t="s">
        <v>5022</v>
      </c>
      <c r="Q478" s="9" t="s">
        <v>5023</v>
      </c>
      <c r="R478" s="2" t="s">
        <v>388</v>
      </c>
      <c r="S478" s="2" t="str">
        <f>HYPERLINK(".\links\KOG\AGAP006133-PA-KOG.txt","KOG")</f>
        <v>KOG</v>
      </c>
      <c r="T478" s="2">
        <v>0</v>
      </c>
      <c r="U478" s="2">
        <v>36.4</v>
      </c>
      <c r="V478" s="2" t="s">
        <v>5024</v>
      </c>
      <c r="W478" s="10" t="s">
        <v>5025</v>
      </c>
      <c r="X478" s="2" t="s">
        <v>388</v>
      </c>
      <c r="Y478" s="2" t="str">
        <f>HYPERLINK(".\links\KOG\AGAP006133-PA-KOG.txt","KOG")</f>
        <v>KOG</v>
      </c>
      <c r="Z478" s="15">
        <v>9.9999999999999991E-97</v>
      </c>
      <c r="AA478" s="2">
        <v>22.2</v>
      </c>
      <c r="AB478" s="13" t="str">
        <f>HYPERLINK(".\links\pep\AGAP006133-PA-sulf.txt","4")</f>
        <v>4</v>
      </c>
      <c r="AC478" s="13" t="str">
        <f>HYPERLINK(".\links\Sigp\AGAP006133-PA-SigP.txt","CYT")</f>
        <v>CYT</v>
      </c>
      <c r="AD478" s="2" t="s">
        <v>102</v>
      </c>
      <c r="AE478" s="2">
        <v>364.02199999999999</v>
      </c>
      <c r="AF478" s="2">
        <v>8.9600000000000009</v>
      </c>
      <c r="AG478" s="2" t="s">
        <v>102</v>
      </c>
      <c r="AH478" s="2" t="s">
        <v>102</v>
      </c>
      <c r="AI478" s="2" t="s">
        <v>211</v>
      </c>
      <c r="AJ478" s="13">
        <v>0</v>
      </c>
      <c r="AK478" s="2" t="s">
        <v>102</v>
      </c>
      <c r="AL478" s="2" t="s">
        <v>102</v>
      </c>
      <c r="AM478" s="2" t="s">
        <v>102</v>
      </c>
      <c r="AN478" s="13" t="str">
        <f>HYPERLINK(".\links\gpi\AGAP006133-PA-gpi.txt","N")</f>
        <v>N</v>
      </c>
      <c r="AO478" s="14" t="str">
        <f>HYPERLINK(".\links\netoglyc\AGAP006133-PA-netoglyc.txt","6")</f>
        <v>6</v>
      </c>
      <c r="AP478" s="13">
        <v>15.1</v>
      </c>
      <c r="AQ478" s="2">
        <v>6.5</v>
      </c>
      <c r="AR478" s="2">
        <v>5.3</v>
      </c>
      <c r="AS478" s="2" t="s">
        <v>104</v>
      </c>
      <c r="AT478" s="9" t="str">
        <f>HYPERLINK(".\links\NR-LIGHT\AGAP006133-PA-NR-LIGHT.txt","nucleosome-remodeling factor subunit NURF301")</f>
        <v>nucleosome-remodeling factor subunit NURF301</v>
      </c>
      <c r="AU478" s="2" t="str">
        <f>HYPERLINK("http://www.ncbi.nlm.nih.gov/sutils/blink.cgi?pid=XP_021697849.1","0.0")</f>
        <v>0.0</v>
      </c>
      <c r="AV478" s="2" t="str">
        <f>HYPERLINK("http://www.ncbi.nlm.nih.gov/protein/XP_021697849.1","XP_021697849.1")</f>
        <v>XP_021697849.1</v>
      </c>
      <c r="AW478" s="2">
        <v>53</v>
      </c>
      <c r="AX478" s="2">
        <v>66</v>
      </c>
      <c r="AY478" s="2">
        <v>113</v>
      </c>
      <c r="AZ478" s="2" t="s">
        <v>391</v>
      </c>
      <c r="BA478" s="9" t="str">
        <f>HYPERLINK(".\links\REFSEQ-INVERTEBRATE\AGAP006133-PA-REFSEQ-INVERTEBRATE.txt","nucleosome-remodeling factor subunit NURF301")</f>
        <v>nucleosome-remodeling factor subunit NURF301</v>
      </c>
      <c r="BB478" s="2" t="str">
        <f>HYPERLINK("http://www.ncbi.nlm.nih.gov/sutils/blink.cgi?pid=XP_021697849.1","0.0")</f>
        <v>0.0</v>
      </c>
      <c r="BC478" s="2" t="str">
        <f>HYPERLINK("http://www.ncbi.nlm.nih.gov/protein/XP_021697849.1","XP_021697849.1")</f>
        <v>XP_021697849.1</v>
      </c>
      <c r="BD478" s="2">
        <v>53</v>
      </c>
      <c r="BE478" s="2">
        <v>66</v>
      </c>
      <c r="BF478" s="2">
        <v>113</v>
      </c>
      <c r="BG478" s="2" t="s">
        <v>391</v>
      </c>
      <c r="BH478" s="9" t="str">
        <f>HYPERLINK(".\links\REFSEQ-PROTOZOA\AGAP006133-PA-REFSEQ-PROTOZOA.txt","hypothetical protein, conserved")</f>
        <v>hypothetical protein, conserved</v>
      </c>
      <c r="BI478" s="2" t="str">
        <f>HYPERLINK("http://www.ncbi.nlm.nih.gov/sutils/blink.cgi?pid=XP_013350917.1","8E-053")</f>
        <v>8E-053</v>
      </c>
      <c r="BJ478" s="2" t="str">
        <f>HYPERLINK("http://www.ncbi.nlm.nih.gov/protein/XP_013350917.1","XP_013350917.1")</f>
        <v>XP_013350917.1</v>
      </c>
      <c r="BK478" s="2">
        <v>24</v>
      </c>
      <c r="BL478" s="2">
        <v>36</v>
      </c>
      <c r="BM478" s="2">
        <v>48</v>
      </c>
      <c r="BN478" s="2" t="s">
        <v>568</v>
      </c>
      <c r="BO478" s="9" t="str">
        <f>HYPERLINK(".\links\SWISSP\AGAP006133-PA-SWISSP.txt","Nucleosome-remodeling factor subunit NURF301")</f>
        <v>Nucleosome-remodeling factor subunit NURF301</v>
      </c>
      <c r="BP478" s="2" t="str">
        <f>HYPERLINK("http://www.uniprot.org/uniprot/Q9W0T1","0.0")</f>
        <v>0.0</v>
      </c>
      <c r="BQ478" s="2" t="str">
        <f>HYPERLINK("http://www.uniprot.org/uniprot/Q9W0T1#expression","Q9W0T1")</f>
        <v>Q9W0T1</v>
      </c>
      <c r="BR478" s="2">
        <v>37</v>
      </c>
      <c r="BS478" s="2">
        <v>51</v>
      </c>
      <c r="BT478" s="2">
        <v>81</v>
      </c>
      <c r="BU478" s="2" t="s">
        <v>107</v>
      </c>
      <c r="BV478" s="9" t="str">
        <f>HYPERLINK(".\links\FLYBASE\AGAP006133-PA-FLYBASE.txt","FBpp0089425")</f>
        <v>FBpp0089425</v>
      </c>
      <c r="BW478" s="2" t="str">
        <f>HYPERLINK("http://flybase.org/reports/FBgn0000541#alliance_summary_container","0.0")</f>
        <v>0.0</v>
      </c>
      <c r="BX478" s="2">
        <v>2159</v>
      </c>
      <c r="BY478" s="2">
        <v>38</v>
      </c>
      <c r="BZ478" s="2">
        <v>52</v>
      </c>
      <c r="CA478" s="2">
        <v>72</v>
      </c>
      <c r="CB478" s="9" t="str">
        <f>HYPERLINK(".\links\CDD\AGAP006133-PA-CDD.txt","Bromo_gcn5_like, Bromodomain")</f>
        <v>Bromo_gcn5_like, Bromodomain</v>
      </c>
      <c r="CC478" s="15">
        <v>2.0000000000000001E-42</v>
      </c>
      <c r="CD478" s="2">
        <v>96</v>
      </c>
      <c r="CE478" s="2" t="s">
        <v>5026</v>
      </c>
      <c r="CF478" s="2" t="s">
        <v>5027</v>
      </c>
      <c r="CG478" s="9" t="str">
        <f>HYPERLINK(".\links\KOG\AGAP006133-PA-KOG.txt","subunit NURF301/BPTF")</f>
        <v>subunit NURF301/BPTF</v>
      </c>
      <c r="CH478" s="15">
        <v>1.0000000000000001E-123</v>
      </c>
      <c r="CI478" s="2">
        <v>36.4</v>
      </c>
      <c r="CJ478" s="2" t="s">
        <v>5028</v>
      </c>
      <c r="CK478" s="2" t="s">
        <v>629</v>
      </c>
      <c r="CL478" s="9" t="str">
        <f>HYPERLINK(".\links\PFAM\AGAP006133-PA-PFAM.txt","Bromodomain, Bromodomain")</f>
        <v>Bromodomain, Bromodomain</v>
      </c>
      <c r="CM478" s="15">
        <v>5.0000000000000002E-23</v>
      </c>
      <c r="CN478" s="2">
        <v>98.8</v>
      </c>
      <c r="CO478" s="2" t="s">
        <v>4215</v>
      </c>
      <c r="CP478" s="9" t="str">
        <f>HYPERLINK(".\links\SMART\AGAP006133-PA-SMART.txt","BROMO, bromo domain")</f>
        <v>BROMO, bromo domain</v>
      </c>
      <c r="CQ478" s="15">
        <v>1.0000000000000001E-31</v>
      </c>
      <c r="CR478" s="2">
        <v>89.7</v>
      </c>
      <c r="CS478" s="2" t="s">
        <v>2466</v>
      </c>
      <c r="CT478" s="2" t="s">
        <v>5024</v>
      </c>
      <c r="CU478" s="2" t="s">
        <v>5024</v>
      </c>
      <c r="CV478" s="2" t="s">
        <v>5024</v>
      </c>
      <c r="CW478" s="2" t="str">
        <f>HYPERLINK(".\links\pep\AGAP006133-PA-pep.txt","AGAP006133-PA")</f>
        <v>AGAP006133-PA</v>
      </c>
      <c r="CX478" s="2" t="s">
        <v>95</v>
      </c>
      <c r="CY478" s="2">
        <v>3307</v>
      </c>
      <c r="CZ478" s="2" t="s">
        <v>113</v>
      </c>
      <c r="DA478" s="2" t="s">
        <v>5029</v>
      </c>
      <c r="DB478" s="2">
        <v>0</v>
      </c>
      <c r="DC478" s="2">
        <v>6</v>
      </c>
      <c r="DD478" s="2" t="str">
        <f>HYPERLINK("https://www.kegg.jp/kegg-bin/search_pathway_text?map=aga&amp;keyword=AGAP006133&amp;mode=1&amp;viewImage=true","AGAP006133")</f>
        <v>AGAP006133</v>
      </c>
      <c r="DE478" s="2" t="s">
        <v>5020</v>
      </c>
      <c r="DF478" s="2" t="s">
        <v>5021</v>
      </c>
      <c r="DG478" s="2" t="s">
        <v>94</v>
      </c>
      <c r="DH478" s="2" t="str">
        <f>HYPERLINK("https://vectorbase.org/vectorbase/app/record/gene/AGAP006133","AGAP006133-RA")</f>
        <v>AGAP006133-RA</v>
      </c>
      <c r="DI478" s="2" t="s">
        <v>115</v>
      </c>
      <c r="DJ478" s="2">
        <v>11906</v>
      </c>
      <c r="DK478" s="2" t="str">
        <f>HYPERLINK(".\links\netoglyc\AGAP006133-PA-netoglyc.txt","6")</f>
        <v>6</v>
      </c>
      <c r="DL478" s="2">
        <v>15.1</v>
      </c>
      <c r="DM478" s="2">
        <v>6.5</v>
      </c>
      <c r="DN478" s="2">
        <v>5.3</v>
      </c>
      <c r="DO478" s="2" t="s">
        <v>104</v>
      </c>
      <c r="DP478" s="2" t="s">
        <v>5030</v>
      </c>
      <c r="DQ478" s="2" t="str">
        <f>HYPERLINK(".\links\Sigp\AGAP006133-PA-SigP.txt","CYT")</f>
        <v>CYT</v>
      </c>
      <c r="DR478" s="2" t="s">
        <v>102</v>
      </c>
      <c r="DS478" s="2">
        <v>364.02199999999999</v>
      </c>
      <c r="DT478" s="2">
        <v>8.9600000000000009</v>
      </c>
      <c r="DU478" s="2" t="s">
        <v>102</v>
      </c>
      <c r="DV478" s="2" t="s">
        <v>102</v>
      </c>
      <c r="DW478" s="2" t="s">
        <v>211</v>
      </c>
      <c r="DX478" s="2">
        <v>3307</v>
      </c>
      <c r="DY478" s="12">
        <v>0</v>
      </c>
      <c r="DZ478" s="2" t="s">
        <v>102</v>
      </c>
      <c r="EA478" s="2" t="s">
        <v>102</v>
      </c>
      <c r="EB478" s="2" t="s">
        <v>102</v>
      </c>
      <c r="EC478" s="2" t="str">
        <f>HYPERLINK(".\links\gpi\AGAP006133-PA-gpi.txt","Y-NoSP")</f>
        <v>Y-NoSP</v>
      </c>
      <c r="ED478" s="2">
        <v>0.18</v>
      </c>
      <c r="EF478" s="2">
        <v>48</v>
      </c>
      <c r="EG478" s="2" t="str">
        <f>HYPERLINK(".\links\pep\AGAP006133-PA-sulf.txt","4")</f>
        <v>4</v>
      </c>
      <c r="EH478" s="2">
        <v>1</v>
      </c>
      <c r="EI478" s="2">
        <v>15.058965830057501</v>
      </c>
      <c r="EJ478" s="2">
        <v>5.2918052615663704</v>
      </c>
      <c r="EK478" s="2">
        <v>6.5013607499243999</v>
      </c>
      <c r="EL478" s="2">
        <v>11.793166011490801</v>
      </c>
      <c r="EM478" s="2">
        <v>3</v>
      </c>
      <c r="EN478" s="2">
        <v>8</v>
      </c>
      <c r="EO478" s="2">
        <v>13</v>
      </c>
      <c r="EP478" s="2" t="s">
        <v>102</v>
      </c>
      <c r="EQ478" s="2" t="s">
        <v>102</v>
      </c>
      <c r="ER478" s="2" t="s">
        <v>102</v>
      </c>
      <c r="ES478" s="2" t="s">
        <v>102</v>
      </c>
      <c r="ET478" s="2" t="str">
        <f>HYPERLINK(".\links\REFSEQ-INVERTEBRATE\AGAP006133-PA-REFSEQ-INVERTEBRATE.txt","nucleosome-remodeling factor subunit NURF301 isoform X1")</f>
        <v>nucleosome-remodeling factor subunit NURF301 isoform X1</v>
      </c>
      <c r="EU478" s="2" t="str">
        <f>HYPERLINK("http://www.ncbi.nlm.nih.gov/sutils/blink.cgi?pid=XP_035907823.1","0.0")</f>
        <v>0.0</v>
      </c>
      <c r="EV478" s="2" t="str">
        <f>HYPERLINK("http://www.ncbi.nlm.nih.gov/protein/XP_035907823.1","XP_035907823.1")</f>
        <v>XP_035907823.1</v>
      </c>
      <c r="EW478" s="2">
        <v>77</v>
      </c>
      <c r="EX478" s="2">
        <v>83</v>
      </c>
      <c r="EY478" s="2">
        <v>103</v>
      </c>
      <c r="EZ478" s="2" t="s">
        <v>370</v>
      </c>
    </row>
    <row r="479" spans="1:156" x14ac:dyDescent="0.25">
      <c r="A479" s="2" t="s">
        <v>5031</v>
      </c>
      <c r="B479" s="2">
        <v>-0.41401682104244197</v>
      </c>
      <c r="C479" s="2">
        <f t="shared" si="7"/>
        <v>0.75053079792374744</v>
      </c>
      <c r="D479" s="2">
        <v>7.2731790497384399</v>
      </c>
      <c r="E479" s="2">
        <v>10.001402489728999</v>
      </c>
      <c r="F479" s="2">
        <v>1.5642105499979501E-3</v>
      </c>
      <c r="G479" s="2">
        <v>3.8731896910124998E-2</v>
      </c>
      <c r="H479" s="2" t="s">
        <v>5032</v>
      </c>
      <c r="I479" s="2" t="s">
        <v>94</v>
      </c>
      <c r="J479" s="2" t="str">
        <f>HYPERLINK("https://vectorbase.org/vectorbase/app/record/gene/AGAP000489","AGAP000489-RA")</f>
        <v>AGAP000489-RA</v>
      </c>
      <c r="K479" s="2" t="str">
        <f>HYPERLINK(".\links\pep\AGAP000489-PA-pep.txt","AGAP000489-PA")</f>
        <v>AGAP000489-PA</v>
      </c>
      <c r="L479" s="12" t="s">
        <v>95</v>
      </c>
      <c r="M479" s="2">
        <v>1168</v>
      </c>
      <c r="N479" s="2">
        <v>0</v>
      </c>
      <c r="O479" s="2">
        <v>2</v>
      </c>
      <c r="P479" s="2" t="s">
        <v>5033</v>
      </c>
      <c r="Q479" s="9" t="s">
        <v>5034</v>
      </c>
      <c r="R479" s="2" t="s">
        <v>355</v>
      </c>
      <c r="S479" s="2" t="str">
        <f>HYPERLINK(".\links\CDD\AGAP000489-PA-CDD.txt","CDD")</f>
        <v>CDD</v>
      </c>
      <c r="T479" s="2">
        <v>0</v>
      </c>
      <c r="U479" s="2">
        <v>100.3</v>
      </c>
      <c r="V479" s="2" t="s">
        <v>5035</v>
      </c>
      <c r="W479" s="10" t="s">
        <v>5036</v>
      </c>
      <c r="X479" s="2" t="s">
        <v>355</v>
      </c>
      <c r="Y479" s="2" t="str">
        <f>HYPERLINK(".\links\REFSEQVERTEBRATE95\AGAP000489-PA-REFSEQVERTEBRATE95.txt","REFSEQVERTEBRATE95")</f>
        <v>REFSEQVERTEBRATE95</v>
      </c>
      <c r="Z479" s="15">
        <v>0</v>
      </c>
      <c r="AA479" s="2">
        <v>96.9</v>
      </c>
      <c r="AB479" s="13" t="str">
        <f>HYPERLINK(".\links\pep\AGAP000489-PA-sulf.txt","2")</f>
        <v>2</v>
      </c>
      <c r="AC479" s="13" t="str">
        <f>HYPERLINK(".\links\Sigp\AGAP000489-PA-SigP.txt","SIG")</f>
        <v>SIG</v>
      </c>
      <c r="AD479" s="2" t="s">
        <v>184</v>
      </c>
      <c r="AE479" s="2">
        <v>128.35599999999999</v>
      </c>
      <c r="AF479" s="2">
        <v>5.89</v>
      </c>
      <c r="AG479" s="2">
        <v>125.73</v>
      </c>
      <c r="AH479" s="2">
        <v>5.89</v>
      </c>
      <c r="AI479" s="2" t="s">
        <v>5037</v>
      </c>
      <c r="AJ479" s="13" t="str">
        <f>HYPERLINK(".\links\tmhmm\AGAP000489-PA-tmhmm.txt","1")</f>
        <v>1</v>
      </c>
      <c r="AK479" s="2">
        <v>1.9</v>
      </c>
      <c r="AL479" s="2">
        <v>52</v>
      </c>
      <c r="AM479" s="2">
        <v>46.1</v>
      </c>
      <c r="AN479" s="13" t="str">
        <f>HYPERLINK(".\links\gpi\AGAP000489-PA-gpi.txt","N")</f>
        <v>N</v>
      </c>
      <c r="AO479" s="14" t="str">
        <f>HYPERLINK(".\links\netoglyc\AGAP000489-PA-netoglyc.txt","2")</f>
        <v>2</v>
      </c>
      <c r="AP479" s="13">
        <v>14.7</v>
      </c>
      <c r="AQ479" s="2">
        <v>8</v>
      </c>
      <c r="AR479" s="2">
        <v>5.0999999999999996</v>
      </c>
      <c r="AS479" s="2" t="s">
        <v>104</v>
      </c>
      <c r="AT479" s="9" t="str">
        <f>HYPERLINK(".\links\NR-LIGHT\AGAP000489-PA-NR-LIGHT.txt","AGAP000489-PA-like protein")</f>
        <v>AGAP000489-PA-like protein</v>
      </c>
      <c r="AU479" s="2" t="str">
        <f>HYPERLINK("http://www.ncbi.nlm.nih.gov/sutils/blink.cgi?pid=KFB48983.1","0.0")</f>
        <v>0.0</v>
      </c>
      <c r="AV479" s="2" t="str">
        <f>HYPERLINK("http://www.ncbi.nlm.nih.gov/protein/KFB48983.1","KFB48983.1")</f>
        <v>KFB48983.1</v>
      </c>
      <c r="AW479" s="2">
        <v>90</v>
      </c>
      <c r="AX479" s="2">
        <v>92</v>
      </c>
      <c r="AY479" s="2">
        <v>100</v>
      </c>
      <c r="AZ479" s="2" t="s">
        <v>1522</v>
      </c>
      <c r="BA479" s="9" t="str">
        <f>HYPERLINK(".\links\REFSEQ-INVERTEBRATE\AGAP000489-PA-REFSEQ-INVERTEBRATE.txt","ephrin type-A receptor 3 isoform X5")</f>
        <v>ephrin type-A receptor 3 isoform X5</v>
      </c>
      <c r="BB479" s="2" t="str">
        <f>HYPERLINK("http://www.ncbi.nlm.nih.gov/sutils/blink.cgi?pid=XP_019565619.1","0.0")</f>
        <v>0.0</v>
      </c>
      <c r="BC479" s="2" t="str">
        <f>HYPERLINK("http://www.ncbi.nlm.nih.gov/protein/XP_019565619.1","XP_019565619.1")</f>
        <v>XP_019565619.1</v>
      </c>
      <c r="BD479" s="2">
        <v>84</v>
      </c>
      <c r="BE479" s="2">
        <v>89</v>
      </c>
      <c r="BF479" s="2">
        <v>106</v>
      </c>
      <c r="BG479" s="2" t="s">
        <v>361</v>
      </c>
      <c r="BH479" s="9" t="str">
        <f>HYPERLINK(".\links\REFSEQ-PROTOZOA\AGAP000489-PA-REFSEQ-PROTOZOA.txt","TK protein kinase")</f>
        <v>TK protein kinase</v>
      </c>
      <c r="BI479" s="2" t="str">
        <f>HYPERLINK("http://www.ncbi.nlm.nih.gov/sutils/blink.cgi?pid=XP_004992168.1","2E-080")</f>
        <v>2E-080</v>
      </c>
      <c r="BJ479" s="2" t="str">
        <f>HYPERLINK("http://www.ncbi.nlm.nih.gov/protein/XP_004992168.1","XP_004992168.1")</f>
        <v>XP_004992168.1</v>
      </c>
      <c r="BK479" s="2">
        <v>43</v>
      </c>
      <c r="BL479" s="2">
        <v>60</v>
      </c>
      <c r="BM479" s="2">
        <v>43</v>
      </c>
      <c r="BN479" s="2" t="s">
        <v>435</v>
      </c>
      <c r="BO479" s="9" t="str">
        <f>HYPERLINK(".\links\SWISSP\AGAP000489-PA-SWISSP.txt","Ephrin type-B receptor 1")</f>
        <v>Ephrin type-B receptor 1</v>
      </c>
      <c r="BP479" s="2" t="str">
        <f>HYPERLINK("http://www.uniprot.org/uniprot/P09759","0.0")</f>
        <v>0.0</v>
      </c>
      <c r="BQ479" s="2" t="str">
        <f>HYPERLINK("http://www.uniprot.org/uniprot/P09759#expression","P09759")</f>
        <v>P09759</v>
      </c>
      <c r="BR479" s="2">
        <v>41</v>
      </c>
      <c r="BS479" s="2">
        <v>56</v>
      </c>
      <c r="BT479" s="2">
        <v>101</v>
      </c>
      <c r="BU479" s="2" t="s">
        <v>305</v>
      </c>
      <c r="BV479" s="9" t="str">
        <f>HYPERLINK(".\links\FLYBASE\AGAP000489-PA-FLYBASE.txt","FBpp0088153")</f>
        <v>FBpp0088153</v>
      </c>
      <c r="BW479" s="2" t="str">
        <f>HYPERLINK("http://flybase.org/reports/FBgn0025936#alliance_summary_container","0.0")</f>
        <v>0.0</v>
      </c>
      <c r="BX479" s="2">
        <v>1096</v>
      </c>
      <c r="BY479" s="2">
        <v>76</v>
      </c>
      <c r="BZ479" s="2">
        <v>85</v>
      </c>
      <c r="CA479" s="2">
        <v>88</v>
      </c>
      <c r="CB479" s="9" t="str">
        <f>HYPERLINK(".\links\CDD\AGAP000489-PA-CDD.txt","PTKc_EphR, Catalytic domain of Ephrin Receptor Protein Tyrosine Kinases")</f>
        <v>PTKc_EphR, Catalytic domain of Ephrin Receptor Protein Tyrosine Kinases</v>
      </c>
      <c r="CC479" s="15">
        <v>9.9999999999999994E-158</v>
      </c>
      <c r="CD479" s="2">
        <v>100.4</v>
      </c>
      <c r="CE479" s="2" t="s">
        <v>5038</v>
      </c>
      <c r="CF479" s="2" t="s">
        <v>5039</v>
      </c>
      <c r="CG479" s="9" t="str">
        <f>HYPERLINK(".\links\KOG\AGAP000489-PA-KOG.txt","EPH (ephrin) receptor family")</f>
        <v>EPH (ephrin) receptor family</v>
      </c>
      <c r="CH479" s="15">
        <v>0</v>
      </c>
      <c r="CI479" s="2">
        <v>101.2</v>
      </c>
      <c r="CJ479" s="2" t="s">
        <v>5040</v>
      </c>
      <c r="CK479" s="2" t="s">
        <v>173</v>
      </c>
      <c r="CL479" s="9" t="str">
        <f>HYPERLINK(".\links\PFAM\AGAP000489-PA-PFAM.txt","Pkinase_Tyr, Protein tyrosine kinase")</f>
        <v>Pkinase_Tyr, Protein tyrosine kinase</v>
      </c>
      <c r="CM479" s="15">
        <v>1.0000000000000001E-114</v>
      </c>
      <c r="CN479" s="2">
        <v>100.4</v>
      </c>
      <c r="CO479" s="2" t="s">
        <v>5041</v>
      </c>
      <c r="CP479" s="9" t="str">
        <f>HYPERLINK(".\links\SMART\AGAP000489-PA-SMART.txt","TyrKc, Tyrosine kinase, catalytic domain")</f>
        <v>TyrKc, Tyrosine kinase, catalytic domain</v>
      </c>
      <c r="CQ479" s="15">
        <v>1.0000000000000001E-110</v>
      </c>
      <c r="CR479" s="2">
        <v>100.8</v>
      </c>
      <c r="CS479" s="2" t="s">
        <v>5042</v>
      </c>
      <c r="CT479" s="2" t="s">
        <v>5035</v>
      </c>
      <c r="CU479" s="2" t="s">
        <v>5035</v>
      </c>
      <c r="CV479" s="2" t="s">
        <v>5035</v>
      </c>
      <c r="CW479" s="2" t="str">
        <f>HYPERLINK(".\links\pep\AGAP000489-PA-pep.txt","AGAP000489-PA")</f>
        <v>AGAP000489-PA</v>
      </c>
      <c r="CX479" s="2" t="s">
        <v>95</v>
      </c>
      <c r="CY479" s="2">
        <v>1168</v>
      </c>
      <c r="CZ479" s="2" t="s">
        <v>113</v>
      </c>
      <c r="DA479" s="2" t="s">
        <v>5043</v>
      </c>
      <c r="DB479" s="2">
        <v>0</v>
      </c>
      <c r="DC479" s="2">
        <v>2</v>
      </c>
      <c r="DD479" s="2" t="str">
        <f>HYPERLINK("https://www.kegg.jp/kegg-bin/search_pathway_text?map=aga&amp;keyword=AGAP000489&amp;mode=1&amp;viewImage=true","AGAP000489")</f>
        <v>AGAP000489</v>
      </c>
      <c r="DE479" s="2" t="s">
        <v>5031</v>
      </c>
      <c r="DF479" s="2" t="s">
        <v>5032</v>
      </c>
      <c r="DG479" s="2" t="s">
        <v>94</v>
      </c>
      <c r="DH479" s="2" t="str">
        <f>HYPERLINK("https://vectorbase.org/vectorbase/app/record/gene/AGAP000489","AGAP000489-RA")</f>
        <v>AGAP000489-RA</v>
      </c>
      <c r="DI479" s="2" t="s">
        <v>90</v>
      </c>
      <c r="DJ479" s="2">
        <v>14034</v>
      </c>
      <c r="DK479" s="2" t="str">
        <f>HYPERLINK(".\links\netoglyc\AGAP000489-PA-netoglyc.txt","2")</f>
        <v>2</v>
      </c>
      <c r="DL479" s="2">
        <v>14.7</v>
      </c>
      <c r="DM479" s="2">
        <v>8</v>
      </c>
      <c r="DN479" s="2">
        <v>5.0999999999999996</v>
      </c>
      <c r="DO479" s="2" t="s">
        <v>104</v>
      </c>
      <c r="DP479" s="2" t="s">
        <v>102</v>
      </c>
      <c r="DQ479" s="2" t="str">
        <f>HYPERLINK(".\links\Sigp\AGAP000489-PA-SigP.txt","SIG")</f>
        <v>SIG</v>
      </c>
      <c r="DR479" s="2" t="s">
        <v>184</v>
      </c>
      <c r="DS479" s="2">
        <v>128.35599999999999</v>
      </c>
      <c r="DT479" s="2">
        <v>5.89</v>
      </c>
      <c r="DU479" s="2">
        <v>125.73</v>
      </c>
      <c r="DV479" s="2">
        <v>5.89</v>
      </c>
      <c r="DW479" s="2" t="s">
        <v>5037</v>
      </c>
      <c r="DX479" s="2">
        <v>1168</v>
      </c>
      <c r="DY479" s="12" t="str">
        <f>HYPERLINK(".\links\tmhmm\AGAP000489-PA-tmhmm.txt","1")</f>
        <v>1</v>
      </c>
      <c r="DZ479" s="2">
        <v>1.9</v>
      </c>
      <c r="EA479" s="2">
        <v>52</v>
      </c>
      <c r="EB479" s="2">
        <v>46.1</v>
      </c>
      <c r="EC479" s="2" t="str">
        <f>HYPERLINK(".\links\gpi\AGAP000489-PA-gpi.txt","N")</f>
        <v>N</v>
      </c>
      <c r="ED479" s="2">
        <v>0.16</v>
      </c>
      <c r="EF479" s="2">
        <v>25</v>
      </c>
      <c r="EG479" s="2" t="str">
        <f>HYPERLINK(".\links\pep\AGAP000489-PA-sulf.txt","2")</f>
        <v>2</v>
      </c>
      <c r="EH479" s="2" t="s">
        <v>102</v>
      </c>
      <c r="EI479" s="2">
        <v>14.7260273972603</v>
      </c>
      <c r="EJ479" s="2">
        <v>5.13698630136986</v>
      </c>
      <c r="EK479" s="2">
        <v>8.0479452054794507</v>
      </c>
      <c r="EL479" s="2">
        <v>13.184931506849299</v>
      </c>
      <c r="EM479" s="2">
        <v>3</v>
      </c>
      <c r="EN479" s="2">
        <v>4</v>
      </c>
      <c r="EO479" s="2">
        <v>7</v>
      </c>
      <c r="EP479" s="2" t="s">
        <v>102</v>
      </c>
      <c r="EQ479" s="2" t="s">
        <v>102</v>
      </c>
      <c r="ER479" s="2" t="s">
        <v>102</v>
      </c>
      <c r="ES479" s="2" t="s">
        <v>102</v>
      </c>
      <c r="ET479" s="2" t="str">
        <f>HYPERLINK(".\links\REFSEQ-INVERTEBRATE\AGAP000489-PA-REFSEQ-INVERTEBRATE.txt","ephrin type-B receptor 1 isoform X1")</f>
        <v>ephrin type-B receptor 1 isoform X1</v>
      </c>
      <c r="EU479" s="2" t="str">
        <f>HYPERLINK("http://www.ncbi.nlm.nih.gov/sutils/blink.cgi?pid=XP_035897644.1","0.0")</f>
        <v>0.0</v>
      </c>
      <c r="EV479" s="2" t="str">
        <f>HYPERLINK("http://www.ncbi.nlm.nih.gov/protein/XP_035897644.1","XP_035897644.1")</f>
        <v>XP_035897644.1</v>
      </c>
      <c r="EW479" s="2">
        <v>94</v>
      </c>
      <c r="EX479" s="2">
        <v>95</v>
      </c>
      <c r="EY479" s="2">
        <v>102</v>
      </c>
      <c r="EZ479" s="2" t="s">
        <v>370</v>
      </c>
    </row>
    <row r="480" spans="1:156" x14ac:dyDescent="0.25">
      <c r="A480" s="2" t="s">
        <v>5044</v>
      </c>
      <c r="B480" s="2">
        <v>-0.41483453452399599</v>
      </c>
      <c r="C480" s="2">
        <f t="shared" si="7"/>
        <v>0.75010552075807269</v>
      </c>
      <c r="D480" s="2">
        <v>8.4774375681409797</v>
      </c>
      <c r="E480" s="2">
        <v>12.630499989714</v>
      </c>
      <c r="F480" s="2">
        <v>3.7950365911426501E-4</v>
      </c>
      <c r="G480" s="2">
        <v>2.1768426261281001E-2</v>
      </c>
      <c r="H480" s="2" t="s">
        <v>93</v>
      </c>
      <c r="I480" s="2" t="s">
        <v>94</v>
      </c>
      <c r="J480" s="2" t="str">
        <f>HYPERLINK("https://vectorbase.org/vectorbase/app/record/gene/AGAP012023","AGAP012023-RA")</f>
        <v>AGAP012023-RA</v>
      </c>
      <c r="K480" s="2" t="str">
        <f>HYPERLINK(".\links\pep\AGAP012023-PA-pep.txt","AGAP012023-PA")</f>
        <v>AGAP012023-PA</v>
      </c>
      <c r="L480" s="12" t="s">
        <v>95</v>
      </c>
      <c r="M480" s="2">
        <v>3213</v>
      </c>
      <c r="N480" s="2">
        <v>0</v>
      </c>
      <c r="O480" s="2">
        <v>6</v>
      </c>
      <c r="P480" s="2" t="s">
        <v>102</v>
      </c>
      <c r="Q480" s="9" t="s">
        <v>5045</v>
      </c>
      <c r="R480" s="2" t="s">
        <v>196</v>
      </c>
      <c r="S480" s="2" t="str">
        <f>HYPERLINK(".\links\REFSEQ-INVERTEBRATE\AGAP012023-PA-REFSEQ-INVERTEBRATE.txt","REFSEQ-INVERTEBRATE")</f>
        <v>REFSEQ-INVERTEBRATE</v>
      </c>
      <c r="T480" s="2">
        <v>0</v>
      </c>
      <c r="U480" s="2">
        <v>81</v>
      </c>
      <c r="V480" s="2" t="s">
        <v>5046</v>
      </c>
      <c r="W480" s="10" t="s">
        <v>5047</v>
      </c>
      <c r="X480" s="2" t="s">
        <v>608</v>
      </c>
      <c r="Z480" s="15"/>
      <c r="AB480" s="13" t="str">
        <f>HYPERLINK(".\links\pep\AGAP012023-PA-sulf.txt","2")</f>
        <v>2</v>
      </c>
      <c r="AC480" s="13" t="str">
        <f>HYPERLINK(".\links\Sigp\AGAP012023-PA-SigP.txt","CYT")</f>
        <v>CYT</v>
      </c>
      <c r="AD480" s="2" t="s">
        <v>102</v>
      </c>
      <c r="AE480" s="2">
        <v>348.73399999999998</v>
      </c>
      <c r="AF480" s="2">
        <v>5.98</v>
      </c>
      <c r="AG480" s="2" t="s">
        <v>102</v>
      </c>
      <c r="AH480" s="2" t="s">
        <v>102</v>
      </c>
      <c r="AI480" s="2" t="s">
        <v>482</v>
      </c>
      <c r="AJ480" s="13">
        <v>0</v>
      </c>
      <c r="AK480" s="2" t="s">
        <v>102</v>
      </c>
      <c r="AL480" s="2" t="s">
        <v>102</v>
      </c>
      <c r="AM480" s="2" t="s">
        <v>102</v>
      </c>
      <c r="AN480" s="13" t="str">
        <f>HYPERLINK(".\links\gpi\AGAP012023-PA-gpi.txt","N")</f>
        <v>N</v>
      </c>
      <c r="AO480" s="14" t="str">
        <f>HYPERLINK(".\links\netoglyc\AGAP012023-PA-netoglyc.txt","19")</f>
        <v>19</v>
      </c>
      <c r="AP480" s="13">
        <v>18.100000000000001</v>
      </c>
      <c r="AQ480" s="2">
        <v>7.9</v>
      </c>
      <c r="AR480" s="2">
        <v>5.6</v>
      </c>
      <c r="AS480" s="2" t="s">
        <v>104</v>
      </c>
      <c r="AT480" s="9" t="str">
        <f>HYPERLINK(".\links\NR-LIGHT\AGAP012023-PA-NR-LIGHT.txt","hypothetical protein ZHAS_00017938")</f>
        <v>hypothetical protein ZHAS_00017938</v>
      </c>
      <c r="AU480" s="2" t="str">
        <f>HYPERLINK("http://www.ncbi.nlm.nih.gov/sutils/blink.cgi?pid=KFB49907.1","0.0")</f>
        <v>0.0</v>
      </c>
      <c r="AV480" s="2" t="str">
        <f>HYPERLINK("http://www.ncbi.nlm.nih.gov/protein/KFB49907.1","KFB49907.1")</f>
        <v>KFB49907.1</v>
      </c>
      <c r="AW480" s="2">
        <v>42</v>
      </c>
      <c r="AX480" s="2">
        <v>54</v>
      </c>
      <c r="AY480" s="2">
        <v>100</v>
      </c>
      <c r="AZ480" s="2" t="s">
        <v>1522</v>
      </c>
      <c r="BA480" s="9" t="str">
        <f>HYPERLINK(".\links\REFSEQ-INVERTEBRATE\AGAP012023-PA-REFSEQ-INVERTEBRATE.txt","AGAP012023-PA, partial")</f>
        <v>AGAP012023-PA, partial</v>
      </c>
      <c r="BB480" s="2" t="str">
        <f>HYPERLINK("http://www.ncbi.nlm.nih.gov/sutils/blink.cgi?pid=XP_001689268.1","0.0")</f>
        <v>0.0</v>
      </c>
      <c r="BC480" s="2" t="str">
        <f>HYPERLINK("http://www.ncbi.nlm.nih.gov/protein/XP_001689268.1","XP_001689268.1")</f>
        <v>XP_001689268.1</v>
      </c>
      <c r="BD480" s="2">
        <v>55</v>
      </c>
      <c r="BE480" s="2">
        <v>61</v>
      </c>
      <c r="BF480" s="2">
        <v>81</v>
      </c>
      <c r="BG480" s="2" t="s">
        <v>105</v>
      </c>
      <c r="BH480" s="9" t="str">
        <f>HYPERLINK(".\links\REFSEQ-PROTOZOA\AGAP012023-PA-REFSEQ-PROTOZOA.txt","hypothetical protein, conserved, (fragment), partial")</f>
        <v>hypothetical protein, conserved, (fragment), partial</v>
      </c>
      <c r="BI480" s="2" t="str">
        <f>HYPERLINK("http://www.ncbi.nlm.nih.gov/sutils/blink.cgi?pid=XP_011779074.1","1E-035")</f>
        <v>1E-035</v>
      </c>
      <c r="BJ480" s="2" t="str">
        <f>HYPERLINK("http://www.ncbi.nlm.nih.gov/protein/XP_011779074.1","XP_011779074.1")</f>
        <v>XP_011779074.1</v>
      </c>
      <c r="BK480" s="2">
        <v>18</v>
      </c>
      <c r="BL480" s="2">
        <v>34</v>
      </c>
      <c r="BM480" s="2">
        <v>97</v>
      </c>
      <c r="BN480" s="2" t="s">
        <v>3110</v>
      </c>
      <c r="BO480" s="9" t="str">
        <f>HYPERLINK(".\links\SWISSP\AGAP012023-PA-SWISSP.txt","Platelet binding protein GspB")</f>
        <v>Platelet binding protein GspB</v>
      </c>
      <c r="BP480" s="2" t="str">
        <f>HYPERLINK("http://www.uniprot.org/uniprot/Q939N5","3E-022")</f>
        <v>3E-022</v>
      </c>
      <c r="BQ480" s="2" t="str">
        <f>HYPERLINK("http://www.uniprot.org/uniprot/Q939N5#expression","Q939N5")</f>
        <v>Q939N5</v>
      </c>
      <c r="BR480" s="2">
        <v>15</v>
      </c>
      <c r="BS480" s="2">
        <v>31</v>
      </c>
      <c r="BT480" s="2">
        <v>80</v>
      </c>
      <c r="BU480" s="2" t="s">
        <v>4059</v>
      </c>
      <c r="BV480" s="9" t="str">
        <f>HYPERLINK(".\links\FLYBASE\AGAP012023-PA-FLYBASE.txt","FBpp0080396")</f>
        <v>FBpp0080396</v>
      </c>
      <c r="BW480" s="2" t="str">
        <f>HYPERLINK("http://flybase.org/reports/FBgn0000307#alliance_summary_container","1E-13")</f>
        <v>1E-13</v>
      </c>
      <c r="BX480" s="2">
        <v>1711</v>
      </c>
      <c r="BY480" s="2">
        <v>24</v>
      </c>
      <c r="BZ480" s="2">
        <v>38</v>
      </c>
      <c r="CA480" s="2">
        <v>20</v>
      </c>
      <c r="CB480" s="9" t="str">
        <f>HYPERLINK(".\links\CDD\AGAP012023-PA-CDD.txt","zf-DBF, DBF zinc finger")</f>
        <v>zf-DBF, DBF zinc finger</v>
      </c>
      <c r="CC480" s="15">
        <v>4.0000000000000001E-13</v>
      </c>
      <c r="CD480" s="2">
        <v>100</v>
      </c>
      <c r="CE480" s="2" t="s">
        <v>5048</v>
      </c>
      <c r="CF480" s="2" t="s">
        <v>5049</v>
      </c>
      <c r="CG480" s="9" t="str">
        <f>HYPERLINK(".\links\KOG\AGAP012023-PA-KOG.txt","Predicted RNA-binding protein")</f>
        <v>Predicted RNA-binding protein</v>
      </c>
      <c r="CH480" s="15">
        <v>9.9999999999999995E-7</v>
      </c>
      <c r="CI480" s="2">
        <v>18.600000000000001</v>
      </c>
      <c r="CJ480" s="2" t="s">
        <v>5050</v>
      </c>
      <c r="CK480" s="2" t="s">
        <v>191</v>
      </c>
      <c r="CL480" s="9" t="str">
        <f>HYPERLINK(".\links\PFAM\AGAP012023-PA-PFAM.txt","zf-DBF, DBF zinc finger")</f>
        <v>zf-DBF, DBF zinc finger</v>
      </c>
      <c r="CM480" s="15">
        <v>7.0000000000000005E-14</v>
      </c>
      <c r="CN480" s="2">
        <v>100</v>
      </c>
      <c r="CO480" s="2" t="s">
        <v>5048</v>
      </c>
      <c r="CP480" s="9" t="str">
        <f>HYPERLINK(".\links\SMART\AGAP012023-PA-SMART.txt","ZnF_DBF, Zinc finger in DBF-like proteins")</f>
        <v>ZnF_DBF, Zinc finger in DBF-like proteins</v>
      </c>
      <c r="CQ480" s="15">
        <v>1E-10</v>
      </c>
      <c r="CR480" s="2">
        <v>85.7</v>
      </c>
      <c r="CS480" s="2" t="s">
        <v>3140</v>
      </c>
      <c r="CT480" s="2" t="s">
        <v>5046</v>
      </c>
      <c r="CU480" s="2" t="s">
        <v>5046</v>
      </c>
      <c r="CV480" s="2" t="s">
        <v>5046</v>
      </c>
      <c r="CW480" s="2" t="str">
        <f>HYPERLINK(".\links\pep\AGAP012023-PA-pep.txt","AGAP012023-PA")</f>
        <v>AGAP012023-PA</v>
      </c>
      <c r="CX480" s="2" t="s">
        <v>95</v>
      </c>
      <c r="CY480" s="2">
        <v>3213</v>
      </c>
      <c r="CZ480" s="2" t="s">
        <v>113</v>
      </c>
      <c r="DA480" s="2" t="s">
        <v>5051</v>
      </c>
      <c r="DB480" s="2">
        <v>0</v>
      </c>
      <c r="DC480" s="2">
        <v>6</v>
      </c>
      <c r="DD480" s="2" t="str">
        <f>HYPERLINK("https://www.kegg.jp/kegg-bin/search_pathway_text?map=aga&amp;keyword=AGAP012023&amp;mode=1&amp;viewImage=true","AGAP012023")</f>
        <v>AGAP012023</v>
      </c>
      <c r="DE480" s="2" t="s">
        <v>5044</v>
      </c>
      <c r="DF480" s="2" t="s">
        <v>93</v>
      </c>
      <c r="DG480" s="2" t="s">
        <v>94</v>
      </c>
      <c r="DH480" s="2" t="str">
        <f>HYPERLINK("https://vectorbase.org/vectorbase/app/record/gene/AGAP012023","AGAP012023-RA")</f>
        <v>AGAP012023-RA</v>
      </c>
      <c r="DI480" s="2" t="s">
        <v>135</v>
      </c>
      <c r="DJ480" s="2">
        <v>12612</v>
      </c>
      <c r="DK480" s="2" t="str">
        <f>HYPERLINK(".\links\netoglyc\AGAP012023-PA-netoglyc.txt","19")</f>
        <v>19</v>
      </c>
      <c r="DL480" s="2">
        <v>18.100000000000001</v>
      </c>
      <c r="DM480" s="2">
        <v>7.9</v>
      </c>
      <c r="DN480" s="2">
        <v>5.6</v>
      </c>
      <c r="DO480" s="2" t="s">
        <v>104</v>
      </c>
      <c r="DP480" s="2" t="s">
        <v>5052</v>
      </c>
      <c r="DQ480" s="2" t="str">
        <f>HYPERLINK(".\links\Sigp\AGAP012023-PA-SigP.txt","CYT")</f>
        <v>CYT</v>
      </c>
      <c r="DR480" s="2" t="s">
        <v>102</v>
      </c>
      <c r="DS480" s="2">
        <v>348.72199999999998</v>
      </c>
      <c r="DT480" s="2">
        <v>5.98</v>
      </c>
      <c r="DU480" s="2" t="s">
        <v>102</v>
      </c>
      <c r="DV480" s="2" t="s">
        <v>102</v>
      </c>
      <c r="DW480" s="2" t="s">
        <v>482</v>
      </c>
      <c r="DX480" s="2">
        <v>3213</v>
      </c>
      <c r="DY480" s="12">
        <v>0</v>
      </c>
      <c r="DZ480" s="2" t="s">
        <v>102</v>
      </c>
      <c r="EA480" s="2" t="s">
        <v>102</v>
      </c>
      <c r="EB480" s="2" t="s">
        <v>102</v>
      </c>
      <c r="EC480" s="2" t="str">
        <f>HYPERLINK(".\links\gpi\AGAP012023-PA-gpi.txt","Y-NoSP")</f>
        <v>Y-NoSP</v>
      </c>
      <c r="ED480" s="2">
        <v>0.32</v>
      </c>
      <c r="EF480" s="2">
        <v>37</v>
      </c>
      <c r="EG480" s="2" t="str">
        <f>HYPERLINK(".\links\pep\AGAP012023-PA-sulf.txt","2")</f>
        <v>2</v>
      </c>
      <c r="EH480" s="2" t="s">
        <v>102</v>
      </c>
      <c r="EI480" s="2">
        <v>18.082788671024002</v>
      </c>
      <c r="EJ480" s="2">
        <v>5.6333644568938697</v>
      </c>
      <c r="EK480" s="2">
        <v>7.9053843759726101</v>
      </c>
      <c r="EL480" s="2">
        <v>13.538748832866499</v>
      </c>
      <c r="EM480" s="2">
        <v>10</v>
      </c>
      <c r="EN480" s="2">
        <v>7</v>
      </c>
      <c r="EO480" s="2">
        <v>7</v>
      </c>
      <c r="EP480" s="2" t="s">
        <v>102</v>
      </c>
      <c r="EQ480" s="2" t="s">
        <v>102</v>
      </c>
      <c r="ER480" s="2" t="s">
        <v>102</v>
      </c>
      <c r="ES480" s="2" t="s">
        <v>102</v>
      </c>
      <c r="ET480" s="2" t="str">
        <f>HYPERLINK(".\links\REFSEQ-INVERTEBRATE\AGAP012023-PA-REFSEQ-INVERTEBRATE.txt","uncharacterized protein LOC118503893")</f>
        <v>uncharacterized protein LOC118503893</v>
      </c>
      <c r="EU480" s="2" t="str">
        <f>HYPERLINK("http://www.ncbi.nlm.nih.gov/sutils/blink.cgi?pid=XP_035893567.1","0.0")</f>
        <v>0.0</v>
      </c>
      <c r="EV480" s="2" t="str">
        <f>HYPERLINK("http://www.ncbi.nlm.nih.gov/protein/XP_035893567.1","XP_035893567.1")</f>
        <v>XP_035893567.1</v>
      </c>
      <c r="EW480" s="2">
        <v>54</v>
      </c>
      <c r="EX480" s="2">
        <v>63</v>
      </c>
      <c r="EY480" s="2">
        <v>48</v>
      </c>
      <c r="EZ480" s="2" t="s">
        <v>370</v>
      </c>
    </row>
    <row r="481" spans="1:156" x14ac:dyDescent="0.25">
      <c r="A481" s="2" t="s">
        <v>5053</v>
      </c>
      <c r="B481" s="2">
        <v>-0.41741042692963298</v>
      </c>
      <c r="C481" s="2">
        <f t="shared" si="7"/>
        <v>0.74876742285887787</v>
      </c>
      <c r="D481" s="2">
        <v>6.4259845122664698</v>
      </c>
      <c r="E481" s="2">
        <v>11.9625055842912</v>
      </c>
      <c r="F481" s="2">
        <v>5.4281827868851902E-4</v>
      </c>
      <c r="G481" s="2">
        <v>2.6293505281983199E-2</v>
      </c>
      <c r="H481" s="2" t="s">
        <v>93</v>
      </c>
      <c r="I481" s="2" t="s">
        <v>94</v>
      </c>
      <c r="J481" s="2" t="str">
        <f>HYPERLINK("https://vectorbase.org/vectorbase/app/record/gene/AGAP002949","AGAP002949-RA")</f>
        <v>AGAP002949-RA</v>
      </c>
      <c r="K481" s="2" t="str">
        <f>HYPERLINK(".\links\pep\AGAP002949-PA-pep.txt","AGAP002949-PA")</f>
        <v>AGAP002949-PA</v>
      </c>
      <c r="L481" s="12" t="s">
        <v>95</v>
      </c>
      <c r="M481" s="2">
        <v>1698</v>
      </c>
      <c r="N481" s="2">
        <v>0</v>
      </c>
      <c r="O481" s="2">
        <v>3</v>
      </c>
      <c r="P481" s="2" t="s">
        <v>102</v>
      </c>
      <c r="Q481" s="9" t="s">
        <v>5054</v>
      </c>
      <c r="R481" s="2" t="s">
        <v>355</v>
      </c>
      <c r="S481" s="2" t="str">
        <f>HYPERLINK(".\links\KOG\AGAP002949-PA-KOG.txt","KOG")</f>
        <v>KOG</v>
      </c>
      <c r="T481" s="2">
        <v>1.0000000000000001E-31</v>
      </c>
      <c r="U481" s="2">
        <v>36.6</v>
      </c>
      <c r="V481" s="2" t="s">
        <v>5055</v>
      </c>
      <c r="W481" s="10" t="s">
        <v>5056</v>
      </c>
      <c r="X481" s="2" t="s">
        <v>355</v>
      </c>
      <c r="Y481" s="2" t="str">
        <f>HYPERLINK(".\links\KOG\AGAP002949-PA-KOG.txt","KOG")</f>
        <v>KOG</v>
      </c>
      <c r="Z481" s="15">
        <v>3.0000000000000001E-26</v>
      </c>
      <c r="AA481" s="2">
        <v>32.200000000000003</v>
      </c>
      <c r="AB481" s="13" t="str">
        <f>HYPERLINK(".\links\pep\AGAP002949-PA-sulf.txt","3")</f>
        <v>3</v>
      </c>
      <c r="AC481" s="13" t="str">
        <f>HYPERLINK(".\links\Sigp\AGAP002949-PA-SigP.txt","BL")</f>
        <v>BL</v>
      </c>
      <c r="AD481" s="2" t="s">
        <v>2957</v>
      </c>
      <c r="AE481" s="2">
        <v>188.226</v>
      </c>
      <c r="AF481" s="2">
        <v>6.16</v>
      </c>
      <c r="AG481" s="2">
        <v>185.197</v>
      </c>
      <c r="AH481" s="2">
        <v>6.17</v>
      </c>
      <c r="AI481" s="2" t="s">
        <v>5057</v>
      </c>
      <c r="AJ481" s="13" t="str">
        <f>HYPERLINK(".\links\tmhmm\AGAP002949-PA-tmhmm.txt","1")</f>
        <v>1</v>
      </c>
      <c r="AK481" s="2">
        <v>1.3</v>
      </c>
      <c r="AL481" s="2">
        <v>67.900000000000006</v>
      </c>
      <c r="AM481" s="2">
        <v>30.8</v>
      </c>
      <c r="AN481" s="13" t="str">
        <f>HYPERLINK(".\links\gpi\AGAP002949-PA-gpi.txt","N")</f>
        <v>N</v>
      </c>
      <c r="AO481" s="14" t="str">
        <f>HYPERLINK(".\links\netoglyc\AGAP002949-PA-netoglyc.txt","8")</f>
        <v>8</v>
      </c>
      <c r="AP481" s="13">
        <v>17</v>
      </c>
      <c r="AQ481" s="2">
        <v>6.1</v>
      </c>
      <c r="AR481" s="2">
        <v>5.8</v>
      </c>
      <c r="AS481" s="2" t="s">
        <v>104</v>
      </c>
      <c r="AT481" s="9" t="str">
        <f>HYPERLINK(".\links\NR-LIGHT\AGAP002949-PA-NR-LIGHT.txt","AGAP002949-PA")</f>
        <v>AGAP002949-PA</v>
      </c>
      <c r="AU481" s="2" t="str">
        <f>HYPERLINK("http://www.ncbi.nlm.nih.gov/sutils/blink.cgi?pid=XP_311950.5","0.0")</f>
        <v>0.0</v>
      </c>
      <c r="AV481" s="2" t="str">
        <f>HYPERLINK("http://www.ncbi.nlm.nih.gov/protein/XP_311950.5","XP_311950.5")</f>
        <v>XP_311950.5</v>
      </c>
      <c r="AW481" s="2">
        <v>84</v>
      </c>
      <c r="AX481" s="2">
        <v>86</v>
      </c>
      <c r="AY481" s="2">
        <v>106</v>
      </c>
      <c r="AZ481" s="2" t="s">
        <v>105</v>
      </c>
      <c r="BA481" s="9" t="str">
        <f>HYPERLINK(".\links\REFSEQ-INVERTEBRATE\AGAP002949-PA-REFSEQ-INVERTEBRATE.txt","AGAP002949-PA")</f>
        <v>AGAP002949-PA</v>
      </c>
      <c r="BB481" s="2" t="str">
        <f>HYPERLINK("http://www.ncbi.nlm.nih.gov/sutils/blink.cgi?pid=XP_311950.5","0.0")</f>
        <v>0.0</v>
      </c>
      <c r="BC481" s="2" t="str">
        <f>HYPERLINK("http://www.ncbi.nlm.nih.gov/protein/XP_311950.5","XP_311950.5")</f>
        <v>XP_311950.5</v>
      </c>
      <c r="BD481" s="2">
        <v>84</v>
      </c>
      <c r="BE481" s="2">
        <v>86</v>
      </c>
      <c r="BF481" s="2">
        <v>106</v>
      </c>
      <c r="BG481" s="2" t="s">
        <v>105</v>
      </c>
      <c r="BH481" s="9" t="str">
        <f>HYPERLINK(".\links\REFSEQ-PROTOZOA\AGAP002949-PA-REFSEQ-PROTOZOA.txt","uncharacterized protein, partial")</f>
        <v>uncharacterized protein, partial</v>
      </c>
      <c r="BI481" s="2" t="str">
        <f>HYPERLINK("http://www.ncbi.nlm.nih.gov/sutils/blink.cgi?pid=XP_003886575.1","1E-010")</f>
        <v>1E-010</v>
      </c>
      <c r="BJ481" s="2" t="str">
        <f>HYPERLINK("http://www.ncbi.nlm.nih.gov/protein/XP_003886575.1","XP_003886575.1")</f>
        <v>XP_003886575.1</v>
      </c>
      <c r="BK481" s="2">
        <v>21</v>
      </c>
      <c r="BL481" s="2">
        <v>40</v>
      </c>
      <c r="BM481" s="2">
        <v>8</v>
      </c>
      <c r="BN481" s="2" t="s">
        <v>448</v>
      </c>
      <c r="BO481" s="9" t="str">
        <f>HYPERLINK(".\links\SWISSP\AGAP002949-PA-SWISSP.txt","Protogenin A")</f>
        <v>Protogenin A</v>
      </c>
      <c r="BP481" s="2" t="str">
        <f>HYPERLINK("http://www.uniprot.org/uniprot/Q2EY14","1E-024")</f>
        <v>1E-024</v>
      </c>
      <c r="BQ481" s="2" t="str">
        <f>HYPERLINK("http://www.uniprot.org/uniprot/Q2EY14#expression","Q2EY14")</f>
        <v>Q2EY14</v>
      </c>
      <c r="BR481" s="2">
        <v>27</v>
      </c>
      <c r="BS481" s="2">
        <v>42</v>
      </c>
      <c r="BT481" s="2">
        <v>40</v>
      </c>
      <c r="BU481" s="2" t="s">
        <v>213</v>
      </c>
      <c r="BV481" s="9" t="str">
        <f>HYPERLINK(".\links\FLYBASE\AGAP002949-PA-FLYBASE.txt","FBpp0293586")</f>
        <v>FBpp0293586</v>
      </c>
      <c r="BW481" s="2" t="str">
        <f>HYPERLINK("http://flybase.org/reports/FBgn0039431#alliance_summary_container","1E-45")</f>
        <v>1E-45</v>
      </c>
      <c r="BX481" s="2">
        <v>1298</v>
      </c>
      <c r="BY481" s="2">
        <v>27</v>
      </c>
      <c r="BZ481" s="2">
        <v>42</v>
      </c>
      <c r="CA481" s="2">
        <v>48</v>
      </c>
      <c r="CB481" s="9" t="str">
        <f>HYPERLINK(".\links\CDD\AGAP002949-PA-CDD.txt","I-set, Immunoglobulin I-set domain")</f>
        <v>I-set, Immunoglobulin I-set domain</v>
      </c>
      <c r="CC481" s="15">
        <v>3E-10</v>
      </c>
      <c r="CD481" s="2">
        <v>100</v>
      </c>
      <c r="CE481" s="2" t="s">
        <v>4155</v>
      </c>
      <c r="CF481" s="2" t="s">
        <v>5058</v>
      </c>
      <c r="CG481" s="9" t="str">
        <f>HYPERLINK(".\links\KOG\AGAP002949-PA-KOG.txt","Neural cell adhesion molecule L1")</f>
        <v>Neural cell adhesion molecule L1</v>
      </c>
      <c r="CH481" s="15">
        <v>1.0000000000000001E-31</v>
      </c>
      <c r="CI481" s="2">
        <v>36.6</v>
      </c>
      <c r="CJ481" s="2" t="s">
        <v>5059</v>
      </c>
      <c r="CK481" s="2" t="s">
        <v>173</v>
      </c>
      <c r="CL481" s="9" t="str">
        <f>HYPERLINK(".\links\PFAM\AGAP002949-PA-PFAM.txt","I-set, Immunoglobulin I-set domain")</f>
        <v>I-set, Immunoglobulin I-set domain</v>
      </c>
      <c r="CM481" s="15">
        <v>5.0000000000000002E-11</v>
      </c>
      <c r="CN481" s="2">
        <v>100</v>
      </c>
      <c r="CO481" s="2" t="s">
        <v>4155</v>
      </c>
      <c r="CP481" s="9" t="str">
        <f>HYPERLINK(".\links\SMART\AGAP002949-PA-SMART.txt","IGc2, Immunoglobulin C-2 Type")</f>
        <v>IGc2, Immunoglobulin C-2 Type</v>
      </c>
      <c r="CQ481" s="15">
        <v>7.0000000000000004E-11</v>
      </c>
      <c r="CR481" s="2">
        <v>90.5</v>
      </c>
      <c r="CS481" s="2" t="s">
        <v>5060</v>
      </c>
      <c r="CT481" s="2" t="s">
        <v>5055</v>
      </c>
      <c r="CU481" s="2" t="s">
        <v>5055</v>
      </c>
      <c r="CV481" s="2" t="s">
        <v>5055</v>
      </c>
      <c r="CW481" s="2" t="str">
        <f>HYPERLINK(".\links\pep\AGAP002949-PA-pep.txt","AGAP002949-PA")</f>
        <v>AGAP002949-PA</v>
      </c>
      <c r="CX481" s="2" t="s">
        <v>95</v>
      </c>
      <c r="CY481" s="2">
        <v>1698</v>
      </c>
      <c r="CZ481" s="2" t="s">
        <v>113</v>
      </c>
      <c r="DA481" s="2" t="s">
        <v>5061</v>
      </c>
      <c r="DB481" s="2">
        <v>0</v>
      </c>
      <c r="DC481" s="2">
        <v>3</v>
      </c>
      <c r="DD481" s="2" t="str">
        <f>HYPERLINK("https://www.kegg.jp/kegg-bin/search_pathway_text?map=aga&amp;keyword=AGAP002949&amp;mode=1&amp;viewImage=true","AGAP002949")</f>
        <v>AGAP002949</v>
      </c>
      <c r="DE481" s="2" t="s">
        <v>5053</v>
      </c>
      <c r="DF481" s="2" t="s">
        <v>93</v>
      </c>
      <c r="DG481" s="2" t="s">
        <v>94</v>
      </c>
      <c r="DH481" s="2" t="str">
        <f>HYPERLINK("https://vectorbase.org/vectorbase/app/record/gene/AGAP002949","AGAP002949-RA")</f>
        <v>AGAP002949-RA</v>
      </c>
      <c r="DI481" s="2" t="s">
        <v>135</v>
      </c>
      <c r="DJ481" s="2">
        <v>12253</v>
      </c>
      <c r="DK481" s="2" t="str">
        <f>HYPERLINK(".\links\netoglyc\AGAP002949-PA-netoglyc.txt","8")</f>
        <v>8</v>
      </c>
      <c r="DL481" s="2">
        <v>17</v>
      </c>
      <c r="DM481" s="2">
        <v>6.1</v>
      </c>
      <c r="DN481" s="2">
        <v>5.8</v>
      </c>
      <c r="DO481" s="2" t="s">
        <v>104</v>
      </c>
      <c r="DP481" s="2" t="s">
        <v>5062</v>
      </c>
      <c r="DQ481" s="2" t="str">
        <f>HYPERLINK(".\links\Sigp\AGAP002949-PA-SigP.txt","BL")</f>
        <v>BL</v>
      </c>
      <c r="DR481" s="2" t="s">
        <v>2957</v>
      </c>
      <c r="DS481" s="2">
        <v>188.226</v>
      </c>
      <c r="DT481" s="2">
        <v>6.16</v>
      </c>
      <c r="DU481" s="2">
        <v>185.197</v>
      </c>
      <c r="DV481" s="2">
        <v>6.17</v>
      </c>
      <c r="DW481" s="2" t="s">
        <v>5057</v>
      </c>
      <c r="DX481" s="2">
        <v>1698</v>
      </c>
      <c r="DY481" s="12" t="str">
        <f>HYPERLINK(".\links\tmhmm\AGAP002949-PA-tmhmm.txt","1")</f>
        <v>1</v>
      </c>
      <c r="DZ481" s="2">
        <v>1.3</v>
      </c>
      <c r="EA481" s="2">
        <v>67.900000000000006</v>
      </c>
      <c r="EB481" s="2">
        <v>30.8</v>
      </c>
      <c r="EC481" s="2" t="str">
        <f>HYPERLINK(".\links\gpi\AGAP002949-PA-gpi.txt","Y-NoSP")</f>
        <v>Y-NoSP</v>
      </c>
      <c r="ED481" s="2">
        <v>0.15</v>
      </c>
      <c r="EF481" s="2">
        <v>31</v>
      </c>
      <c r="EG481" s="2" t="str">
        <f>HYPERLINK(".\links\pep\AGAP002949-PA-sulf.txt","3")</f>
        <v>3</v>
      </c>
      <c r="EH481" s="2" t="s">
        <v>102</v>
      </c>
      <c r="EI481" s="2">
        <v>16.961130742049502</v>
      </c>
      <c r="EJ481" s="2">
        <v>5.7714958775029404</v>
      </c>
      <c r="EK481" s="2">
        <v>6.0659599528857502</v>
      </c>
      <c r="EL481" s="2">
        <v>11.8374558303887</v>
      </c>
      <c r="EM481" s="2">
        <v>1</v>
      </c>
      <c r="EN481" s="2">
        <v>4</v>
      </c>
      <c r="EO481" s="2">
        <v>4</v>
      </c>
      <c r="EP481" s="2" t="s">
        <v>102</v>
      </c>
      <c r="EQ481" s="2" t="s">
        <v>102</v>
      </c>
      <c r="ER481" s="2" t="s">
        <v>102</v>
      </c>
      <c r="ES481" s="2" t="s">
        <v>102</v>
      </c>
      <c r="ET481" s="2" t="str">
        <f>HYPERLINK(".\links\REFSEQ-INVERTEBRATE\AGAP002949-PA-REFSEQ-INVERTEBRATE.txt","AGAP002949-PA")</f>
        <v>AGAP002949-PA</v>
      </c>
      <c r="EU481" s="2" t="str">
        <f>HYPERLINK("http://www.ncbi.nlm.nih.gov/sutils/blink.cgi?pid=XP_311950.5","0.0")</f>
        <v>0.0</v>
      </c>
      <c r="EV481" s="2" t="str">
        <f>HYPERLINK("http://www.ncbi.nlm.nih.gov/protein/XP_311950.5","XP_311950.5")</f>
        <v>XP_311950.5</v>
      </c>
      <c r="EW481" s="2">
        <v>99</v>
      </c>
      <c r="EX481" s="2">
        <v>100</v>
      </c>
      <c r="EY481" s="2">
        <v>84</v>
      </c>
      <c r="EZ481" s="2" t="s">
        <v>105</v>
      </c>
    </row>
    <row r="482" spans="1:156" x14ac:dyDescent="0.25">
      <c r="A482" s="2" t="s">
        <v>5063</v>
      </c>
      <c r="B482" s="2">
        <v>-0.41925172701222002</v>
      </c>
      <c r="C482" s="2">
        <f t="shared" si="7"/>
        <v>0.74781238659875715</v>
      </c>
      <c r="D482" s="2">
        <v>7.7344049252864204</v>
      </c>
      <c r="E482" s="2">
        <v>8.8195614744067701</v>
      </c>
      <c r="F482" s="2">
        <v>2.9801827751152598E-3</v>
      </c>
      <c r="G482" s="2">
        <v>4.9912704751014197E-2</v>
      </c>
      <c r="H482" s="2" t="s">
        <v>93</v>
      </c>
      <c r="I482" s="2" t="s">
        <v>94</v>
      </c>
      <c r="J482" s="2" t="str">
        <f>HYPERLINK("https://vectorbase.org/vectorbase/app/record/gene/AGAP000017","AGAP000017-RC")</f>
        <v>AGAP000017-RC</v>
      </c>
      <c r="K482" s="2" t="str">
        <f>HYPERLINK(".\links\pep\AGAP000017-PC-pep.txt","AGAP000017-PC")</f>
        <v>AGAP000017-PC</v>
      </c>
      <c r="L482" s="12" t="s">
        <v>95</v>
      </c>
      <c r="M482" s="2">
        <v>3200</v>
      </c>
      <c r="N482" s="2">
        <v>0</v>
      </c>
      <c r="O482" s="2">
        <v>8</v>
      </c>
      <c r="P482" s="2" t="s">
        <v>102</v>
      </c>
      <c r="Q482" s="9" t="s">
        <v>5064</v>
      </c>
      <c r="R482" s="2" t="s">
        <v>355</v>
      </c>
      <c r="S482" s="2" t="str">
        <f>HYPERLINK(".\links\KOG\AGAP000017-PC-KOG.txt","KOG")</f>
        <v>KOG</v>
      </c>
      <c r="T482" s="2">
        <v>1.9999999999999998E-65</v>
      </c>
      <c r="U482" s="2">
        <v>58</v>
      </c>
      <c r="V482" s="2" t="s">
        <v>5065</v>
      </c>
      <c r="W482" s="10" t="s">
        <v>5066</v>
      </c>
      <c r="X482" s="2" t="s">
        <v>181</v>
      </c>
      <c r="Y482" s="2" t="str">
        <f>HYPERLINK(".\links\REFSEQ-PROTOZOA\AGAP000017-PC-REFSEQ-PROTOZOA.txt","REFSEQ-PROTOZOA")</f>
        <v>REFSEQ-PROTOZOA</v>
      </c>
      <c r="Z482" s="15">
        <v>0</v>
      </c>
      <c r="AA482" s="2">
        <v>30.8</v>
      </c>
      <c r="AB482" s="13" t="str">
        <f>HYPERLINK(".\links\pep\AGAP000017-PC-sulf.txt","3")</f>
        <v>3</v>
      </c>
      <c r="AC482" s="13" t="str">
        <f>HYPERLINK(".\links\Sigp\AGAP000017-PC-SigP.txt","CYT")</f>
        <v>CYT</v>
      </c>
      <c r="AD482" s="2" t="s">
        <v>102</v>
      </c>
      <c r="AE482" s="2">
        <v>354.49</v>
      </c>
      <c r="AF482" s="2">
        <v>5.2</v>
      </c>
      <c r="AG482" s="2" t="s">
        <v>102</v>
      </c>
      <c r="AH482" s="2" t="s">
        <v>102</v>
      </c>
      <c r="AI482" s="2" t="s">
        <v>5067</v>
      </c>
      <c r="AJ482" s="13">
        <v>0</v>
      </c>
      <c r="AK482" s="2" t="s">
        <v>102</v>
      </c>
      <c r="AL482" s="2" t="s">
        <v>102</v>
      </c>
      <c r="AM482" s="2" t="s">
        <v>102</v>
      </c>
      <c r="AN482" s="13" t="str">
        <f>HYPERLINK(".\links\gpi\AGAP000017-PC-gpi.txt","N")</f>
        <v>N</v>
      </c>
      <c r="AO482" s="14" t="str">
        <f>HYPERLINK(".\links\netoglyc\AGAP000017-PC-netoglyc.txt","6")</f>
        <v>6</v>
      </c>
      <c r="AP482" s="13">
        <v>14.5</v>
      </c>
      <c r="AQ482" s="2">
        <v>6.6</v>
      </c>
      <c r="AR482" s="2">
        <v>5.0999999999999996</v>
      </c>
      <c r="AS482" s="2" t="s">
        <v>104</v>
      </c>
      <c r="AT482" s="9" t="str">
        <f>HYPERLINK(".\links\NR-LIGHT\AGAP000017-PC-NR-LIGHT.txt","neurobeachin-like isoform X7")</f>
        <v>neurobeachin-like isoform X7</v>
      </c>
      <c r="AU482" s="2" t="str">
        <f>HYPERLINK("http://www.ncbi.nlm.nih.gov/sutils/blink.cgi?pid=XP_019564494.1","0.0")</f>
        <v>0.0</v>
      </c>
      <c r="AV482" s="2" t="str">
        <f>HYPERLINK("http://www.ncbi.nlm.nih.gov/protein/XP_019564494.1","XP_019564494.1")</f>
        <v>XP_019564494.1</v>
      </c>
      <c r="AW482" s="2">
        <v>78</v>
      </c>
      <c r="AX482" s="2">
        <v>82</v>
      </c>
      <c r="AY482" s="2">
        <v>108</v>
      </c>
      <c r="AZ482" s="2" t="s">
        <v>361</v>
      </c>
      <c r="BA482" s="9" t="str">
        <f>HYPERLINK(".\links\REFSEQ-INVERTEBRATE\AGAP000017-PC-REFSEQ-INVERTEBRATE.txt","uncharacterized protein Dana_GF21330, isoform L")</f>
        <v>uncharacterized protein Dana_GF21330, isoform L</v>
      </c>
      <c r="BB482" s="2" t="str">
        <f>HYPERLINK("http://www.ncbi.nlm.nih.gov/sutils/blink.cgi?pid=XP_014761146.1","0.0")</f>
        <v>0.0</v>
      </c>
      <c r="BC482" s="2" t="str">
        <f>HYPERLINK("http://www.ncbi.nlm.nih.gov/protein/XP_014761146.1","XP_014761146.1")</f>
        <v>XP_014761146.1</v>
      </c>
      <c r="BD482" s="2">
        <v>65</v>
      </c>
      <c r="BE482" s="2">
        <v>73</v>
      </c>
      <c r="BF482" s="2">
        <v>87</v>
      </c>
      <c r="BG482" s="2" t="s">
        <v>5068</v>
      </c>
      <c r="BH482" s="9" t="str">
        <f>HYPERLINK(".\links\REFSEQ-PROTOZOA\AGAP000017-PC-REFSEQ-PROTOZOA.txt","neutral sphingomyelinase activation associated factor")</f>
        <v>neutral sphingomyelinase activation associated factor</v>
      </c>
      <c r="BI482" s="2" t="str">
        <f>HYPERLINK("http://www.ncbi.nlm.nih.gov/sutils/blink.cgi?pid=XP_004345297.1","0.0")</f>
        <v>0.0</v>
      </c>
      <c r="BJ482" s="2" t="str">
        <f>HYPERLINK("http://www.ncbi.nlm.nih.gov/protein/XP_004345297.1","XP_004345297.1")</f>
        <v>XP_004345297.1</v>
      </c>
      <c r="BK482" s="2">
        <v>35</v>
      </c>
      <c r="BL482" s="2">
        <v>52</v>
      </c>
      <c r="BM482" s="2">
        <v>44</v>
      </c>
      <c r="BN482" s="2" t="s">
        <v>106</v>
      </c>
      <c r="BO482" s="9" t="str">
        <f>HYPERLINK(".\links\SWISSP\AGAP000017-PC-SWISSP.txt","Neurobeachin")</f>
        <v>Neurobeachin</v>
      </c>
      <c r="BP482" s="2" t="str">
        <f>HYPERLINK("http://www.uniprot.org/uniprot/Q9W4E2","0.0")</f>
        <v>0.0</v>
      </c>
      <c r="BQ482" s="2" t="str">
        <f>HYPERLINK("http://www.uniprot.org/uniprot/Q9W4E2#expression","Q9W4E2")</f>
        <v>Q9W4E2</v>
      </c>
      <c r="BR482" s="2">
        <v>63</v>
      </c>
      <c r="BS482" s="2">
        <v>71</v>
      </c>
      <c r="BT482" s="2">
        <v>90</v>
      </c>
      <c r="BU482" s="2" t="s">
        <v>107</v>
      </c>
      <c r="BV482" s="9" t="str">
        <f>HYPERLINK(".\links\FLYBASE\AGAP000017-PC-FLYBASE.txt","FBpp0310997")</f>
        <v>FBpp0310997</v>
      </c>
      <c r="BW482" s="2" t="str">
        <f>HYPERLINK("http://flybase.org/reports/FBgn0266098#alliance_summary_container","0.0")</f>
        <v>0.0</v>
      </c>
      <c r="BX482" s="2">
        <v>3400</v>
      </c>
      <c r="BY482" s="2">
        <v>80</v>
      </c>
      <c r="BZ482" s="2">
        <v>86</v>
      </c>
      <c r="CA482" s="2">
        <v>48</v>
      </c>
      <c r="CB482" s="9" t="str">
        <f>HYPERLINK(".\links\CDD\AGAP000017-PC-CDD.txt","Beach, Beige/BEACH domain")</f>
        <v>Beach, Beige/BEACH domain</v>
      </c>
      <c r="CC482" s="15">
        <v>9.9999999999999992E-164</v>
      </c>
      <c r="CD482" s="2">
        <v>100</v>
      </c>
      <c r="CE482" s="2" t="s">
        <v>4069</v>
      </c>
      <c r="CF482" s="2" t="s">
        <v>5069</v>
      </c>
      <c r="CG482" s="9" t="str">
        <f>HYPERLINK(".\links\KOG\AGAP000017-PC-KOG.txt","Kinase A-anchor protein Neurobeachin and related BEACH and WD40 repeat proteins")</f>
        <v>Kinase A-anchor protein Neurobeachin and related BEACH and WD40 repeat proteins</v>
      </c>
      <c r="CH482" s="15">
        <v>0</v>
      </c>
      <c r="CI482" s="2">
        <v>102.8</v>
      </c>
      <c r="CJ482" s="2" t="s">
        <v>5070</v>
      </c>
      <c r="CK482" s="2" t="s">
        <v>154</v>
      </c>
      <c r="CL482" s="9" t="str">
        <f>HYPERLINK(".\links\PFAM\AGAP000017-PC-PFAM.txt","Beach, Beige/BEACH domain")</f>
        <v>Beach, Beige/BEACH domain</v>
      </c>
      <c r="CM482" s="15">
        <v>9.9999999999999992E-164</v>
      </c>
      <c r="CN482" s="2">
        <v>100</v>
      </c>
      <c r="CO482" s="2" t="s">
        <v>4069</v>
      </c>
      <c r="CP482" s="9" t="str">
        <f>HYPERLINK(".\links\SMART\AGAP000017-PC-SMART.txt","Beach, Beige/BEACH domain")</f>
        <v>Beach, Beige/BEACH domain</v>
      </c>
      <c r="CQ482" s="15">
        <v>9.9999999999999994E-158</v>
      </c>
      <c r="CR482" s="2">
        <v>100</v>
      </c>
      <c r="CS482" s="2" t="s">
        <v>4072</v>
      </c>
      <c r="CT482" s="2" t="s">
        <v>5065</v>
      </c>
      <c r="CU482" s="2" t="s">
        <v>5065</v>
      </c>
      <c r="CV482" s="2" t="s">
        <v>5065</v>
      </c>
      <c r="CW482" s="2" t="str">
        <f>HYPERLINK(".\links\pep\AGAP000017-PC-pep.txt","AGAP000017-PC")</f>
        <v>AGAP000017-PC</v>
      </c>
      <c r="CX482" s="2" t="s">
        <v>95</v>
      </c>
      <c r="CY482" s="2">
        <v>3200</v>
      </c>
      <c r="CZ482" s="2" t="s">
        <v>113</v>
      </c>
      <c r="DA482" s="2" t="s">
        <v>5071</v>
      </c>
      <c r="DB482" s="2">
        <v>0</v>
      </c>
      <c r="DC482" s="2">
        <v>8</v>
      </c>
      <c r="DD482" s="2" t="str">
        <f>HYPERLINK("https://www.kegg.jp/kegg-bin/search_pathway_text?map=aga&amp;keyword=AGAP000017&amp;mode=1&amp;viewImage=true","AGAP000017")</f>
        <v>AGAP000017</v>
      </c>
      <c r="DE482" s="2" t="s">
        <v>5063</v>
      </c>
      <c r="DF482" s="2" t="s">
        <v>93</v>
      </c>
      <c r="DG482" s="2" t="s">
        <v>94</v>
      </c>
      <c r="DH482" s="2" t="str">
        <f>HYPERLINK("https://vectorbase.org/vectorbase/app/record/gene/AGAP000017","AGAP000017-RC")</f>
        <v>AGAP000017-RC</v>
      </c>
      <c r="DI482" s="2" t="s">
        <v>135</v>
      </c>
      <c r="DJ482" s="2">
        <v>14730</v>
      </c>
      <c r="DK482" s="2" t="str">
        <f>HYPERLINK(".\links\netoglyc\AGAP000017-PC-netoglyc.txt","6")</f>
        <v>6</v>
      </c>
      <c r="DL482" s="2">
        <v>14.5</v>
      </c>
      <c r="DM482" s="2">
        <v>6.6</v>
      </c>
      <c r="DN482" s="2">
        <v>5.0999999999999996</v>
      </c>
      <c r="DO482" s="2" t="s">
        <v>104</v>
      </c>
      <c r="DP482" s="2" t="s">
        <v>5072</v>
      </c>
      <c r="DQ482" s="2" t="str">
        <f>HYPERLINK(".\links\Sigp\AGAP000017-PC-SigP.txt","CYT")</f>
        <v>CYT</v>
      </c>
      <c r="DR482" s="2" t="s">
        <v>102</v>
      </c>
      <c r="DS482" s="2">
        <v>354.49</v>
      </c>
      <c r="DT482" s="2">
        <v>5.2</v>
      </c>
      <c r="DU482" s="2" t="s">
        <v>102</v>
      </c>
      <c r="DV482" s="2" t="s">
        <v>102</v>
      </c>
      <c r="DW482" s="2" t="s">
        <v>5067</v>
      </c>
      <c r="DX482" s="2">
        <v>3200</v>
      </c>
      <c r="DY482" s="12">
        <v>0</v>
      </c>
      <c r="DZ482" s="2" t="s">
        <v>102</v>
      </c>
      <c r="EA482" s="2" t="s">
        <v>102</v>
      </c>
      <c r="EB482" s="2" t="s">
        <v>102</v>
      </c>
      <c r="EC482" s="2" t="str">
        <f>HYPERLINK(".\links\gpi\AGAP000017-PC-gpi.txt","Y-NoSP")</f>
        <v>Y-NoSP</v>
      </c>
      <c r="ED482" s="2">
        <v>0.09</v>
      </c>
      <c r="EF482" s="2">
        <v>47</v>
      </c>
      <c r="EG482" s="2" t="str">
        <f>HYPERLINK(".\links\pep\AGAP000017-PC-sulf.txt","3")</f>
        <v>3</v>
      </c>
      <c r="EH482" s="2" t="s">
        <v>102</v>
      </c>
      <c r="EI482" s="2">
        <v>14.53125</v>
      </c>
      <c r="EJ482" s="2">
        <v>5.09375</v>
      </c>
      <c r="EK482" s="2">
        <v>6.625</v>
      </c>
      <c r="EL482" s="2">
        <v>11.71875</v>
      </c>
      <c r="EM482" s="2">
        <v>6</v>
      </c>
      <c r="EN482" s="2">
        <v>9</v>
      </c>
      <c r="EO482" s="2">
        <v>9</v>
      </c>
      <c r="EP482" s="2" t="s">
        <v>102</v>
      </c>
      <c r="EQ482" s="2" t="s">
        <v>102</v>
      </c>
      <c r="ER482" s="2" t="s">
        <v>102</v>
      </c>
      <c r="ES482" s="2" t="s">
        <v>102</v>
      </c>
      <c r="ET482" s="2" t="str">
        <f>HYPERLINK(".\links\REFSEQ-INVERTEBRATE\AGAP000017-PC-REFSEQ-INVERTEBRATE.txt","neurobeachin isoform X17")</f>
        <v>neurobeachin isoform X17</v>
      </c>
      <c r="EU482" s="2" t="str">
        <f>HYPERLINK("http://www.ncbi.nlm.nih.gov/sutils/blink.cgi?pid=XP_035904611.1","0.0")</f>
        <v>0.0</v>
      </c>
      <c r="EV482" s="2" t="str">
        <f>HYPERLINK("http://www.ncbi.nlm.nih.gov/protein/XP_035904611.1","XP_035904611.1")</f>
        <v>XP_035904611.1</v>
      </c>
      <c r="EW482" s="2">
        <v>88</v>
      </c>
      <c r="EX482" s="2">
        <v>90</v>
      </c>
      <c r="EY482" s="2">
        <v>101</v>
      </c>
      <c r="EZ482" s="2" t="s">
        <v>370</v>
      </c>
    </row>
    <row r="483" spans="1:156" x14ac:dyDescent="0.25">
      <c r="A483" s="2" t="s">
        <v>5073</v>
      </c>
      <c r="B483" s="2">
        <v>-0.42176526469222803</v>
      </c>
      <c r="C483" s="2">
        <f t="shared" si="7"/>
        <v>0.74651064361566233</v>
      </c>
      <c r="D483" s="2">
        <v>7.2703476128951596</v>
      </c>
      <c r="E483" s="2">
        <v>10.7683305783205</v>
      </c>
      <c r="F483" s="2">
        <v>1.0325159691449001E-3</v>
      </c>
      <c r="G483" s="2">
        <v>3.25094085492749E-2</v>
      </c>
      <c r="H483" s="2" t="s">
        <v>93</v>
      </c>
      <c r="I483" s="2" t="s">
        <v>94</v>
      </c>
      <c r="J483" s="2" t="str">
        <f>HYPERLINK("https://vectorbase.org/vectorbase/app/record/gene/AGAP007440","AGAP007440-RA")</f>
        <v>AGAP007440-RA</v>
      </c>
      <c r="K483" s="2" t="str">
        <f>HYPERLINK(".\links\pep\AGAP007440-PA-pep.txt","AGAP007440-PA")</f>
        <v>AGAP007440-PA</v>
      </c>
      <c r="L483" s="12" t="s">
        <v>95</v>
      </c>
      <c r="M483" s="2">
        <v>998</v>
      </c>
      <c r="N483" s="2">
        <v>0</v>
      </c>
      <c r="O483" s="2">
        <v>1</v>
      </c>
      <c r="P483" s="2" t="s">
        <v>5074</v>
      </c>
      <c r="Q483" s="9" t="s">
        <v>5075</v>
      </c>
      <c r="R483" s="2" t="s">
        <v>420</v>
      </c>
      <c r="S483" s="2" t="str">
        <f>HYPERLINK(".\links\REFSEQ-INVERTEBRATE\AGAP007440-PA-REFSEQ-INVERTEBRATE.txt","REFSEQ-INVERTEBRATE")</f>
        <v>REFSEQ-INVERTEBRATE</v>
      </c>
      <c r="T483" s="2">
        <v>0</v>
      </c>
      <c r="U483" s="2">
        <v>100</v>
      </c>
      <c r="V483" s="2" t="s">
        <v>5076</v>
      </c>
      <c r="W483" s="10" t="s">
        <v>5077</v>
      </c>
      <c r="X483" s="2" t="s">
        <v>420</v>
      </c>
      <c r="Y483" s="2" t="str">
        <f>HYPERLINK(".\links\UNIPROTKB\AGAP007440-PA-UNIPROTKB.txt","UNIPROTKB")</f>
        <v>UNIPROTKB</v>
      </c>
      <c r="Z483" s="15">
        <v>7.0000000000000003E-17</v>
      </c>
      <c r="AA483" s="2">
        <v>64.099999999999994</v>
      </c>
      <c r="AB483" s="13" t="str">
        <f>HYPERLINK(".\links\pep\AGAP007440-PA-sulf.txt","2")</f>
        <v>2</v>
      </c>
      <c r="AC483" s="13" t="str">
        <f>HYPERLINK(".\links\Sigp\AGAP007440-PA-SigP.txt","CYT")</f>
        <v>CYT</v>
      </c>
      <c r="AD483" s="2" t="s">
        <v>102</v>
      </c>
      <c r="AE483" s="2">
        <v>108.878</v>
      </c>
      <c r="AF483" s="2">
        <v>6.26</v>
      </c>
      <c r="AG483" s="2" t="s">
        <v>102</v>
      </c>
      <c r="AH483" s="2" t="s">
        <v>102</v>
      </c>
      <c r="AI483" s="2" t="s">
        <v>611</v>
      </c>
      <c r="AJ483" s="13">
        <v>0</v>
      </c>
      <c r="AK483" s="2" t="s">
        <v>102</v>
      </c>
      <c r="AL483" s="2" t="s">
        <v>102</v>
      </c>
      <c r="AM483" s="2" t="s">
        <v>102</v>
      </c>
      <c r="AN483" s="13" t="str">
        <f>HYPERLINK(".\links\gpi\AGAP007440-PA-gpi.txt","N")</f>
        <v>N</v>
      </c>
      <c r="AO483" s="14" t="str">
        <f>HYPERLINK(".\links\netoglyc\AGAP007440-PA-netoglyc.txt","10")</f>
        <v>10</v>
      </c>
      <c r="AP483" s="13">
        <v>10.6</v>
      </c>
      <c r="AQ483" s="2">
        <v>11.8</v>
      </c>
      <c r="AR483" s="2">
        <v>9.8000000000000007</v>
      </c>
      <c r="AS483" s="2" t="s">
        <v>104</v>
      </c>
      <c r="AT483" s="9" t="str">
        <f>HYPERLINK(".\links\NR-LIGHT\AGAP007440-PA-NR-LIGHT.txt","AGAP007440-PA")</f>
        <v>AGAP007440-PA</v>
      </c>
      <c r="AU483" s="2" t="str">
        <f>HYPERLINK("http://www.ncbi.nlm.nih.gov/sutils/blink.cgi?pid=XP_001687927.1","0.0")</f>
        <v>0.0</v>
      </c>
      <c r="AV483" s="2" t="str">
        <f>HYPERLINK("http://www.ncbi.nlm.nih.gov/protein/XP_001687927.1","XP_001687927.1")</f>
        <v>XP_001687927.1</v>
      </c>
      <c r="AW483" s="2">
        <v>100</v>
      </c>
      <c r="AX483" s="2">
        <v>100</v>
      </c>
      <c r="AY483" s="2">
        <v>100</v>
      </c>
      <c r="AZ483" s="2" t="s">
        <v>105</v>
      </c>
      <c r="BA483" s="9" t="str">
        <f>HYPERLINK(".\links\REFSEQ-INVERTEBRATE\AGAP007440-PA-REFSEQ-INVERTEBRATE.txt","AGAP007440-PA")</f>
        <v>AGAP007440-PA</v>
      </c>
      <c r="BB483" s="2" t="str">
        <f>HYPERLINK("http://www.ncbi.nlm.nih.gov/sutils/blink.cgi?pid=XP_001687927.1","0.0")</f>
        <v>0.0</v>
      </c>
      <c r="BC483" s="2" t="str">
        <f>HYPERLINK("http://www.ncbi.nlm.nih.gov/protein/XP_001687927.1","XP_001687927.1")</f>
        <v>XP_001687927.1</v>
      </c>
      <c r="BD483" s="2">
        <v>100</v>
      </c>
      <c r="BE483" s="2">
        <v>100</v>
      </c>
      <c r="BF483" s="2">
        <v>100</v>
      </c>
      <c r="BG483" s="2" t="s">
        <v>105</v>
      </c>
      <c r="BH483" s="9" t="str">
        <f>HYPERLINK(".\links\REFSEQ-PROTOZOA\AGAP007440-PA-REFSEQ-PROTOZOA.txt","hypothetical protein DDB_G0268650")</f>
        <v>hypothetical protein DDB_G0268650</v>
      </c>
      <c r="BI483" s="2" t="str">
        <f>HYPERLINK("http://www.ncbi.nlm.nih.gov/sutils/blink.cgi?pid=XP_646835.1","3E-023")</f>
        <v>3E-023</v>
      </c>
      <c r="BJ483" s="2" t="str">
        <f>HYPERLINK("http://www.ncbi.nlm.nih.gov/protein/XP_646835.1","XP_646835.1")</f>
        <v>XP_646835.1</v>
      </c>
      <c r="BK483" s="2">
        <v>26</v>
      </c>
      <c r="BL483" s="2">
        <v>39</v>
      </c>
      <c r="BM483" s="2">
        <v>39</v>
      </c>
      <c r="BN483" s="2" t="s">
        <v>612</v>
      </c>
      <c r="BO483" s="9" t="str">
        <f>HYPERLINK(".\links\SWISSP\AGAP007440-PA-SWISSP.txt","Protein PAT1 homolog 1")</f>
        <v>Protein PAT1 homolog 1</v>
      </c>
      <c r="BP483" s="2" t="str">
        <f>HYPERLINK("http://www.uniprot.org/uniprot/A2RRV3","4E-024")</f>
        <v>4E-024</v>
      </c>
      <c r="BQ483" s="2" t="str">
        <f>HYPERLINK("http://www.uniprot.org/uniprot/A2RRV3#expression","A2RRV3")</f>
        <v>A2RRV3</v>
      </c>
      <c r="BR483" s="2">
        <v>23</v>
      </c>
      <c r="BS483" s="2">
        <v>35</v>
      </c>
      <c r="BT483" s="2">
        <v>112</v>
      </c>
      <c r="BU483" s="2" t="s">
        <v>213</v>
      </c>
      <c r="BV483" s="9" t="str">
        <f>HYPERLINK(".\links\FLYBASE\AGAP007440-PA-FLYBASE.txt","FBpp0308299")</f>
        <v>FBpp0308299</v>
      </c>
      <c r="BW483" s="2" t="str">
        <f>HYPERLINK("http://flybase.org/reports/FBgn0266053#alliance_summary_container","7E-63")</f>
        <v>7E-63</v>
      </c>
      <c r="BX483" s="2">
        <v>968</v>
      </c>
      <c r="BY483" s="2">
        <v>33</v>
      </c>
      <c r="BZ483" s="2">
        <v>53</v>
      </c>
      <c r="CA483" s="2">
        <v>41</v>
      </c>
      <c r="CB483" s="9" t="str">
        <f>HYPERLINK(".\links\CDD\AGAP007440-PA-CDD.txt","PAT1, Topoisomerase II-associated protein PAT1")</f>
        <v>PAT1, Topoisomerase II-associated protein PAT1</v>
      </c>
      <c r="CC483" s="15">
        <v>2E-14</v>
      </c>
      <c r="CD483" s="2">
        <v>51.3</v>
      </c>
      <c r="CE483" s="2" t="s">
        <v>3695</v>
      </c>
      <c r="CF483" s="2" t="s">
        <v>5078</v>
      </c>
      <c r="CG483" s="9" t="str">
        <f>HYPERLINK(".\links\KOG\AGAP007440-PA-KOG.txt","Uncharacterized conserved protein")</f>
        <v>Uncharacterized conserved protein</v>
      </c>
      <c r="CH483" s="15">
        <v>7.0000000000000005E-14</v>
      </c>
      <c r="CI483" s="2">
        <v>115.8</v>
      </c>
      <c r="CJ483" s="2" t="s">
        <v>5079</v>
      </c>
      <c r="CK483" s="2" t="s">
        <v>284</v>
      </c>
      <c r="CL483" s="9" t="str">
        <f>HYPERLINK(".\links\PFAM\AGAP007440-PA-PFAM.txt","PAT1, Topoisomerase II-associated protein PAT1")</f>
        <v>PAT1, Topoisomerase II-associated protein PAT1</v>
      </c>
      <c r="CM483" s="15">
        <v>5E-15</v>
      </c>
      <c r="CN483" s="2">
        <v>51.3</v>
      </c>
      <c r="CO483" s="2" t="s">
        <v>3695</v>
      </c>
      <c r="CP483" s="9" t="str">
        <f>HYPERLINK(".\links\SMART\AGAP007440-PA-SMART.txt","Amelogenin, Amelogenins, cell adhesion proteins, play a role in the biomineralisation of teeth")</f>
        <v>Amelogenin, Amelogenins, cell adhesion proteins, play a role in the biomineralisation of teeth</v>
      </c>
      <c r="CQ483" s="15">
        <v>5.0000000000000001E-4</v>
      </c>
      <c r="CR483" s="2">
        <v>57</v>
      </c>
      <c r="CS483" s="2" t="s">
        <v>311</v>
      </c>
      <c r="CT483" s="2" t="s">
        <v>5076</v>
      </c>
      <c r="CU483" s="2" t="s">
        <v>5076</v>
      </c>
      <c r="CV483" s="2" t="s">
        <v>5076</v>
      </c>
      <c r="CW483" s="2" t="str">
        <f>HYPERLINK(".\links\pep\AGAP007440-PA-pep.txt","AGAP007440-PA")</f>
        <v>AGAP007440-PA</v>
      </c>
      <c r="CX483" s="2" t="s">
        <v>95</v>
      </c>
      <c r="CY483" s="2">
        <v>998</v>
      </c>
      <c r="CZ483" s="2" t="s">
        <v>113</v>
      </c>
      <c r="DA483" s="2" t="s">
        <v>5080</v>
      </c>
      <c r="DB483" s="2">
        <v>0</v>
      </c>
      <c r="DC483" s="2">
        <v>1</v>
      </c>
      <c r="DD483" s="2" t="str">
        <f>HYPERLINK("https://www.kegg.jp/kegg-bin/search_pathway_text?map=aga&amp;keyword=AGAP007440&amp;mode=1&amp;viewImage=true","AGAP007440")</f>
        <v>AGAP007440</v>
      </c>
      <c r="DE483" s="2" t="s">
        <v>5073</v>
      </c>
      <c r="DF483" s="2" t="s">
        <v>93</v>
      </c>
      <c r="DG483" s="2" t="s">
        <v>94</v>
      </c>
      <c r="DH483" s="2" t="str">
        <f>HYPERLINK("https://vectorbase.org/vectorbase/app/record/gene/AGAP007440","AGAP007440-RA")</f>
        <v>AGAP007440-RA</v>
      </c>
      <c r="DI483" s="2" t="s">
        <v>118</v>
      </c>
      <c r="DJ483" s="2">
        <v>4558</v>
      </c>
      <c r="DK483" s="2" t="str">
        <f>HYPERLINK(".\links\netoglyc\AGAP007440-PA-netoglyc.txt","10")</f>
        <v>10</v>
      </c>
      <c r="DL483" s="2">
        <v>10.6</v>
      </c>
      <c r="DM483" s="2">
        <v>11.8</v>
      </c>
      <c r="DN483" s="2">
        <v>9.8000000000000007</v>
      </c>
      <c r="DO483" s="2" t="s">
        <v>104</v>
      </c>
      <c r="DP483" s="2" t="s">
        <v>5081</v>
      </c>
      <c r="DQ483" s="2" t="str">
        <f>HYPERLINK(".\links\Sigp\AGAP007440-PA-SigP.txt","CYT")</f>
        <v>CYT</v>
      </c>
      <c r="DR483" s="2" t="s">
        <v>102</v>
      </c>
      <c r="DS483" s="2">
        <v>108.878</v>
      </c>
      <c r="DT483" s="2">
        <v>6.26</v>
      </c>
      <c r="DU483" s="2" t="s">
        <v>102</v>
      </c>
      <c r="DV483" s="2" t="s">
        <v>102</v>
      </c>
      <c r="DW483" s="2" t="s">
        <v>611</v>
      </c>
      <c r="DX483" s="2">
        <v>998</v>
      </c>
      <c r="DY483" s="12">
        <v>0</v>
      </c>
      <c r="DZ483" s="2" t="s">
        <v>102</v>
      </c>
      <c r="EA483" s="2" t="s">
        <v>102</v>
      </c>
      <c r="EB483" s="2" t="s">
        <v>102</v>
      </c>
      <c r="EC483" s="2" t="str">
        <f>HYPERLINK(".\links\gpi\AGAP007440-PA-gpi.txt","Y-NoSP")</f>
        <v>Y-NoSP</v>
      </c>
      <c r="ED483" s="2">
        <v>0.32</v>
      </c>
      <c r="EF483" s="2">
        <v>7</v>
      </c>
      <c r="EG483" s="2" t="str">
        <f>HYPERLINK(".\links\pep\AGAP007440-PA-sulf.txt","2")</f>
        <v>2</v>
      </c>
      <c r="EH483" s="2" t="s">
        <v>102</v>
      </c>
      <c r="EI483" s="2">
        <v>10.621242484969899</v>
      </c>
      <c r="EJ483" s="2">
        <v>9.8196392785571103</v>
      </c>
      <c r="EK483" s="2">
        <v>11.8236472945892</v>
      </c>
      <c r="EL483" s="2">
        <v>21.643286573146298</v>
      </c>
      <c r="EM483" s="2">
        <v>11</v>
      </c>
      <c r="EN483" s="2">
        <v>1</v>
      </c>
      <c r="EO483" s="2">
        <v>1</v>
      </c>
      <c r="EP483" s="2" t="s">
        <v>102</v>
      </c>
      <c r="EQ483" s="2" t="s">
        <v>102</v>
      </c>
      <c r="ER483" s="2" t="s">
        <v>102</v>
      </c>
      <c r="ES483" s="2" t="s">
        <v>102</v>
      </c>
      <c r="ET483" s="2" t="str">
        <f>HYPERLINK(".\links\REFSEQ-INVERTEBRATE\AGAP007440-PA-REFSEQ-INVERTEBRATE.txt","AGAP007440-PA")</f>
        <v>AGAP007440-PA</v>
      </c>
      <c r="EU483" s="2" t="str">
        <f>HYPERLINK("http://www.ncbi.nlm.nih.gov/sutils/blink.cgi?pid=XP_001687927.1","0.0")</f>
        <v>0.0</v>
      </c>
      <c r="EV483" s="2" t="str">
        <f>HYPERLINK("http://www.ncbi.nlm.nih.gov/protein/XP_001687927.1","XP_001687927.1")</f>
        <v>XP_001687927.1</v>
      </c>
      <c r="EW483" s="2">
        <v>100</v>
      </c>
      <c r="EX483" s="2">
        <v>100</v>
      </c>
      <c r="EY483" s="2">
        <v>100</v>
      </c>
      <c r="EZ483" s="2" t="s">
        <v>105</v>
      </c>
    </row>
    <row r="484" spans="1:156" x14ac:dyDescent="0.25">
      <c r="A484" s="2" t="s">
        <v>5082</v>
      </c>
      <c r="B484" s="2">
        <v>-0.42207567073218999</v>
      </c>
      <c r="C484" s="2">
        <f t="shared" si="7"/>
        <v>0.7463500438494991</v>
      </c>
      <c r="D484" s="2">
        <v>5.8858760961826402</v>
      </c>
      <c r="E484" s="2">
        <v>11.0385664403438</v>
      </c>
      <c r="F484" s="2">
        <v>8.9235838979127402E-4</v>
      </c>
      <c r="G484" s="2">
        <v>3.0535388650670198E-2</v>
      </c>
      <c r="H484" s="2" t="s">
        <v>5083</v>
      </c>
      <c r="I484" s="2" t="s">
        <v>94</v>
      </c>
      <c r="J484" s="2" t="str">
        <f>HYPERLINK("https://vectorbase.org/vectorbase/app/record/gene/AGAP000530","AGAP000530-RB")</f>
        <v>AGAP000530-RB</v>
      </c>
      <c r="K484" s="2" t="str">
        <f>HYPERLINK(".\links\pep\AGAP000530-PB-pep.txt","AGAP000530-PB")</f>
        <v>AGAP000530-PB</v>
      </c>
      <c r="L484" s="12" t="s">
        <v>95</v>
      </c>
      <c r="M484" s="2">
        <v>292</v>
      </c>
      <c r="N484" s="2">
        <v>0</v>
      </c>
      <c r="O484" s="2">
        <v>0</v>
      </c>
      <c r="P484" s="2" t="s">
        <v>5084</v>
      </c>
      <c r="Q484" s="9" t="s">
        <v>5084</v>
      </c>
      <c r="R484" s="2" t="s">
        <v>1221</v>
      </c>
      <c r="S484" s="2" t="str">
        <f>HYPERLINK(".\links\NR-LIGHT\AGAP000530-PB-NR-LIGHT.txt","NR-LIGHT")</f>
        <v>NR-LIGHT</v>
      </c>
      <c r="T484" s="2">
        <v>5E-91</v>
      </c>
      <c r="U484" s="2">
        <v>94.5</v>
      </c>
      <c r="V484" s="2" t="s">
        <v>5085</v>
      </c>
      <c r="W484" s="10" t="s">
        <v>5086</v>
      </c>
      <c r="X484" s="2" t="s">
        <v>1221</v>
      </c>
      <c r="Y484" s="2" t="str">
        <f>HYPERLINK(".\links\ARTHORPODA\AGAP000530-PB-ARTHORPODA.txt","ARTHORPODA")</f>
        <v>ARTHORPODA</v>
      </c>
      <c r="Z484" s="2">
        <v>0</v>
      </c>
      <c r="AA484" s="2">
        <v>100</v>
      </c>
      <c r="AB484" s="13" t="s">
        <v>102</v>
      </c>
      <c r="AC484" s="13" t="str">
        <f>HYPERLINK(".\links\Sigp\AGAP000530-PB-SigP.txt","CYT")</f>
        <v>CYT</v>
      </c>
      <c r="AD484" s="2" t="s">
        <v>102</v>
      </c>
      <c r="AE484" s="2">
        <v>33.671999999999997</v>
      </c>
      <c r="AF484" s="2">
        <v>6.37</v>
      </c>
      <c r="AG484" s="2" t="s">
        <v>102</v>
      </c>
      <c r="AH484" s="2" t="s">
        <v>102</v>
      </c>
      <c r="AI484" s="2" t="s">
        <v>124</v>
      </c>
      <c r="AJ484" s="13">
        <v>0</v>
      </c>
      <c r="AK484" s="2" t="s">
        <v>102</v>
      </c>
      <c r="AL484" s="2" t="s">
        <v>102</v>
      </c>
      <c r="AM484" s="2" t="s">
        <v>102</v>
      </c>
      <c r="AN484" s="13" t="str">
        <f>HYPERLINK(".\links\gpi\AGAP000530-PB-gpi.txt","N")</f>
        <v>N</v>
      </c>
      <c r="AO484" s="14" t="str">
        <f>HYPERLINK(".\links\netoglyc\AGAP000530-PB-netoglyc.txt","0")</f>
        <v>0</v>
      </c>
      <c r="AP484" s="13">
        <v>7.9</v>
      </c>
      <c r="AQ484" s="2">
        <v>3.1</v>
      </c>
      <c r="AR484" s="2">
        <v>7.2</v>
      </c>
      <c r="AS484" s="2" t="s">
        <v>104</v>
      </c>
      <c r="AT484" s="9" t="str">
        <f>HYPERLINK(".\links\NR-LIGHT\AGAP000530-PB-NR-LIGHT.txt","AGAP000530-PA")</f>
        <v>AGAP000530-PA</v>
      </c>
      <c r="AU484" s="2" t="str">
        <f>HYPERLINK("http://www.ncbi.nlm.nih.gov/sutils/blink.cgi?pid=XP_565822.3","1E-168")</f>
        <v>1E-168</v>
      </c>
      <c r="AV484" s="2" t="str">
        <f>HYPERLINK("http://www.ncbi.nlm.nih.gov/protein/XP_565822.3","XP_565822.3")</f>
        <v>XP_565822.3</v>
      </c>
      <c r="AW484" s="2">
        <v>100</v>
      </c>
      <c r="AX484" s="2">
        <v>100</v>
      </c>
      <c r="AY484" s="2">
        <v>100</v>
      </c>
      <c r="AZ484" s="2" t="s">
        <v>105</v>
      </c>
      <c r="BA484" s="9" t="str">
        <f>HYPERLINK(".\links\REFSEQ-INVERTEBRATE\AGAP000530-PB-REFSEQ-INVERTEBRATE.txt","AGAP000530-PB")</f>
        <v>AGAP000530-PB</v>
      </c>
      <c r="BB484" s="2" t="str">
        <f>HYPERLINK("http://www.ncbi.nlm.nih.gov/sutils/blink.cgi?pid=XP_003437018.1","1E-168")</f>
        <v>1E-168</v>
      </c>
      <c r="BC484" s="2" t="str">
        <f>HYPERLINK("http://www.ncbi.nlm.nih.gov/protein/XP_003437018.1","XP_003437018.1")</f>
        <v>XP_003437018.1</v>
      </c>
      <c r="BD484" s="2">
        <v>100</v>
      </c>
      <c r="BE484" s="2">
        <v>100</v>
      </c>
      <c r="BF484" s="2">
        <v>100</v>
      </c>
      <c r="BG484" s="2" t="s">
        <v>105</v>
      </c>
      <c r="BH484" s="9" t="str">
        <f>HYPERLINK(".\links\REFSEQ-PROTOZOA\AGAP000530-PB-REFSEQ-PROTOZOA.txt","hypothetical protein CAOG_03523")</f>
        <v>hypothetical protein CAOG_03523</v>
      </c>
      <c r="BI484" s="2" t="str">
        <f>HYPERLINK("http://www.ncbi.nlm.nih.gov/sutils/blink.cgi?pid=XP_004348428.2","4E-015")</f>
        <v>4E-015</v>
      </c>
      <c r="BJ484" s="2" t="str">
        <f>HYPERLINK("http://www.ncbi.nlm.nih.gov/protein/XP_004348428.2","XP_004348428.2")</f>
        <v>XP_004348428.2</v>
      </c>
      <c r="BK484" s="2">
        <v>28</v>
      </c>
      <c r="BL484" s="2">
        <v>42</v>
      </c>
      <c r="BM484" s="2">
        <v>71</v>
      </c>
      <c r="BN484" s="2" t="s">
        <v>106</v>
      </c>
      <c r="BO484" s="9" t="str">
        <f>HYPERLINK(".\links\SWISSP\AGAP000530-PB-SWISSP.txt","Werner Syndrome-like exonuclease")</f>
        <v>Werner Syndrome-like exonuclease</v>
      </c>
      <c r="BP484" s="2" t="str">
        <f>HYPERLINK("http://www.uniprot.org/uniprot/B4PLB3","5E-068")</f>
        <v>5E-068</v>
      </c>
      <c r="BQ484" s="2" t="str">
        <f>HYPERLINK("http://www.uniprot.org/uniprot/B4PLB3#expression","B4PLB3")</f>
        <v>B4PLB3</v>
      </c>
      <c r="BR484" s="2">
        <v>50</v>
      </c>
      <c r="BS484" s="2">
        <v>68</v>
      </c>
      <c r="BT484" s="2">
        <v>72</v>
      </c>
      <c r="BU484" s="2" t="s">
        <v>5087</v>
      </c>
      <c r="BV484" s="9" t="str">
        <f>HYPERLINK(".\links\FLYBASE\AGAP000530-PB-FLYBASE.txt","FBpp0291513")</f>
        <v>FBpp0291513</v>
      </c>
      <c r="BW484" s="2" t="str">
        <f>HYPERLINK("http://flybase.org/reports/FBgn0038608#alliance_summary_container","6E-87")</f>
        <v>6E-87</v>
      </c>
      <c r="BX484" s="2">
        <v>354</v>
      </c>
      <c r="BY484" s="2">
        <v>52</v>
      </c>
      <c r="BZ484" s="2">
        <v>72</v>
      </c>
      <c r="CA484" s="2">
        <v>66</v>
      </c>
      <c r="CB484" s="9" t="str">
        <f>HYPERLINK(".\links\CDD\AGAP000530-PB-CDD.txt","WRN_exo, DEDDy 3'-5' exonuclease domain of WRN and similar proteins")</f>
        <v>WRN_exo, DEDDy 3'-5' exonuclease domain of WRN and similar proteins</v>
      </c>
      <c r="CC484" s="15">
        <v>7.9999999999999998E-48</v>
      </c>
      <c r="CD484" s="2">
        <v>101.8</v>
      </c>
      <c r="CE484" s="2" t="s">
        <v>5088</v>
      </c>
      <c r="CF484" s="2" t="s">
        <v>5089</v>
      </c>
      <c r="CG484" s="9" t="str">
        <f>HYPERLINK(".\links\KOG\AGAP000530-PB-KOG.txt","Predicted 3'-5' exonuclease")</f>
        <v>Predicted 3'-5' exonuclease</v>
      </c>
      <c r="CH484" s="15">
        <v>9.9999999999999992E-25</v>
      </c>
      <c r="CI484" s="2">
        <v>85.6</v>
      </c>
      <c r="CJ484" s="2" t="s">
        <v>5090</v>
      </c>
      <c r="CK484" s="2" t="s">
        <v>191</v>
      </c>
      <c r="CL484" s="9" t="str">
        <f>HYPERLINK(".\links\PFAM\AGAP000530-PB-PFAM.txt","DNA_pol_A_exo1, 3'-5' exonuclease")</f>
        <v>DNA_pol_A_exo1, 3'-5' exonuclease</v>
      </c>
      <c r="CM484" s="15">
        <v>9.9999999999999998E-13</v>
      </c>
      <c r="CN484" s="2">
        <v>90.2</v>
      </c>
      <c r="CO484" s="2" t="s">
        <v>5091</v>
      </c>
      <c r="CP484" s="9" t="str">
        <f>HYPERLINK(".\links\SMART\AGAP000530-PB-SMART.txt","35EXOc, 3'-5' exonuclease")</f>
        <v>35EXOc, 3'-5' exonuclease</v>
      </c>
      <c r="CQ484" s="15">
        <v>6.0000000000000003E-12</v>
      </c>
      <c r="CR484" s="2">
        <v>90.7</v>
      </c>
      <c r="CS484" s="2" t="s">
        <v>5092</v>
      </c>
      <c r="CT484" s="2" t="s">
        <v>5085</v>
      </c>
      <c r="CU484" s="2" t="s">
        <v>5085</v>
      </c>
      <c r="CV484" s="2" t="s">
        <v>5085</v>
      </c>
      <c r="CW484" s="2" t="str">
        <f>HYPERLINK(".\links\pep\AGAP000530-PB-pep.txt","AGAP000530-PB")</f>
        <v>AGAP000530-PB</v>
      </c>
      <c r="CX484" s="2" t="s">
        <v>95</v>
      </c>
      <c r="CY484" s="2">
        <v>292</v>
      </c>
      <c r="CZ484" s="2" t="s">
        <v>113</v>
      </c>
      <c r="DA484" s="2" t="s">
        <v>5093</v>
      </c>
      <c r="DB484" s="2">
        <v>0</v>
      </c>
      <c r="DC484" s="2">
        <v>0</v>
      </c>
      <c r="DD484" s="2" t="str">
        <f>HYPERLINK("https://www.kegg.jp/kegg-bin/search_pathway_text?map=aga&amp;keyword=AGAP000530&amp;mode=1&amp;viewImage=true","AGAP000530")</f>
        <v>AGAP000530</v>
      </c>
      <c r="DE484" s="2" t="s">
        <v>5082</v>
      </c>
      <c r="DF484" s="2" t="s">
        <v>5083</v>
      </c>
      <c r="DG484" s="2" t="s">
        <v>94</v>
      </c>
      <c r="DH484" s="2" t="str">
        <f>HYPERLINK("https://vectorbase.org/vectorbase/app/record/gene/AGAP000530","AGAP000530-RB")</f>
        <v>AGAP000530-RB</v>
      </c>
      <c r="DI484" s="2" t="s">
        <v>115</v>
      </c>
      <c r="DJ484" s="2">
        <v>1510</v>
      </c>
      <c r="DK484" s="2" t="str">
        <f>HYPERLINK(".\links\netoglyc\AGAP000530-PB-netoglyc.txt","0")</f>
        <v>0</v>
      </c>
      <c r="DL484" s="2">
        <v>7.9</v>
      </c>
      <c r="DM484" s="2">
        <v>3.1</v>
      </c>
      <c r="DN484" s="2">
        <v>7.2</v>
      </c>
      <c r="DO484" s="2" t="s">
        <v>104</v>
      </c>
      <c r="DP484" s="2" t="s">
        <v>5094</v>
      </c>
      <c r="DQ484" s="2" t="str">
        <f>HYPERLINK(".\links\Sigp\AGAP000530-PB-SigP.txt","CYT")</f>
        <v>CYT</v>
      </c>
      <c r="DR484" s="2" t="s">
        <v>102</v>
      </c>
      <c r="DS484" s="2">
        <v>33.671999999999997</v>
      </c>
      <c r="DT484" s="2">
        <v>6.37</v>
      </c>
      <c r="DU484" s="2" t="s">
        <v>102</v>
      </c>
      <c r="DV484" s="2" t="s">
        <v>102</v>
      </c>
      <c r="DW484" s="2" t="s">
        <v>124</v>
      </c>
      <c r="DX484" s="2">
        <v>292</v>
      </c>
      <c r="DY484" s="12">
        <v>0</v>
      </c>
      <c r="DZ484" s="2" t="s">
        <v>102</v>
      </c>
      <c r="EA484" s="2" t="s">
        <v>102</v>
      </c>
      <c r="EB484" s="2" t="s">
        <v>102</v>
      </c>
      <c r="EC484" s="2" t="str">
        <f>HYPERLINK(".\links\gpi\AGAP000530-PB-gpi.txt","N")</f>
        <v>N</v>
      </c>
      <c r="ED484" s="2">
        <v>0.31</v>
      </c>
      <c r="EF484" s="2">
        <v>6</v>
      </c>
      <c r="EG484" s="2" t="s">
        <v>102</v>
      </c>
      <c r="EH484" s="2" t="s">
        <v>102</v>
      </c>
      <c r="EI484" s="2">
        <v>7.8767123287671197</v>
      </c>
      <c r="EJ484" s="2">
        <v>7.1917808219178099</v>
      </c>
      <c r="EK484" s="2">
        <v>3.0821917808219199</v>
      </c>
      <c r="EL484" s="2">
        <v>10.2739726027397</v>
      </c>
      <c r="EM484" s="2">
        <v>1</v>
      </c>
      <c r="EN484" s="2" t="s">
        <v>102</v>
      </c>
      <c r="EO484" s="2">
        <v>1</v>
      </c>
      <c r="EP484" s="2" t="s">
        <v>102</v>
      </c>
      <c r="EQ484" s="2" t="s">
        <v>102</v>
      </c>
      <c r="ER484" s="2" t="s">
        <v>102</v>
      </c>
      <c r="ES484" s="2" t="s">
        <v>102</v>
      </c>
      <c r="ET484" s="2" t="str">
        <f>HYPERLINK(".\links\REFSEQ-INVERTEBRATE\AGAP000530-PB-REFSEQ-INVERTEBRATE.txt","AGAP000530-PB")</f>
        <v>AGAP000530-PB</v>
      </c>
      <c r="EU484" s="2" t="str">
        <f>HYPERLINK("http://www.ncbi.nlm.nih.gov/sutils/blink.cgi?pid=XP_003437018.1","0.0")</f>
        <v>0.0</v>
      </c>
      <c r="EV484" s="2" t="str">
        <f>HYPERLINK("http://www.ncbi.nlm.nih.gov/protein/XP_003437018.1","XP_003437018.1")</f>
        <v>XP_003437018.1</v>
      </c>
      <c r="EW484" s="2">
        <v>100</v>
      </c>
      <c r="EX484" s="2">
        <v>100</v>
      </c>
      <c r="EY484" s="2">
        <v>100</v>
      </c>
      <c r="EZ484" s="2" t="s">
        <v>105</v>
      </c>
    </row>
    <row r="485" spans="1:156" x14ac:dyDescent="0.25">
      <c r="A485" s="2" t="s">
        <v>5095</v>
      </c>
      <c r="B485" s="2">
        <v>-0.42247551041992398</v>
      </c>
      <c r="C485" s="2">
        <f t="shared" si="7"/>
        <v>0.74614322327372307</v>
      </c>
      <c r="D485" s="2">
        <v>7.5821197965178904</v>
      </c>
      <c r="E485" s="2">
        <v>11.0599773513839</v>
      </c>
      <c r="F485" s="2">
        <v>8.8211220991012997E-4</v>
      </c>
      <c r="G485" s="2">
        <v>3.0356607143661E-2</v>
      </c>
      <c r="H485" s="2" t="s">
        <v>5096</v>
      </c>
      <c r="I485" s="2" t="s">
        <v>88</v>
      </c>
      <c r="J485" s="8" t="s">
        <v>5097</v>
      </c>
      <c r="Q485" s="9"/>
      <c r="W485" s="10"/>
      <c r="AB485" s="9"/>
      <c r="AC485" s="9"/>
      <c r="AJ485" s="9"/>
      <c r="AN485" s="9"/>
      <c r="AO485" s="11"/>
      <c r="AP485" s="9"/>
      <c r="AT485" s="9"/>
      <c r="BA485" s="9"/>
      <c r="BH485" s="9"/>
      <c r="BO485" s="9"/>
      <c r="BV485" s="9"/>
      <c r="CB485" s="9"/>
      <c r="CG485" s="9"/>
      <c r="CL485" s="9"/>
      <c r="CP485" s="9"/>
      <c r="DE485" s="2" t="s">
        <v>5095</v>
      </c>
      <c r="DF485" s="2" t="s">
        <v>5096</v>
      </c>
      <c r="DG485" s="2" t="s">
        <v>88</v>
      </c>
      <c r="DH485" s="8" t="s">
        <v>5097</v>
      </c>
      <c r="DI485" s="2" t="s">
        <v>90</v>
      </c>
      <c r="DJ485" s="2">
        <v>5889</v>
      </c>
      <c r="DQ485" s="2" t="s">
        <v>141</v>
      </c>
      <c r="DS485" s="2">
        <v>186611</v>
      </c>
      <c r="DT485" s="2">
        <v>7.4</v>
      </c>
      <c r="DX485" s="2">
        <v>1667</v>
      </c>
      <c r="DY485" s="12"/>
    </row>
    <row r="486" spans="1:156" x14ac:dyDescent="0.25">
      <c r="A486" s="2" t="s">
        <v>5098</v>
      </c>
      <c r="B486" s="2">
        <v>-0.42267284686804502</v>
      </c>
      <c r="C486" s="2">
        <f t="shared" si="7"/>
        <v>0.74604117039373685</v>
      </c>
      <c r="D486" s="2">
        <v>7.4389052441611803</v>
      </c>
      <c r="E486" s="2">
        <v>9.0713626577143494</v>
      </c>
      <c r="F486" s="2">
        <v>2.59643514895897E-3</v>
      </c>
      <c r="G486" s="2">
        <v>4.7269525491001697E-2</v>
      </c>
      <c r="H486" s="2" t="s">
        <v>5099</v>
      </c>
      <c r="I486" s="2" t="s">
        <v>102</v>
      </c>
      <c r="J486" s="2" t="str">
        <f>HYPERLINK("https://vectorbase.org/vectorbase/app/record/gene/AGAP004366","AGAP004366-RA")</f>
        <v>AGAP004366-RA</v>
      </c>
      <c r="K486" s="2" t="str">
        <f>HYPERLINK(".\links\pep\AGAP004366-PA-pep.txt","AGAP004366-PA")</f>
        <v>AGAP004366-PA</v>
      </c>
      <c r="L486" s="12" t="s">
        <v>95</v>
      </c>
      <c r="M486" s="2">
        <v>573</v>
      </c>
      <c r="N486" s="2">
        <v>0</v>
      </c>
      <c r="O486" s="2">
        <v>1</v>
      </c>
      <c r="P486" s="2" t="s">
        <v>5100</v>
      </c>
      <c r="Q486" s="9" t="s">
        <v>5101</v>
      </c>
      <c r="R486" s="2" t="s">
        <v>447</v>
      </c>
      <c r="S486" s="2" t="str">
        <f>HYPERLINK(".\links\KOG\AGAP004366-PA-KOG.txt","KOG")</f>
        <v>KOG</v>
      </c>
      <c r="T486" s="2">
        <v>4.9999999999999996E-41</v>
      </c>
      <c r="U486" s="2">
        <v>86</v>
      </c>
      <c r="V486" s="2" t="s">
        <v>5102</v>
      </c>
      <c r="W486" s="10" t="s">
        <v>183</v>
      </c>
      <c r="X486" s="2" t="s">
        <v>447</v>
      </c>
      <c r="Y486" s="2" t="str">
        <f>HYPERLINK(".\links\COG\AGAP004366-PA-COG.txt","COG")</f>
        <v>COG</v>
      </c>
      <c r="Z486" s="15">
        <v>2.9999999999999999E-48</v>
      </c>
      <c r="AA486" s="2">
        <v>89.4</v>
      </c>
      <c r="AB486" s="13" t="s">
        <v>102</v>
      </c>
      <c r="AC486" s="13" t="str">
        <f>HYPERLINK(".\links\Sigp\AGAP004366-PA-SigP.txt","CYT")</f>
        <v>CYT</v>
      </c>
      <c r="AD486" s="2" t="s">
        <v>102</v>
      </c>
      <c r="AE486" s="2">
        <v>63.603000000000002</v>
      </c>
      <c r="AF486" s="2">
        <v>8.8800000000000008</v>
      </c>
      <c r="AG486" s="2" t="s">
        <v>102</v>
      </c>
      <c r="AH486" s="2" t="s">
        <v>102</v>
      </c>
      <c r="AI486" s="2" t="s">
        <v>5103</v>
      </c>
      <c r="AJ486" s="13">
        <v>0</v>
      </c>
      <c r="AK486" s="2" t="s">
        <v>102</v>
      </c>
      <c r="AL486" s="2" t="s">
        <v>102</v>
      </c>
      <c r="AM486" s="2" t="s">
        <v>102</v>
      </c>
      <c r="AN486" s="13" t="str">
        <f>HYPERLINK(".\links\gpi\AGAP004366-PA-gpi.txt","N")</f>
        <v>N</v>
      </c>
      <c r="AO486" s="14" t="str">
        <f>HYPERLINK(".\links\netoglyc\AGAP004366-PA-netoglyc.txt","1")</f>
        <v>1</v>
      </c>
      <c r="AP486" s="13">
        <v>12.9</v>
      </c>
      <c r="AQ486" s="2">
        <v>7.7</v>
      </c>
      <c r="AR486" s="2">
        <v>5.0999999999999996</v>
      </c>
      <c r="AS486" s="2" t="s">
        <v>104</v>
      </c>
      <c r="AT486" s="9" t="str">
        <f>HYPERLINK(".\links\NR-LIGHT\AGAP004366-PA-NR-LIGHT.txt","AGAP004366-PA")</f>
        <v>AGAP004366-PA</v>
      </c>
      <c r="AU486" s="2" t="str">
        <f>HYPERLINK("http://www.ncbi.nlm.nih.gov/sutils/blink.cgi?pid=XP_313649.4","0.0")</f>
        <v>0.0</v>
      </c>
      <c r="AV486" s="2" t="str">
        <f>HYPERLINK("http://www.ncbi.nlm.nih.gov/protein/XP_313649.4","XP_313649.4")</f>
        <v>XP_313649.4</v>
      </c>
      <c r="AW486" s="2">
        <v>100</v>
      </c>
      <c r="AX486" s="2">
        <v>100</v>
      </c>
      <c r="AY486" s="2">
        <v>100</v>
      </c>
      <c r="AZ486" s="2" t="s">
        <v>105</v>
      </c>
      <c r="BA486" s="9" t="str">
        <f>HYPERLINK(".\links\REFSEQ-INVERTEBRATE\AGAP004366-PA-REFSEQ-INVERTEBRATE.txt","AGAP004366-PA")</f>
        <v>AGAP004366-PA</v>
      </c>
      <c r="BB486" s="2" t="str">
        <f>HYPERLINK("http://www.ncbi.nlm.nih.gov/sutils/blink.cgi?pid=XP_313649.4","0.0")</f>
        <v>0.0</v>
      </c>
      <c r="BC486" s="2" t="str">
        <f>HYPERLINK("http://www.ncbi.nlm.nih.gov/protein/XP_313649.4","XP_313649.4")</f>
        <v>XP_313649.4</v>
      </c>
      <c r="BD486" s="2">
        <v>100</v>
      </c>
      <c r="BE486" s="2">
        <v>100</v>
      </c>
      <c r="BF486" s="2">
        <v>100</v>
      </c>
      <c r="BG486" s="2" t="s">
        <v>105</v>
      </c>
      <c r="BH486" s="9" t="str">
        <f>HYPERLINK(".\links\REFSEQ-PROTOZOA\AGAP004366-PA-REFSEQ-PROTOZOA.txt","hypothetical protein")</f>
        <v>hypothetical protein</v>
      </c>
      <c r="BI486" s="2" t="str">
        <f>HYPERLINK("http://www.ncbi.nlm.nih.gov/sutils/blink.cgi?pid=XP_001744962.1","1E-159")</f>
        <v>1E-159</v>
      </c>
      <c r="BJ486" s="2" t="str">
        <f>HYPERLINK("http://www.ncbi.nlm.nih.gov/protein/XP_001744962.1","XP_001744962.1")</f>
        <v>XP_001744962.1</v>
      </c>
      <c r="BK486" s="2">
        <v>50</v>
      </c>
      <c r="BL486" s="2">
        <v>66</v>
      </c>
      <c r="BM486" s="2">
        <v>83</v>
      </c>
      <c r="BN486" s="2" t="s">
        <v>248</v>
      </c>
      <c r="BO486" s="9" t="str">
        <f>HYPERLINK(".\links\SWISSP\AGAP004366-PA-SWISSP.txt","Delta-1-pyrroline-5-carboxylate dehydrogenase, mitochondrial")</f>
        <v>Delta-1-pyrroline-5-carboxylate dehydrogenase, mitochondrial</v>
      </c>
      <c r="BP486" s="2" t="str">
        <f>HYPERLINK("http://www.uniprot.org/uniprot/Q7SY23","0.0")</f>
        <v>0.0</v>
      </c>
      <c r="BQ486" s="2" t="str">
        <f>HYPERLINK("http://www.uniprot.org/uniprot/Q7SY23#expression","Q7SY23")</f>
        <v>Q7SY23</v>
      </c>
      <c r="BR486" s="2">
        <v>60</v>
      </c>
      <c r="BS486" s="2">
        <v>78</v>
      </c>
      <c r="BT486" s="2">
        <v>96</v>
      </c>
      <c r="BU486" s="2" t="s">
        <v>213</v>
      </c>
      <c r="BV486" s="9" t="str">
        <f>HYPERLINK(".\links\FLYBASE\AGAP004366-PA-FLYBASE.txt","FBpp0292150")</f>
        <v>FBpp0292150</v>
      </c>
      <c r="BW486" s="2" t="str">
        <f>HYPERLINK("http://flybase.org/reports/FBgn0037138#alliance_summary_container","0.0")</f>
        <v>0.0</v>
      </c>
      <c r="BX486" s="2">
        <v>574</v>
      </c>
      <c r="BY486" s="2">
        <v>77</v>
      </c>
      <c r="BZ486" s="2">
        <v>87</v>
      </c>
      <c r="CA486" s="2">
        <v>95</v>
      </c>
      <c r="CB486" s="9" t="str">
        <f>HYPERLINK(".\links\CDD\AGAP004366-PA-CDD.txt","ALDH_F4-17_P5CDH, Delta(1)-pyrroline-5-carboxylate dehydrogenase, ALDH families 4 and 17")</f>
        <v>ALDH_F4-17_P5CDH, Delta(1)-pyrroline-5-carboxylate dehydrogenase, ALDH families 4 and 17</v>
      </c>
      <c r="CC486" s="15">
        <v>0</v>
      </c>
      <c r="CD486" s="2">
        <v>100</v>
      </c>
      <c r="CE486" s="2" t="s">
        <v>5104</v>
      </c>
      <c r="CF486" s="2" t="s">
        <v>5105</v>
      </c>
      <c r="CG486" s="9" t="str">
        <f>HYPERLINK(".\links\KOG\AGAP004366-PA-KOG.txt","Delta-1-pyrroline-5-carboxylate dehydrogenase")</f>
        <v>Delta-1-pyrroline-5-carboxylate dehydrogenase</v>
      </c>
      <c r="CH486" s="15">
        <v>0</v>
      </c>
      <c r="CI486" s="2">
        <v>97.9</v>
      </c>
      <c r="CJ486" s="2" t="s">
        <v>5106</v>
      </c>
      <c r="CK486" s="2" t="s">
        <v>267</v>
      </c>
      <c r="CL486" s="9" t="str">
        <f>HYPERLINK(".\links\PFAM\AGAP004366-PA-PFAM.txt","Aldedh, Aldehyde dehydrogenase family")</f>
        <v>Aldedh, Aldehyde dehydrogenase family</v>
      </c>
      <c r="CM486" s="15">
        <v>9.0000000000000004E-93</v>
      </c>
      <c r="CN486" s="2">
        <v>102.2</v>
      </c>
      <c r="CO486" s="2" t="s">
        <v>5107</v>
      </c>
      <c r="CP486" s="9" t="str">
        <f>HYPERLINK(".\links\SMART\AGAP004366-PA-SMART.txt","CLb, CLUSTERIN Beta chain")</f>
        <v>CLb, CLUSTERIN Beta chain</v>
      </c>
      <c r="CQ486" s="15">
        <v>0.74</v>
      </c>
      <c r="CR486" s="2">
        <v>10.7</v>
      </c>
      <c r="CS486" s="2" t="s">
        <v>5108</v>
      </c>
      <c r="CT486" s="2" t="s">
        <v>5102</v>
      </c>
      <c r="CU486" s="2" t="s">
        <v>5102</v>
      </c>
      <c r="CV486" s="2" t="s">
        <v>5102</v>
      </c>
      <c r="CW486" s="2" t="str">
        <f>HYPERLINK(".\links\pep\AGAP004366-PA-pep.txt","AGAP004366-PA")</f>
        <v>AGAP004366-PA</v>
      </c>
      <c r="CX486" s="2" t="s">
        <v>95</v>
      </c>
      <c r="CY486" s="2">
        <v>573</v>
      </c>
      <c r="CZ486" s="2" t="s">
        <v>113</v>
      </c>
      <c r="DA486" s="2">
        <v>0</v>
      </c>
      <c r="DB486" s="2">
        <v>1</v>
      </c>
      <c r="DD486" s="2" t="str">
        <f>HYPERLINK("https://www.kegg.jp/kegg-bin/search_pathway_text?map=aga&amp;keyword=AGAP004366&amp;mode=1&amp;viewImage=true","AGAP004366")</f>
        <v>AGAP004366</v>
      </c>
      <c r="DE486" s="2" t="s">
        <v>5098</v>
      </c>
      <c r="DF486" s="2" t="s">
        <v>5099</v>
      </c>
      <c r="DG486" s="2" t="s">
        <v>102</v>
      </c>
      <c r="DH486" s="2" t="str">
        <f>HYPERLINK("https://vectorbase.org/vectorbase/app/record/gene/AGAP004366","AGAP004366-RA")</f>
        <v>AGAP004366-RA</v>
      </c>
      <c r="DI486" s="2" t="s">
        <v>135</v>
      </c>
      <c r="DJ486" s="2">
        <v>3775</v>
      </c>
      <c r="DK486" s="2" t="str">
        <f>HYPERLINK(".\links\netoglyc\AGAP004366-PA-netoglyc.txt","1")</f>
        <v>1</v>
      </c>
      <c r="DL486" s="2">
        <v>12.9</v>
      </c>
      <c r="DM486" s="2">
        <v>7.7</v>
      </c>
      <c r="DN486" s="2">
        <v>5.0999999999999996</v>
      </c>
      <c r="DO486" s="2" t="s">
        <v>104</v>
      </c>
      <c r="DP486" s="2" t="s">
        <v>5109</v>
      </c>
      <c r="DQ486" s="2" t="str">
        <f>HYPERLINK(".\links\Sigp\AGAP004366-PA-SigP.txt","CYT")</f>
        <v>CYT</v>
      </c>
      <c r="DR486" s="2" t="s">
        <v>102</v>
      </c>
      <c r="DS486" s="2">
        <v>63.603000000000002</v>
      </c>
      <c r="DT486" s="2">
        <v>8.8800000000000008</v>
      </c>
      <c r="DU486" s="2" t="s">
        <v>102</v>
      </c>
      <c r="DV486" s="2" t="s">
        <v>102</v>
      </c>
      <c r="DW486" s="2" t="s">
        <v>5103</v>
      </c>
      <c r="DX486" s="2">
        <v>573</v>
      </c>
      <c r="DY486" s="12">
        <v>0</v>
      </c>
      <c r="DZ486" s="2" t="s">
        <v>102</v>
      </c>
      <c r="EA486" s="2" t="s">
        <v>102</v>
      </c>
      <c r="EB486" s="2" t="s">
        <v>102</v>
      </c>
      <c r="EC486" s="2" t="str">
        <f>HYPERLINK(".\links\gpi\AGAP004366-PA-gpi.txt","Y-NoSP")</f>
        <v>Y-NoSP</v>
      </c>
      <c r="ED486" s="2">
        <v>0.19</v>
      </c>
      <c r="EF486" s="2">
        <v>6</v>
      </c>
      <c r="EG486" s="2" t="s">
        <v>102</v>
      </c>
      <c r="EH486" s="2" t="s">
        <v>102</v>
      </c>
      <c r="EI486" s="2">
        <v>12.914485165794099</v>
      </c>
      <c r="EJ486" s="2">
        <v>5.0610820244328103</v>
      </c>
      <c r="EK486" s="2">
        <v>7.6788830715532299</v>
      </c>
      <c r="EL486" s="2">
        <v>12.739965095985999</v>
      </c>
      <c r="EM486" s="2">
        <v>1</v>
      </c>
      <c r="EN486" s="2">
        <v>2</v>
      </c>
      <c r="EO486" s="2">
        <v>2</v>
      </c>
      <c r="EP486" s="2" t="s">
        <v>102</v>
      </c>
      <c r="EQ486" s="2" t="s">
        <v>102</v>
      </c>
      <c r="ER486" s="2" t="s">
        <v>102</v>
      </c>
      <c r="ES486" s="2" t="s">
        <v>102</v>
      </c>
      <c r="ET486" s="2" t="str">
        <f>HYPERLINK(".\links\REFSEQ-INVERTEBRATE\AGAP004366-PA-REFSEQ-INVERTEBRATE.txt","AGAP004366-PA")</f>
        <v>AGAP004366-PA</v>
      </c>
      <c r="EU486" s="2" t="str">
        <f>HYPERLINK("http://www.ncbi.nlm.nih.gov/sutils/blink.cgi?pid=XP_313649.4","0.0")</f>
        <v>0.0</v>
      </c>
      <c r="EV486" s="2" t="str">
        <f>HYPERLINK("http://www.ncbi.nlm.nih.gov/protein/XP_313649.4","XP_313649.4")</f>
        <v>XP_313649.4</v>
      </c>
      <c r="EW486" s="2">
        <v>100</v>
      </c>
      <c r="EX486" s="2">
        <v>100</v>
      </c>
      <c r="EY486" s="2">
        <v>100</v>
      </c>
      <c r="EZ486" s="2" t="s">
        <v>105</v>
      </c>
    </row>
    <row r="487" spans="1:156" x14ac:dyDescent="0.25">
      <c r="A487" s="2" t="s">
        <v>5110</v>
      </c>
      <c r="B487" s="2">
        <v>-0.42387727057156999</v>
      </c>
      <c r="C487" s="2">
        <f t="shared" si="7"/>
        <v>0.74541860313286579</v>
      </c>
      <c r="D487" s="2">
        <v>6.25343608970066</v>
      </c>
      <c r="E487" s="2">
        <v>13.936573750266</v>
      </c>
      <c r="F487" s="2">
        <v>1.89083320525618E-4</v>
      </c>
      <c r="G487" s="2">
        <v>1.52739026539341E-2</v>
      </c>
      <c r="H487" s="2" t="s">
        <v>5111</v>
      </c>
      <c r="I487" s="2" t="s">
        <v>94</v>
      </c>
      <c r="J487" s="2" t="str">
        <f>HYPERLINK("https://vectorbase.org/vectorbase/app/record/gene/AGAP001234","AGAP001234-RA")</f>
        <v>AGAP001234-RA</v>
      </c>
      <c r="K487" s="2" t="str">
        <f>HYPERLINK(".\links\pep\AGAP001234-PA-pep.txt","AGAP001234-PA")</f>
        <v>AGAP001234-PA</v>
      </c>
      <c r="L487" s="12" t="s">
        <v>95</v>
      </c>
      <c r="M487" s="2">
        <v>2181</v>
      </c>
      <c r="N487" s="2">
        <v>0</v>
      </c>
      <c r="O487" s="2">
        <v>9</v>
      </c>
      <c r="P487" s="2" t="s">
        <v>5112</v>
      </c>
      <c r="Q487" s="9" t="s">
        <v>5113</v>
      </c>
      <c r="R487" s="2" t="s">
        <v>420</v>
      </c>
      <c r="S487" s="2" t="str">
        <f>HYPERLINK(".\links\KOG\AGAP001234-PA-KOG.txt","KOG")</f>
        <v>KOG</v>
      </c>
      <c r="T487" s="2">
        <v>0</v>
      </c>
      <c r="U487" s="2">
        <v>96.1</v>
      </c>
      <c r="V487" s="2" t="s">
        <v>5114</v>
      </c>
      <c r="W487" s="10" t="s">
        <v>5115</v>
      </c>
      <c r="X487" s="2" t="s">
        <v>771</v>
      </c>
      <c r="Y487" s="2" t="str">
        <f>HYPERLINK(".\links\REFSEQ-PROTOZOA\AGAP001234-PA-REFSEQ-PROTOZOA.txt","REFSEQ-PROTOZOA")</f>
        <v>REFSEQ-PROTOZOA</v>
      </c>
      <c r="Z487" s="15">
        <v>0</v>
      </c>
      <c r="AA487" s="2">
        <v>96.9</v>
      </c>
      <c r="AB487" s="13" t="str">
        <f>HYPERLINK(".\links\pep\AGAP001234-PA-sulf.txt","1")</f>
        <v>1</v>
      </c>
      <c r="AC487" s="13" t="str">
        <f>HYPERLINK(".\links\Sigp\AGAP001234-PA-SigP.txt","CYT")</f>
        <v>CYT</v>
      </c>
      <c r="AD487" s="2" t="s">
        <v>102</v>
      </c>
      <c r="AE487" s="2">
        <v>248.56</v>
      </c>
      <c r="AF487" s="2">
        <v>6.88</v>
      </c>
      <c r="AG487" s="2" t="s">
        <v>102</v>
      </c>
      <c r="AH487" s="2" t="s">
        <v>102</v>
      </c>
      <c r="AI487" s="2" t="s">
        <v>2855</v>
      </c>
      <c r="AJ487" s="13">
        <v>0</v>
      </c>
      <c r="AK487" s="2" t="s">
        <v>102</v>
      </c>
      <c r="AL487" s="2" t="s">
        <v>102</v>
      </c>
      <c r="AM487" s="2" t="s">
        <v>102</v>
      </c>
      <c r="AN487" s="13" t="str">
        <f>HYPERLINK(".\links\gpi\AGAP001234-PA-gpi.txt","N")</f>
        <v>N</v>
      </c>
      <c r="AO487" s="14" t="str">
        <f>HYPERLINK(".\links\netoglyc\AGAP001234-PA-netoglyc.txt","3")</f>
        <v>3</v>
      </c>
      <c r="AP487" s="13">
        <v>11.1</v>
      </c>
      <c r="AQ487" s="2">
        <v>4.8</v>
      </c>
      <c r="AR487" s="2">
        <v>4.5999999999999996</v>
      </c>
      <c r="AS487" s="2" t="s">
        <v>104</v>
      </c>
      <c r="AT487" s="9" t="str">
        <f>HYPERLINK(".\links\NR-LIGHT\AGAP001234-PA-NR-LIGHT.txt","AGAP001234-PA")</f>
        <v>AGAP001234-PA</v>
      </c>
      <c r="AU487" s="2" t="str">
        <f>HYPERLINK("http://www.ncbi.nlm.nih.gov/sutils/blink.cgi?pid=XP_321922.5","0.0")</f>
        <v>0.0</v>
      </c>
      <c r="AV487" s="2" t="str">
        <f>HYPERLINK("http://www.ncbi.nlm.nih.gov/protein/XP_321922.5","XP_321922.5")</f>
        <v>XP_321922.5</v>
      </c>
      <c r="AW487" s="2">
        <v>100</v>
      </c>
      <c r="AX487" s="2">
        <v>100</v>
      </c>
      <c r="AY487" s="2">
        <v>100</v>
      </c>
      <c r="AZ487" s="2" t="s">
        <v>105</v>
      </c>
      <c r="BA487" s="9" t="str">
        <f>HYPERLINK(".\links\REFSEQ-INVERTEBRATE\AGAP001234-PA-REFSEQ-INVERTEBRATE.txt","AGAP001234-PA")</f>
        <v>AGAP001234-PA</v>
      </c>
      <c r="BB487" s="2" t="str">
        <f>HYPERLINK("http://www.ncbi.nlm.nih.gov/sutils/blink.cgi?pid=XP_321922.5","0.0")</f>
        <v>0.0</v>
      </c>
      <c r="BC487" s="2" t="str">
        <f>HYPERLINK("http://www.ncbi.nlm.nih.gov/protein/XP_321922.5","XP_321922.5")</f>
        <v>XP_321922.5</v>
      </c>
      <c r="BD487" s="2">
        <v>100</v>
      </c>
      <c r="BE487" s="2">
        <v>100</v>
      </c>
      <c r="BF487" s="2">
        <v>100</v>
      </c>
      <c r="BG487" s="2" t="s">
        <v>105</v>
      </c>
      <c r="BH487" s="9" t="str">
        <f>HYPERLINK(".\links\REFSEQ-PROTOZOA\AGAP001234-PA-REFSEQ-PROTOZOA.txt","RNA helicase")</f>
        <v>RNA helicase</v>
      </c>
      <c r="BI487" s="2" t="str">
        <f>HYPERLINK("http://www.ncbi.nlm.nih.gov/sutils/blink.cgi?pid=XP_004997739.1","0.0")</f>
        <v>0.0</v>
      </c>
      <c r="BJ487" s="2" t="str">
        <f>HYPERLINK("http://www.ncbi.nlm.nih.gov/protein/XP_004997739.1","XP_004997739.1")</f>
        <v>XP_004997739.1</v>
      </c>
      <c r="BK487" s="2">
        <v>52</v>
      </c>
      <c r="BL487" s="2">
        <v>68</v>
      </c>
      <c r="BM487" s="2">
        <v>92</v>
      </c>
      <c r="BN487" s="2" t="s">
        <v>435</v>
      </c>
      <c r="BO487" s="9" t="str">
        <f>HYPERLINK(".\links\SWISSP\AGAP001234-PA-SWISSP.txt","Activating signal cointegrator 1 complex subunit 3")</f>
        <v>Activating signal cointegrator 1 complex subunit 3</v>
      </c>
      <c r="BP487" s="2" t="str">
        <f>HYPERLINK("http://www.uniprot.org/uniprot/F1NTD6","0.0")</f>
        <v>0.0</v>
      </c>
      <c r="BQ487" s="2" t="str">
        <f>HYPERLINK("http://www.uniprot.org/uniprot/F1NTD6#expression","F1NTD6")</f>
        <v>F1NTD6</v>
      </c>
      <c r="BR487" s="2">
        <v>52</v>
      </c>
      <c r="BS487" s="2">
        <v>70</v>
      </c>
      <c r="BT487" s="2">
        <v>100</v>
      </c>
      <c r="BU487" s="2" t="s">
        <v>483</v>
      </c>
      <c r="BV487" s="9" t="str">
        <f>HYPERLINK(".\links\FLYBASE\AGAP001234-PA-FLYBASE.txt","FBpp0082601")</f>
        <v>FBpp0082601</v>
      </c>
      <c r="BW487" s="2" t="str">
        <f>HYPERLINK("http://flybase.org/reports/FBgn0038344#alliance_summary_container","0.0")</f>
        <v>0.0</v>
      </c>
      <c r="BX487" s="2">
        <v>2183</v>
      </c>
      <c r="BY487" s="2">
        <v>59</v>
      </c>
      <c r="BZ487" s="2">
        <v>75</v>
      </c>
      <c r="CA487" s="2">
        <v>101</v>
      </c>
      <c r="CB487" s="9" t="str">
        <f>HYPERLINK(".\links\CDD\AGAP001234-PA-CDD.txt","COG1204, Superfamily II helicase")</f>
        <v>COG1204, Superfamily II helicase</v>
      </c>
      <c r="CC487" s="15">
        <v>9.9999999999999994E-158</v>
      </c>
      <c r="CD487" s="2">
        <v>106</v>
      </c>
      <c r="CE487" s="2" t="s">
        <v>5116</v>
      </c>
      <c r="CF487" s="2" t="s">
        <v>5117</v>
      </c>
      <c r="CG487" s="9" t="str">
        <f>HYPERLINK(".\links\KOG\AGAP001234-PA-KOG.txt","DEAD-box superfamily")</f>
        <v>DEAD-box superfamily</v>
      </c>
      <c r="CH487" s="15">
        <v>0</v>
      </c>
      <c r="CI487" s="2">
        <v>103</v>
      </c>
      <c r="CJ487" s="2" t="s">
        <v>5118</v>
      </c>
      <c r="CK487" s="2" t="s">
        <v>722</v>
      </c>
      <c r="CL487" s="9" t="str">
        <f>HYPERLINK(".\links\PFAM\AGAP001234-PA-PFAM.txt","Sec63, Sec63 Brl domain")</f>
        <v>Sec63, Sec63 Brl domain</v>
      </c>
      <c r="CM487" s="15">
        <v>9.9999999999999994E-107</v>
      </c>
      <c r="CN487" s="2">
        <v>101</v>
      </c>
      <c r="CO487" s="2" t="s">
        <v>5119</v>
      </c>
      <c r="CP487" s="9" t="str">
        <f>HYPERLINK(".\links\SMART\AGAP001234-PA-SMART.txt","SEC63, Domain of unknown function in Sec63p, Brr2p and other proteins")</f>
        <v>SEC63, Domain of unknown function in Sec63p, Brr2p and other proteins</v>
      </c>
      <c r="CQ487" s="15">
        <v>9.9999999999999996E-83</v>
      </c>
      <c r="CR487" s="2">
        <v>101.3</v>
      </c>
      <c r="CS487" s="2" t="s">
        <v>5120</v>
      </c>
      <c r="CT487" s="2" t="s">
        <v>5114</v>
      </c>
      <c r="CU487" s="2" t="s">
        <v>5114</v>
      </c>
      <c r="CV487" s="2" t="s">
        <v>5114</v>
      </c>
      <c r="CW487" s="2" t="str">
        <f>HYPERLINK(".\links\pep\AGAP001234-PA-pep.txt","AGAP001234-PA")</f>
        <v>AGAP001234-PA</v>
      </c>
      <c r="CX487" s="2" t="s">
        <v>95</v>
      </c>
      <c r="CY487" s="2">
        <v>2181</v>
      </c>
      <c r="CZ487" s="2" t="s">
        <v>113</v>
      </c>
      <c r="DA487" s="2" t="s">
        <v>5121</v>
      </c>
      <c r="DB487" s="2">
        <v>0</v>
      </c>
      <c r="DC487" s="2">
        <v>9</v>
      </c>
      <c r="DD487" s="2" t="str">
        <f>HYPERLINK("https://www.kegg.jp/kegg-bin/search_pathway_text?map=aga&amp;keyword=AGAP001234&amp;mode=1&amp;viewImage=true","AGAP001234")</f>
        <v>AGAP001234</v>
      </c>
      <c r="DE487" s="2" t="s">
        <v>5110</v>
      </c>
      <c r="DF487" s="2" t="s">
        <v>5111</v>
      </c>
      <c r="DG487" s="2" t="s">
        <v>94</v>
      </c>
      <c r="DH487" s="2" t="str">
        <f>HYPERLINK("https://vectorbase.org/vectorbase/app/record/gene/AGAP001234","AGAP001234-RA")</f>
        <v>AGAP001234-RA</v>
      </c>
      <c r="DI487" s="2" t="s">
        <v>90</v>
      </c>
      <c r="DJ487" s="2">
        <v>6798</v>
      </c>
      <c r="DK487" s="2" t="str">
        <f>HYPERLINK(".\links\netoglyc\AGAP001234-PA-netoglyc.txt","3")</f>
        <v>3</v>
      </c>
      <c r="DL487" s="2">
        <v>11.1</v>
      </c>
      <c r="DM487" s="2">
        <v>4.8</v>
      </c>
      <c r="DN487" s="2">
        <v>4.5999999999999996</v>
      </c>
      <c r="DO487" s="2" t="s">
        <v>104</v>
      </c>
      <c r="DP487" s="2" t="s">
        <v>5122</v>
      </c>
      <c r="DQ487" s="2" t="str">
        <f>HYPERLINK(".\links\Sigp\AGAP001234-PA-SigP.txt","CYT")</f>
        <v>CYT</v>
      </c>
      <c r="DR487" s="2" t="s">
        <v>102</v>
      </c>
      <c r="DS487" s="2">
        <v>248.56</v>
      </c>
      <c r="DT487" s="2">
        <v>6.88</v>
      </c>
      <c r="DU487" s="2" t="s">
        <v>102</v>
      </c>
      <c r="DV487" s="2" t="s">
        <v>102</v>
      </c>
      <c r="DW487" s="2" t="s">
        <v>2855</v>
      </c>
      <c r="DX487" s="2">
        <v>2181</v>
      </c>
      <c r="DY487" s="12">
        <v>0</v>
      </c>
      <c r="DZ487" s="2" t="s">
        <v>102</v>
      </c>
      <c r="EA487" s="2" t="s">
        <v>102</v>
      </c>
      <c r="EB487" s="2" t="s">
        <v>102</v>
      </c>
      <c r="EC487" s="2" t="str">
        <f>HYPERLINK(".\links\gpi\AGAP001234-PA-gpi.txt","Y-NoSP")</f>
        <v>Y-NoSP</v>
      </c>
      <c r="ED487" s="2">
        <v>0.16</v>
      </c>
      <c r="EF487" s="2">
        <v>28</v>
      </c>
      <c r="EG487" s="2" t="str">
        <f>HYPERLINK(".\links\pep\AGAP001234-PA-sulf.txt","1")</f>
        <v>1</v>
      </c>
      <c r="EH487" s="2" t="s">
        <v>102</v>
      </c>
      <c r="EI487" s="2">
        <v>11.1416781292985</v>
      </c>
      <c r="EJ487" s="2">
        <v>4.6309032553874401</v>
      </c>
      <c r="EK487" s="2">
        <v>4.7684548372306299</v>
      </c>
      <c r="EL487" s="2">
        <v>9.3993580926180709</v>
      </c>
      <c r="EM487" s="2" t="s">
        <v>102</v>
      </c>
      <c r="EN487" s="2">
        <v>8</v>
      </c>
      <c r="EO487" s="2">
        <v>8</v>
      </c>
      <c r="EP487" s="2" t="s">
        <v>102</v>
      </c>
      <c r="EQ487" s="2" t="s">
        <v>102</v>
      </c>
      <c r="ER487" s="2" t="s">
        <v>102</v>
      </c>
      <c r="ES487" s="2" t="s">
        <v>102</v>
      </c>
      <c r="ET487" s="2" t="str">
        <f>HYPERLINK(".\links\REFSEQ-INVERTEBRATE\AGAP001234-PA-REFSEQ-INVERTEBRATE.txt","AGAP001234-PA")</f>
        <v>AGAP001234-PA</v>
      </c>
      <c r="EU487" s="2" t="str">
        <f>HYPERLINK("http://www.ncbi.nlm.nih.gov/sutils/blink.cgi?pid=XP_321922.5","0.0")</f>
        <v>0.0</v>
      </c>
      <c r="EV487" s="2" t="str">
        <f>HYPERLINK("http://www.ncbi.nlm.nih.gov/protein/XP_321922.5","XP_321922.5")</f>
        <v>XP_321922.5</v>
      </c>
      <c r="EW487" s="2">
        <v>100</v>
      </c>
      <c r="EX487" s="2">
        <v>100</v>
      </c>
      <c r="EY487" s="2">
        <v>100</v>
      </c>
      <c r="EZ487" s="2" t="s">
        <v>105</v>
      </c>
    </row>
    <row r="488" spans="1:156" x14ac:dyDescent="0.25">
      <c r="A488" s="2" t="s">
        <v>5123</v>
      </c>
      <c r="B488" s="2">
        <v>-0.42606168772524</v>
      </c>
      <c r="C488" s="2">
        <f t="shared" si="7"/>
        <v>0.74429080201597486</v>
      </c>
      <c r="D488" s="2">
        <v>7.7544300692149504</v>
      </c>
      <c r="E488" s="2">
        <v>9.7322526046715403</v>
      </c>
      <c r="F488" s="2">
        <v>1.8106245043960599E-3</v>
      </c>
      <c r="G488" s="2">
        <v>4.1602509262145003E-2</v>
      </c>
      <c r="H488" s="2" t="s">
        <v>5124</v>
      </c>
      <c r="I488" s="2" t="s">
        <v>94</v>
      </c>
      <c r="J488" s="2" t="str">
        <f>HYPERLINK("https://vectorbase.org/vectorbase/app/record/gene/AGAP006669","AGAP006669-RA")</f>
        <v>AGAP006669-RA</v>
      </c>
      <c r="K488" s="2" t="str">
        <f>HYPERLINK(".\links\pep\AGAP006669-PA-pep.txt","AGAP006669-PA")</f>
        <v>AGAP006669-PA</v>
      </c>
      <c r="L488" s="12" t="s">
        <v>95</v>
      </c>
      <c r="M488" s="2">
        <v>2481</v>
      </c>
      <c r="N488" s="2">
        <v>0</v>
      </c>
      <c r="O488" s="2">
        <v>12</v>
      </c>
      <c r="P488" s="2" t="s">
        <v>5125</v>
      </c>
      <c r="Q488" s="9" t="s">
        <v>5126</v>
      </c>
      <c r="R488" s="2" t="s">
        <v>1558</v>
      </c>
      <c r="S488" s="2" t="str">
        <f>HYPERLINK(".\links\REFSEQ-INVERTEBRATE\AGAP006669-PA-REFSEQ-INVERTEBRATE.txt","REFSEQ-INVERTEBRATE")</f>
        <v>REFSEQ-INVERTEBRATE</v>
      </c>
      <c r="T488" s="2">
        <v>0</v>
      </c>
      <c r="U488" s="2">
        <v>126.8</v>
      </c>
      <c r="V488" s="2" t="s">
        <v>5127</v>
      </c>
      <c r="W488" s="10" t="s">
        <v>5128</v>
      </c>
      <c r="X488" s="2" t="s">
        <v>1558</v>
      </c>
      <c r="Y488" s="2" t="str">
        <f>HYPERLINK(".\links\ARTHORPODA\AGAP006669-PA-ARTHORPODA.txt","ARTHORPODA")</f>
        <v>ARTHORPODA</v>
      </c>
      <c r="Z488" s="2">
        <v>0</v>
      </c>
      <c r="AA488" s="2">
        <v>100</v>
      </c>
      <c r="AB488" s="13" t="str">
        <f>HYPERLINK(".\links\pep\AGAP006669-PA-sulf.txt","2")</f>
        <v>2</v>
      </c>
      <c r="AC488" s="13" t="str">
        <f>HYPERLINK(".\links\Sigp\AGAP006669-PA-SigP.txt","CYT")</f>
        <v>CYT</v>
      </c>
      <c r="AD488" s="2" t="s">
        <v>102</v>
      </c>
      <c r="AE488" s="2">
        <v>251.06800000000001</v>
      </c>
      <c r="AF488" s="2">
        <v>6.73</v>
      </c>
      <c r="AG488" s="2" t="s">
        <v>102</v>
      </c>
      <c r="AH488" s="2" t="s">
        <v>102</v>
      </c>
      <c r="AI488" s="2" t="s">
        <v>124</v>
      </c>
      <c r="AJ488" s="13">
        <v>0</v>
      </c>
      <c r="AK488" s="2" t="s">
        <v>102</v>
      </c>
      <c r="AL488" s="2" t="s">
        <v>102</v>
      </c>
      <c r="AM488" s="2" t="s">
        <v>102</v>
      </c>
      <c r="AN488" s="13" t="str">
        <f>HYPERLINK(".\links\gpi\AGAP006669-PA-gpi.txt","N")</f>
        <v>N</v>
      </c>
      <c r="AO488" s="14" t="str">
        <f>HYPERLINK(".\links\netoglyc\AGAP006669-PA-netoglyc.txt","71")</f>
        <v>71</v>
      </c>
      <c r="AP488" s="13">
        <v>18.7</v>
      </c>
      <c r="AQ488" s="2">
        <v>13.1</v>
      </c>
      <c r="AR488" s="2">
        <v>14.1</v>
      </c>
      <c r="AS488" s="2">
        <v>0.1</v>
      </c>
      <c r="AT488" s="9" t="str">
        <f>HYPERLINK(".\links\NR-LIGHT\AGAP006669-PA-NR-LIGHT.txt","AGAP006669-PA")</f>
        <v>AGAP006669-PA</v>
      </c>
      <c r="AU488" s="2" t="str">
        <f>HYPERLINK("http://www.ncbi.nlm.nih.gov/sutils/blink.cgi?pid=XP_316705.4","0.0")</f>
        <v>0.0</v>
      </c>
      <c r="AV488" s="2" t="str">
        <f>HYPERLINK("http://www.ncbi.nlm.nih.gov/protein/XP_316705.4","XP_316705.4")</f>
        <v>XP_316705.4</v>
      </c>
      <c r="AW488" s="2">
        <v>99</v>
      </c>
      <c r="AX488" s="2">
        <v>99</v>
      </c>
      <c r="AY488" s="2">
        <v>100</v>
      </c>
      <c r="AZ488" s="2" t="s">
        <v>105</v>
      </c>
      <c r="BA488" s="9" t="str">
        <f>HYPERLINK(".\links\REFSEQ-INVERTEBRATE\AGAP006669-PA-REFSEQ-INVERTEBRATE.txt","AGAP006669-PA")</f>
        <v>AGAP006669-PA</v>
      </c>
      <c r="BB488" s="2" t="str">
        <f>HYPERLINK("http://www.ncbi.nlm.nih.gov/sutils/blink.cgi?pid=XP_316705.4","0.0")</f>
        <v>0.0</v>
      </c>
      <c r="BC488" s="2" t="str">
        <f>HYPERLINK("http://www.ncbi.nlm.nih.gov/protein/XP_316705.4","XP_316705.4")</f>
        <v>XP_316705.4</v>
      </c>
      <c r="BD488" s="2">
        <v>99</v>
      </c>
      <c r="BE488" s="2">
        <v>99</v>
      </c>
      <c r="BF488" s="2">
        <v>100</v>
      </c>
      <c r="BG488" s="2" t="s">
        <v>105</v>
      </c>
      <c r="BH488" s="9" t="str">
        <f>HYPERLINK(".\links\REFSEQ-PROTOZOA\AGAP006669-PA-REFSEQ-PROTOZOA.txt","proteophosphoglycan ppg4")</f>
        <v>proteophosphoglycan ppg4</v>
      </c>
      <c r="BI488" s="2" t="str">
        <f>HYPERLINK("http://www.ncbi.nlm.nih.gov/sutils/blink.cgi?pid=XP_001568166.1","1E-101")</f>
        <v>1E-101</v>
      </c>
      <c r="BJ488" s="2" t="str">
        <f>HYPERLINK("http://www.ncbi.nlm.nih.gov/protein/XP_001568166.1","XP_001568166.1")</f>
        <v>XP_001568166.1</v>
      </c>
      <c r="BK488" s="2">
        <v>20</v>
      </c>
      <c r="BL488" s="2">
        <v>36</v>
      </c>
      <c r="BM488" s="2">
        <v>48</v>
      </c>
      <c r="BN488" s="2" t="s">
        <v>5129</v>
      </c>
      <c r="BO488" s="9" t="str">
        <f>HYPERLINK(".\links\SWISSP\AGAP006669-PA-SWISSP.txt","Mucin-19")</f>
        <v>Mucin-19</v>
      </c>
      <c r="BP488" s="2" t="str">
        <f>HYPERLINK("http://www.uniprot.org/uniprot/Q6PZE0","1E-065")</f>
        <v>1E-065</v>
      </c>
      <c r="BQ488" s="2" t="str">
        <f>HYPERLINK("http://www.uniprot.org/uniprot/Q6PZE0#expression","Q6PZE0")</f>
        <v>Q6PZE0</v>
      </c>
      <c r="BR488" s="2">
        <v>22</v>
      </c>
      <c r="BS488" s="2">
        <v>34</v>
      </c>
      <c r="BT488" s="2">
        <v>24</v>
      </c>
      <c r="BU488" s="2" t="s">
        <v>662</v>
      </c>
      <c r="BV488" s="9" t="str">
        <f>HYPERLINK(".\links\FLYBASE\AGAP006669-PA-FLYBASE.txt","FBpp0305262")</f>
        <v>FBpp0305262</v>
      </c>
      <c r="BW488" s="2" t="str">
        <f>HYPERLINK("http://flybase.org/reports/FBgn0010825#alliance_summary_container","4E-87")</f>
        <v>4E-87</v>
      </c>
      <c r="BX488" s="2">
        <v>1983</v>
      </c>
      <c r="BY488" s="2">
        <v>63</v>
      </c>
      <c r="BZ488" s="2">
        <v>74</v>
      </c>
      <c r="CA488" s="2">
        <v>13</v>
      </c>
      <c r="CB488" s="9" t="str">
        <f>HYPERLINK(".\links\CDD\AGAP006669-PA-CDD.txt","SANT_MTA3_like, Myb-Like Dna-Binding Domain of MTA3 and related proteins")</f>
        <v>SANT_MTA3_like, Myb-Like Dna-Binding Domain of MTA3 and related proteins</v>
      </c>
      <c r="CC488" s="15">
        <v>3.9999999999999997E-24</v>
      </c>
      <c r="CD488" s="2">
        <v>100</v>
      </c>
      <c r="CE488" s="2" t="s">
        <v>5130</v>
      </c>
      <c r="CF488" s="2" t="s">
        <v>5131</v>
      </c>
      <c r="CG488" s="9" t="str">
        <f>HYPERLINK(".\links\KOG\AGAP006669-PA-KOG.txt","DNA-binding protein")</f>
        <v>DNA-binding protein</v>
      </c>
      <c r="CH488" s="15">
        <v>2E-16</v>
      </c>
      <c r="CI488" s="2">
        <v>61.1</v>
      </c>
      <c r="CJ488" s="2" t="s">
        <v>5132</v>
      </c>
      <c r="CK488" s="2" t="s">
        <v>191</v>
      </c>
      <c r="CL488" s="9" t="str">
        <f>HYPERLINK(".\links\PFAM\AGAP006669-PA-PFAM.txt","PAT1, Topoisomerase II-associated protein PAT1")</f>
        <v>PAT1, Topoisomerase II-associated protein PAT1</v>
      </c>
      <c r="CM488" s="15">
        <v>8E-14</v>
      </c>
      <c r="CN488" s="2">
        <v>25.6</v>
      </c>
      <c r="CO488" s="2" t="s">
        <v>3695</v>
      </c>
      <c r="CP488" s="9" t="str">
        <f>HYPERLINK(".\links\SMART\AGAP006669-PA-SMART.txt","SANT, SANT SWI3, ADA2, N-CoR and TFIIIB'' DNA-binding domains")</f>
        <v>SANT, SANT SWI3, ADA2, N-CoR and TFIIIB'' DNA-binding domains</v>
      </c>
      <c r="CQ488" s="15">
        <v>8.9999999999999995E-9</v>
      </c>
      <c r="CR488" s="2">
        <v>100</v>
      </c>
      <c r="CS488" s="2" t="s">
        <v>881</v>
      </c>
      <c r="CT488" s="2" t="s">
        <v>5127</v>
      </c>
      <c r="CU488" s="2" t="s">
        <v>5127</v>
      </c>
      <c r="CV488" s="2" t="s">
        <v>5127</v>
      </c>
      <c r="CW488" s="2" t="str">
        <f>HYPERLINK(".\links\pep\AGAP006669-PA-pep.txt","AGAP006669-PA")</f>
        <v>AGAP006669-PA</v>
      </c>
      <c r="CX488" s="2" t="s">
        <v>95</v>
      </c>
      <c r="CY488" s="2">
        <v>2481</v>
      </c>
      <c r="CZ488" s="2" t="s">
        <v>113</v>
      </c>
      <c r="DA488" s="2" t="s">
        <v>5133</v>
      </c>
      <c r="DB488" s="2">
        <v>0</v>
      </c>
      <c r="DC488" s="2">
        <v>12</v>
      </c>
      <c r="DD488" s="2" t="str">
        <f>HYPERLINK("https://www.kegg.jp/kegg-bin/search_pathway_text?map=aga&amp;keyword=AGAP006669&amp;mode=1&amp;viewImage=true","AGAP006669")</f>
        <v>AGAP006669</v>
      </c>
      <c r="DE488" s="2" t="s">
        <v>5123</v>
      </c>
      <c r="DF488" s="2" t="s">
        <v>5124</v>
      </c>
      <c r="DG488" s="2" t="s">
        <v>94</v>
      </c>
      <c r="DH488" s="2" t="str">
        <f>HYPERLINK("https://vectorbase.org/vectorbase/app/record/gene/AGAP006669","AGAP006669-RA")</f>
        <v>AGAP006669-RA</v>
      </c>
      <c r="DI488" s="2" t="s">
        <v>90</v>
      </c>
      <c r="DJ488" s="2">
        <v>12464</v>
      </c>
      <c r="DK488" s="2" t="str">
        <f>HYPERLINK(".\links\netoglyc\AGAP006669-PA-netoglyc.txt","71")</f>
        <v>71</v>
      </c>
      <c r="DL488" s="2">
        <v>18.7</v>
      </c>
      <c r="DM488" s="2">
        <v>13.1</v>
      </c>
      <c r="DN488" s="2">
        <v>14.1</v>
      </c>
      <c r="DO488" s="2">
        <v>0.1</v>
      </c>
      <c r="DP488" s="2" t="s">
        <v>5134</v>
      </c>
      <c r="DQ488" s="2" t="str">
        <f>HYPERLINK(".\links\Sigp\AGAP006669-PA-SigP.txt","CYT")</f>
        <v>CYT</v>
      </c>
      <c r="DR488" s="2" t="s">
        <v>102</v>
      </c>
      <c r="DS488" s="2">
        <v>251.06800000000001</v>
      </c>
      <c r="DT488" s="2">
        <v>6.73</v>
      </c>
      <c r="DU488" s="2" t="s">
        <v>102</v>
      </c>
      <c r="DV488" s="2" t="s">
        <v>102</v>
      </c>
      <c r="DW488" s="2" t="s">
        <v>124</v>
      </c>
      <c r="DX488" s="2">
        <v>2481</v>
      </c>
      <c r="DY488" s="12">
        <v>0</v>
      </c>
      <c r="DZ488" s="2" t="s">
        <v>102</v>
      </c>
      <c r="EA488" s="2" t="s">
        <v>102</v>
      </c>
      <c r="EB488" s="2" t="s">
        <v>102</v>
      </c>
      <c r="EC488" s="2" t="str">
        <f>HYPERLINK(".\links\gpi\AGAP006669-PA-gpi.txt","Y-NoSP")</f>
        <v>Y-NoSP</v>
      </c>
      <c r="ED488" s="2">
        <v>0.51</v>
      </c>
      <c r="EF488" s="2">
        <v>8</v>
      </c>
      <c r="EG488" s="2" t="str">
        <f>HYPERLINK(".\links\pep\AGAP006669-PA-sulf.txt","2")</f>
        <v>2</v>
      </c>
      <c r="EH488" s="2" t="s">
        <v>102</v>
      </c>
      <c r="EI488" s="2">
        <v>18.661829907295399</v>
      </c>
      <c r="EJ488" s="2">
        <v>14.107214832728699</v>
      </c>
      <c r="EK488" s="2">
        <v>13.0592503022975</v>
      </c>
      <c r="EL488" s="2">
        <v>27.166465135026201</v>
      </c>
      <c r="EM488" s="2">
        <v>31</v>
      </c>
      <c r="EN488" s="2">
        <v>4</v>
      </c>
      <c r="EO488" s="2">
        <v>57</v>
      </c>
      <c r="EP488" s="2" t="s">
        <v>102</v>
      </c>
      <c r="EQ488" s="2" t="s">
        <v>102</v>
      </c>
      <c r="ER488" s="2" t="s">
        <v>102</v>
      </c>
      <c r="ES488" s="2" t="s">
        <v>102</v>
      </c>
      <c r="ET488" s="2" t="str">
        <f>HYPERLINK(".\links\REFSEQ-INVERTEBRATE\AGAP006669-PA-REFSEQ-INVERTEBRATE.txt","AGAP006669-PA")</f>
        <v>AGAP006669-PA</v>
      </c>
      <c r="EU488" s="2" t="str">
        <f>HYPERLINK("http://www.ncbi.nlm.nih.gov/sutils/blink.cgi?pid=XP_316705.4","0.0")</f>
        <v>0.0</v>
      </c>
      <c r="EV488" s="2" t="str">
        <f>HYPERLINK("http://www.ncbi.nlm.nih.gov/protein/XP_316705.4","XP_316705.4")</f>
        <v>XP_316705.4</v>
      </c>
      <c r="EW488" s="2">
        <v>99</v>
      </c>
      <c r="EX488" s="2">
        <v>99</v>
      </c>
      <c r="EY488" s="2">
        <v>73</v>
      </c>
      <c r="EZ488" s="2" t="s">
        <v>105</v>
      </c>
    </row>
    <row r="489" spans="1:156" x14ac:dyDescent="0.25">
      <c r="A489" s="2" t="s">
        <v>5135</v>
      </c>
      <c r="B489" s="2">
        <v>-0.42647420139234699</v>
      </c>
      <c r="C489" s="2">
        <f t="shared" si="7"/>
        <v>0.74407801537109031</v>
      </c>
      <c r="D489" s="2">
        <v>5.1340971911231401</v>
      </c>
      <c r="E489" s="2">
        <v>9.8079817957995292</v>
      </c>
      <c r="F489" s="2">
        <v>1.73756081919618E-3</v>
      </c>
      <c r="G489" s="2">
        <v>4.08679280982778E-2</v>
      </c>
      <c r="H489" s="2" t="s">
        <v>93</v>
      </c>
      <c r="I489" s="2" t="s">
        <v>94</v>
      </c>
      <c r="J489" s="2" t="str">
        <f>HYPERLINK("https://vectorbase.org/vectorbase/app/record/gene/AGAP006528","AGAP006528-RA")</f>
        <v>AGAP006528-RA</v>
      </c>
      <c r="K489" s="2" t="str">
        <f>HYPERLINK(".\links\pep\AGAP006528-PA-pep.txt","AGAP006528-PA")</f>
        <v>AGAP006528-PA</v>
      </c>
      <c r="L489" s="12" t="s">
        <v>95</v>
      </c>
      <c r="M489" s="2">
        <v>2479</v>
      </c>
      <c r="N489" s="2">
        <v>0</v>
      </c>
      <c r="O489" s="2">
        <v>15</v>
      </c>
      <c r="P489" s="2" t="s">
        <v>102</v>
      </c>
      <c r="Q489" s="9" t="s">
        <v>5136</v>
      </c>
      <c r="R489" s="2" t="s">
        <v>355</v>
      </c>
      <c r="S489" s="2" t="str">
        <f>HYPERLINK(".\links\KOG\AGAP006528-PA-KOG.txt","KOG")</f>
        <v>KOG</v>
      </c>
      <c r="T489" s="2">
        <v>1E-41</v>
      </c>
      <c r="U489" s="2">
        <v>28.1</v>
      </c>
      <c r="V489" s="2" t="s">
        <v>5137</v>
      </c>
      <c r="W489" s="10" t="s">
        <v>5138</v>
      </c>
      <c r="X489" s="2" t="s">
        <v>355</v>
      </c>
      <c r="Y489" s="2" t="str">
        <f>HYPERLINK(".\links\CDD\AGAP006528-PA-CDD.txt","CDD")</f>
        <v>CDD</v>
      </c>
      <c r="Z489" s="15">
        <v>1E-52</v>
      </c>
      <c r="AA489" s="2">
        <v>89.1</v>
      </c>
      <c r="AB489" s="13" t="str">
        <f>HYPERLINK(".\links\pep\AGAP006528-PA-sulf.txt","5")</f>
        <v>5</v>
      </c>
      <c r="AC489" s="13" t="str">
        <f>HYPERLINK(".\links\Sigp\AGAP006528-PA-SigP.txt","CYT")</f>
        <v>CYT</v>
      </c>
      <c r="AD489" s="2" t="s">
        <v>102</v>
      </c>
      <c r="AE489" s="2">
        <v>265.41500000000002</v>
      </c>
      <c r="AF489" s="2">
        <v>5.57</v>
      </c>
      <c r="AG489" s="2" t="s">
        <v>102</v>
      </c>
      <c r="AH489" s="2" t="s">
        <v>102</v>
      </c>
      <c r="AI489" s="2" t="s">
        <v>5139</v>
      </c>
      <c r="AJ489" s="13">
        <v>0</v>
      </c>
      <c r="AK489" s="2" t="s">
        <v>102</v>
      </c>
      <c r="AL489" s="2" t="s">
        <v>102</v>
      </c>
      <c r="AM489" s="2" t="s">
        <v>102</v>
      </c>
      <c r="AN489" s="13" t="str">
        <f>HYPERLINK(".\links\gpi\AGAP006528-PA-gpi.txt","N")</f>
        <v>N</v>
      </c>
      <c r="AO489" s="14" t="str">
        <f>HYPERLINK(".\links\netoglyc\AGAP006528-PA-netoglyc.txt","15")</f>
        <v>15</v>
      </c>
      <c r="AP489" s="13">
        <v>17.2</v>
      </c>
      <c r="AQ489" s="2">
        <v>11.5</v>
      </c>
      <c r="AR489" s="2">
        <v>8.1999999999999993</v>
      </c>
      <c r="AS489" s="2">
        <v>0.2</v>
      </c>
      <c r="AT489" s="9" t="str">
        <f>HYPERLINK(".\links\NR-LIGHT\AGAP006528-PA-NR-LIGHT.txt","AGAP006528-PA")</f>
        <v>AGAP006528-PA</v>
      </c>
      <c r="AU489" s="2" t="str">
        <f>HYPERLINK("http://www.ncbi.nlm.nih.gov/sutils/blink.cgi?pid=XP_316563.4","0.0")</f>
        <v>0.0</v>
      </c>
      <c r="AV489" s="2" t="str">
        <f>HYPERLINK("http://www.ncbi.nlm.nih.gov/protein/XP_316563.4","XP_316563.4")</f>
        <v>XP_316563.4</v>
      </c>
      <c r="AW489" s="2">
        <v>100</v>
      </c>
      <c r="AX489" s="2">
        <v>100</v>
      </c>
      <c r="AY489" s="2">
        <v>100</v>
      </c>
      <c r="AZ489" s="2" t="s">
        <v>105</v>
      </c>
      <c r="BA489" s="9" t="str">
        <f>HYPERLINK(".\links\REFSEQ-INVERTEBRATE\AGAP006528-PA-REFSEQ-INVERTEBRATE.txt","AGAP006528-PA")</f>
        <v>AGAP006528-PA</v>
      </c>
      <c r="BB489" s="2" t="str">
        <f>HYPERLINK("http://www.ncbi.nlm.nih.gov/sutils/blink.cgi?pid=XP_316563.4","0.0")</f>
        <v>0.0</v>
      </c>
      <c r="BC489" s="2" t="str">
        <f>HYPERLINK("http://www.ncbi.nlm.nih.gov/protein/XP_316563.4","XP_316563.4")</f>
        <v>XP_316563.4</v>
      </c>
      <c r="BD489" s="2">
        <v>100</v>
      </c>
      <c r="BE489" s="2">
        <v>100</v>
      </c>
      <c r="BF489" s="2">
        <v>100</v>
      </c>
      <c r="BG489" s="2" t="s">
        <v>105</v>
      </c>
      <c r="BH489" s="9" t="str">
        <f>HYPERLINK(".\links\REFSEQ-PROTOZOA\AGAP006528-PA-REFSEQ-PROTOZOA.txt","uncharacterized protein, partial")</f>
        <v>uncharacterized protein, partial</v>
      </c>
      <c r="BI489" s="2" t="str">
        <f>HYPERLINK("http://www.ncbi.nlm.nih.gov/sutils/blink.cgi?pid=XP_003886575.1","5E-039")</f>
        <v>5E-039</v>
      </c>
      <c r="BJ489" s="2" t="str">
        <f>HYPERLINK("http://www.ncbi.nlm.nih.gov/protein/XP_003886575.1","XP_003886575.1")</f>
        <v>XP_003886575.1</v>
      </c>
      <c r="BK489" s="2">
        <v>18</v>
      </c>
      <c r="BL489" s="2">
        <v>33</v>
      </c>
      <c r="BM489" s="2">
        <v>36</v>
      </c>
      <c r="BN489" s="2" t="s">
        <v>448</v>
      </c>
      <c r="BO489" s="9" t="str">
        <f>HYPERLINK(".\links\SWISSP\AGAP006528-PA-SWISSP.txt","Protein disabled")</f>
        <v>Protein disabled</v>
      </c>
      <c r="BP489" s="2" t="str">
        <f>HYPERLINK("http://www.uniprot.org/uniprot/P98081","0.0")</f>
        <v>0.0</v>
      </c>
      <c r="BQ489" s="2" t="str">
        <f>HYPERLINK("http://www.uniprot.org/uniprot/P98081#expression","P98081")</f>
        <v>P98081</v>
      </c>
      <c r="BR489" s="2">
        <v>34</v>
      </c>
      <c r="BS489" s="2">
        <v>44</v>
      </c>
      <c r="BT489" s="2">
        <v>121</v>
      </c>
      <c r="BU489" s="2" t="s">
        <v>107</v>
      </c>
      <c r="BV489" s="9" t="str">
        <f>HYPERLINK(".\links\FLYBASE\AGAP006528-PA-FLYBASE.txt","FBpp0293623")</f>
        <v>FBpp0293623</v>
      </c>
      <c r="BW489" s="2" t="str">
        <f>HYPERLINK("http://flybase.org/reports/FBgn0000414#alliance_summary_container","1E-110")</f>
        <v>1E-110</v>
      </c>
      <c r="BX489" s="2">
        <v>2071</v>
      </c>
      <c r="BY489" s="2">
        <v>63</v>
      </c>
      <c r="BZ489" s="2">
        <v>72</v>
      </c>
      <c r="CA489" s="2">
        <v>16</v>
      </c>
      <c r="CB489" s="9" t="str">
        <f>HYPERLINK(".\links\CDD\AGAP006528-PA-CDD.txt","PTB_Dab, Disabled (Dab) Phosphotyrosine-binding domain")</f>
        <v>PTB_Dab, Disabled (Dab) Phosphotyrosine-binding domain</v>
      </c>
      <c r="CC489" s="15">
        <v>1.9999999999999999E-74</v>
      </c>
      <c r="CD489" s="2">
        <v>98.6</v>
      </c>
      <c r="CE489" s="2" t="s">
        <v>5140</v>
      </c>
      <c r="CF489" s="2" t="s">
        <v>5141</v>
      </c>
      <c r="CG489" s="9" t="str">
        <f>HYPERLINK(".\links\KOG\AGAP006528-PA-KOG.txt","Adaptor protein Disabled")</f>
        <v>Adaptor protein Disabled</v>
      </c>
      <c r="CH489" s="15">
        <v>1E-41</v>
      </c>
      <c r="CI489" s="2">
        <v>28.2</v>
      </c>
      <c r="CJ489" s="2" t="s">
        <v>5142</v>
      </c>
      <c r="CK489" s="2" t="s">
        <v>173</v>
      </c>
      <c r="CL489" s="9" t="str">
        <f>HYPERLINK(".\links\PFAM\AGAP006528-PA-PFAM.txt","PID, Phosphotyrosine interaction domain (PTB/PID)")</f>
        <v>PID, Phosphotyrosine interaction domain (PTB/PID)</v>
      </c>
      <c r="CM489" s="15">
        <v>9.9999999999999995E-8</v>
      </c>
      <c r="CN489" s="2">
        <v>101.5</v>
      </c>
      <c r="CO489" s="2" t="s">
        <v>5143</v>
      </c>
      <c r="CP489" s="9" t="str">
        <f>HYPERLINK(".\links\SMART\AGAP006528-PA-SMART.txt","PTB, Phosphotyrosine-binding domain, phosphotyrosine-interaction (PI) domain")</f>
        <v>PTB, Phosphotyrosine-binding domain, phosphotyrosine-interaction (PI) domain</v>
      </c>
      <c r="CQ489" s="15">
        <v>3.9999999999999998E-36</v>
      </c>
      <c r="CR489" s="2">
        <v>100</v>
      </c>
      <c r="CS489" s="2" t="s">
        <v>5144</v>
      </c>
      <c r="CT489" s="2" t="s">
        <v>5137</v>
      </c>
      <c r="CU489" s="2" t="s">
        <v>5137</v>
      </c>
      <c r="CV489" s="2" t="s">
        <v>5137</v>
      </c>
      <c r="CW489" s="2" t="str">
        <f>HYPERLINK(".\links\pep\AGAP006528-PA-pep.txt","AGAP006528-PA")</f>
        <v>AGAP006528-PA</v>
      </c>
      <c r="CX489" s="2" t="s">
        <v>95</v>
      </c>
      <c r="CY489" s="2">
        <v>2479</v>
      </c>
      <c r="CZ489" s="2" t="s">
        <v>113</v>
      </c>
      <c r="DA489" s="2" t="s">
        <v>5145</v>
      </c>
      <c r="DB489" s="2">
        <v>0</v>
      </c>
      <c r="DC489" s="2">
        <v>15</v>
      </c>
      <c r="DD489" s="2" t="str">
        <f>HYPERLINK("https://www.kegg.jp/kegg-bin/search_pathway_text?map=aga&amp;keyword=AGAP006528&amp;mode=1&amp;viewImage=true","AGAP006528")</f>
        <v>AGAP006528</v>
      </c>
      <c r="DE489" s="2" t="s">
        <v>5135</v>
      </c>
      <c r="DF489" s="2" t="s">
        <v>93</v>
      </c>
      <c r="DG489" s="2" t="s">
        <v>94</v>
      </c>
      <c r="DH489" s="2" t="str">
        <f>HYPERLINK("https://vectorbase.org/vectorbase/app/record/gene/AGAP006528","AGAP006528-RA")</f>
        <v>AGAP006528-RA</v>
      </c>
      <c r="DI489" s="2" t="s">
        <v>135</v>
      </c>
      <c r="DJ489" s="2">
        <v>8178</v>
      </c>
      <c r="DK489" s="2" t="str">
        <f>HYPERLINK(".\links\netoglyc\AGAP006528-PA-netoglyc.txt","15")</f>
        <v>15</v>
      </c>
      <c r="DL489" s="2">
        <v>17.2</v>
      </c>
      <c r="DM489" s="2">
        <v>11.5</v>
      </c>
      <c r="DN489" s="2">
        <v>8.1999999999999993</v>
      </c>
      <c r="DO489" s="2">
        <v>0.2</v>
      </c>
      <c r="DP489" s="2" t="s">
        <v>102</v>
      </c>
      <c r="DQ489" s="2" t="str">
        <f>HYPERLINK(".\links\Sigp\AGAP006528-PA-SigP.txt","CYT")</f>
        <v>CYT</v>
      </c>
      <c r="DR489" s="2" t="s">
        <v>102</v>
      </c>
      <c r="DS489" s="2">
        <v>265.41500000000002</v>
      </c>
      <c r="DT489" s="2">
        <v>5.57</v>
      </c>
      <c r="DU489" s="2" t="s">
        <v>102</v>
      </c>
      <c r="DV489" s="2" t="s">
        <v>102</v>
      </c>
      <c r="DW489" s="2" t="s">
        <v>5139</v>
      </c>
      <c r="DX489" s="2">
        <v>2479</v>
      </c>
      <c r="DY489" s="12">
        <v>0</v>
      </c>
      <c r="DZ489" s="2" t="s">
        <v>102</v>
      </c>
      <c r="EA489" s="2" t="s">
        <v>102</v>
      </c>
      <c r="EB489" s="2" t="s">
        <v>102</v>
      </c>
      <c r="EC489" s="2" t="str">
        <f>HYPERLINK(".\links\gpi\AGAP006528-PA-gpi.txt","Y-NoSP")</f>
        <v>Y-NoSP</v>
      </c>
      <c r="ED489" s="2">
        <v>0.3</v>
      </c>
      <c r="EF489" s="2">
        <v>4</v>
      </c>
      <c r="EG489" s="2" t="str">
        <f>HYPERLINK(".\links\pep\AGAP006528-PA-sulf.txt","5")</f>
        <v>5</v>
      </c>
      <c r="EH489" s="2" t="s">
        <v>102</v>
      </c>
      <c r="EI489" s="2">
        <v>17.224687373941101</v>
      </c>
      <c r="EJ489" s="2">
        <v>8.2291246470350892</v>
      </c>
      <c r="EK489" s="2">
        <v>11.5369100443727</v>
      </c>
      <c r="EL489" s="2">
        <v>19.7660346914078</v>
      </c>
      <c r="EM489" s="2">
        <v>8</v>
      </c>
      <c r="EN489" s="2">
        <v>4</v>
      </c>
      <c r="EO489" s="2">
        <v>10</v>
      </c>
      <c r="EP489" s="2" t="s">
        <v>102</v>
      </c>
      <c r="EQ489" s="2" t="s">
        <v>102</v>
      </c>
      <c r="ER489" s="2" t="s">
        <v>102</v>
      </c>
      <c r="ES489" s="2" t="s">
        <v>102</v>
      </c>
      <c r="ET489" s="2" t="str">
        <f>HYPERLINK(".\links\REFSEQ-INVERTEBRATE\AGAP006528-PA-REFSEQ-INVERTEBRATE.txt","AGAP006528-PA")</f>
        <v>AGAP006528-PA</v>
      </c>
      <c r="EU489" s="2" t="str">
        <f>HYPERLINK("http://www.ncbi.nlm.nih.gov/sutils/blink.cgi?pid=XP_316563.4","0.0")</f>
        <v>0.0</v>
      </c>
      <c r="EV489" s="2" t="str">
        <f>HYPERLINK("http://www.ncbi.nlm.nih.gov/protein/XP_316563.4","XP_316563.4")</f>
        <v>XP_316563.4</v>
      </c>
      <c r="EW489" s="2">
        <v>100</v>
      </c>
      <c r="EX489" s="2">
        <v>100</v>
      </c>
      <c r="EY489" s="2">
        <v>100</v>
      </c>
      <c r="EZ489" s="2" t="s">
        <v>105</v>
      </c>
    </row>
    <row r="490" spans="1:156" x14ac:dyDescent="0.25">
      <c r="A490" s="2" t="s">
        <v>5146</v>
      </c>
      <c r="B490" s="2">
        <v>-0.42773499210785698</v>
      </c>
      <c r="C490" s="2">
        <f t="shared" si="7"/>
        <v>0.74342803957896764</v>
      </c>
      <c r="D490" s="2">
        <v>7.0885743879370402</v>
      </c>
      <c r="E490" s="2">
        <v>20.015675613711601</v>
      </c>
      <c r="F490" s="2">
        <v>7.6809914084160499E-6</v>
      </c>
      <c r="G490" s="2">
        <v>3.1540070970808398E-3</v>
      </c>
      <c r="H490" s="2" t="s">
        <v>5147</v>
      </c>
      <c r="I490" s="2" t="s">
        <v>94</v>
      </c>
      <c r="J490" s="2" t="str">
        <f>HYPERLINK("https://vectorbase.org/vectorbase/app/record/gene/AGAP002752","AGAP002752-RA")</f>
        <v>AGAP002752-RA</v>
      </c>
      <c r="K490" s="2" t="str">
        <f>HYPERLINK(".\links\pep\AGAP002752-PA-pep.txt","AGAP002752-PA")</f>
        <v>AGAP002752-PA</v>
      </c>
      <c r="L490" s="12" t="s">
        <v>95</v>
      </c>
      <c r="M490" s="2">
        <v>495</v>
      </c>
      <c r="N490" s="2">
        <v>0</v>
      </c>
      <c r="O490" s="2">
        <v>7</v>
      </c>
      <c r="P490" s="2" t="s">
        <v>5148</v>
      </c>
      <c r="Q490" s="9" t="s">
        <v>5149</v>
      </c>
      <c r="R490" s="2" t="s">
        <v>1825</v>
      </c>
      <c r="S490" s="2" t="str">
        <f>HYPERLINK(".\links\KOG\AGAP002752-PA-KOG.txt","KOG")</f>
        <v>KOG</v>
      </c>
      <c r="T490" s="2">
        <v>0</v>
      </c>
      <c r="U490" s="2">
        <v>99</v>
      </c>
      <c r="V490" s="2" t="s">
        <v>5150</v>
      </c>
      <c r="W490" s="10" t="s">
        <v>5151</v>
      </c>
      <c r="X490" s="2" t="s">
        <v>355</v>
      </c>
      <c r="Y490" s="2" t="str">
        <f>HYPERLINK(".\links\REFSEQ-PROTOZOA\AGAP002752-PA-REFSEQ-PROTOZOA.txt","REFSEQ-PROTOZOA")</f>
        <v>REFSEQ-PROTOZOA</v>
      </c>
      <c r="Z490" s="2">
        <v>0</v>
      </c>
      <c r="AA490" s="2">
        <v>98</v>
      </c>
      <c r="AB490" s="13" t="str">
        <f>HYPERLINK(".\links\pep\AGAP002752-PA-sulf.txt","3")</f>
        <v>3</v>
      </c>
      <c r="AC490" s="13" t="str">
        <f>HYPERLINK(".\links\Sigp\AGAP002752-PA-SigP.txt","BL")</f>
        <v>BL</v>
      </c>
      <c r="AD490" s="2" t="s">
        <v>5152</v>
      </c>
      <c r="AE490" s="2">
        <v>56.555999999999997</v>
      </c>
      <c r="AF490" s="2">
        <v>6.06</v>
      </c>
      <c r="AG490" s="2">
        <v>52.616999999999997</v>
      </c>
      <c r="AH490" s="2">
        <v>6.32</v>
      </c>
      <c r="AI490" s="2" t="s">
        <v>5153</v>
      </c>
      <c r="AJ490" s="13">
        <v>0</v>
      </c>
      <c r="AK490" s="2" t="s">
        <v>102</v>
      </c>
      <c r="AL490" s="2" t="s">
        <v>102</v>
      </c>
      <c r="AM490" s="2" t="s">
        <v>102</v>
      </c>
      <c r="AN490" s="13" t="str">
        <f>HYPERLINK(".\links\gpi\AGAP002752-PA-gpi.txt","N")</f>
        <v>N</v>
      </c>
      <c r="AO490" s="14" t="str">
        <f>HYPERLINK(".\links\netoglyc\AGAP002752-PA-netoglyc.txt","0")</f>
        <v>0</v>
      </c>
      <c r="AP490" s="13">
        <v>7.1</v>
      </c>
      <c r="AQ490" s="2">
        <v>5.9</v>
      </c>
      <c r="AR490" s="2">
        <v>3.6</v>
      </c>
      <c r="AS490" s="2" t="s">
        <v>104</v>
      </c>
      <c r="AT490" s="9" t="str">
        <f>HYPERLINK(".\links\NR-LIGHT\AGAP002752-PA-NR-LIGHT.txt","AGAP002752-PA")</f>
        <v>AGAP002752-PA</v>
      </c>
      <c r="AU490" s="2" t="str">
        <f>HYPERLINK("http://www.ncbi.nlm.nih.gov/sutils/blink.cgi?pid=XP_312173.2","0.0")</f>
        <v>0.0</v>
      </c>
      <c r="AV490" s="2" t="str">
        <f>HYPERLINK("http://www.ncbi.nlm.nih.gov/protein/XP_312173.2","XP_312173.2")</f>
        <v>XP_312173.2</v>
      </c>
      <c r="AW490" s="2">
        <v>100</v>
      </c>
      <c r="AX490" s="2">
        <v>100</v>
      </c>
      <c r="AY490" s="2">
        <v>100</v>
      </c>
      <c r="AZ490" s="2" t="s">
        <v>105</v>
      </c>
      <c r="BA490" s="9" t="str">
        <f>HYPERLINK(".\links\REFSEQ-INVERTEBRATE\AGAP002752-PA-REFSEQ-INVERTEBRATE.txt","AGAP002752-PA")</f>
        <v>AGAP002752-PA</v>
      </c>
      <c r="BB490" s="2" t="str">
        <f>HYPERLINK("http://www.ncbi.nlm.nih.gov/sutils/blink.cgi?pid=XP_312173.2","0.0")</f>
        <v>0.0</v>
      </c>
      <c r="BC490" s="2" t="str">
        <f>HYPERLINK("http://www.ncbi.nlm.nih.gov/protein/XP_312173.2","XP_312173.2")</f>
        <v>XP_312173.2</v>
      </c>
      <c r="BD490" s="2">
        <v>100</v>
      </c>
      <c r="BE490" s="2">
        <v>100</v>
      </c>
      <c r="BF490" s="2">
        <v>100</v>
      </c>
      <c r="BG490" s="2" t="s">
        <v>105</v>
      </c>
      <c r="BH490" s="9" t="str">
        <f>HYPERLINK(".\links\REFSEQ-PROTOZOA\AGAP002752-PA-REFSEQ-PROTOZOA.txt","protein kinase inhibitor p58")</f>
        <v>protein kinase inhibitor p58</v>
      </c>
      <c r="BI490" s="2" t="str">
        <f>HYPERLINK("http://www.ncbi.nlm.nih.gov/sutils/blink.cgi?pid=XP_004349874.1","9E-092")</f>
        <v>9E-092</v>
      </c>
      <c r="BJ490" s="2" t="str">
        <f>HYPERLINK("http://www.ncbi.nlm.nih.gov/protein/XP_004349874.1","XP_004349874.1")</f>
        <v>XP_004349874.1</v>
      </c>
      <c r="BK490" s="2">
        <v>37</v>
      </c>
      <c r="BL490" s="2">
        <v>57</v>
      </c>
      <c r="BM490" s="2">
        <v>98</v>
      </c>
      <c r="BN490" s="2" t="s">
        <v>106</v>
      </c>
      <c r="BO490" s="9" t="str">
        <f>HYPERLINK(".\links\SWISSP\AGAP002752-PA-SWISSP.txt","DnaJ homolog subfamily C member 3")</f>
        <v>DnaJ homolog subfamily C member 3</v>
      </c>
      <c r="BP490" s="2" t="str">
        <f>HYPERLINK("http://www.uniprot.org/uniprot/Q27968","1E-129")</f>
        <v>1E-129</v>
      </c>
      <c r="BQ490" s="2" t="str">
        <f>HYPERLINK("http://www.uniprot.org/uniprot/Q27968#expression","Q27968")</f>
        <v>Q27968</v>
      </c>
      <c r="BR490" s="2">
        <v>47</v>
      </c>
      <c r="BS490" s="2">
        <v>67</v>
      </c>
      <c r="BT490" s="2">
        <v>98</v>
      </c>
      <c r="BU490" s="2" t="s">
        <v>1284</v>
      </c>
      <c r="BV490" s="9" t="str">
        <f>HYPERLINK(".\links\FLYBASE\AGAP002752-PA-FLYBASE.txt","FBpp0081552")</f>
        <v>FBpp0081552</v>
      </c>
      <c r="BW490" s="2" t="str">
        <f>HYPERLINK("http://flybase.org/reports/FBgn0037718#alliance_summary_container","0.0")</f>
        <v>0.0</v>
      </c>
      <c r="BX490" s="2">
        <v>498</v>
      </c>
      <c r="BY490" s="2">
        <v>60</v>
      </c>
      <c r="BZ490" s="2">
        <v>80</v>
      </c>
      <c r="CA490" s="2">
        <v>93</v>
      </c>
      <c r="CB490" s="9" t="str">
        <f>HYPERLINK(".\links\CDD\AGAP002752-PA-CDD.txt","DnaJ, DnaJ-class molecular chaperone with C-terminal Zn finger domain")</f>
        <v>DnaJ, DnaJ-class molecular chaperone with C-terminal Zn finger domain</v>
      </c>
      <c r="CC490" s="15">
        <v>3E-24</v>
      </c>
      <c r="CD490" s="2">
        <v>23.5</v>
      </c>
      <c r="CE490" s="2" t="s">
        <v>1857</v>
      </c>
      <c r="CF490" s="2" t="s">
        <v>5154</v>
      </c>
      <c r="CG490" s="9" t="str">
        <f>HYPERLINK(".\links\KOG\AGAP002752-PA-KOG.txt","contains TPR and DnaJ domains")</f>
        <v>contains TPR and DnaJ domains</v>
      </c>
      <c r="CH490" s="15">
        <v>9.9999999999999995E-178</v>
      </c>
      <c r="CI490" s="2">
        <v>99</v>
      </c>
      <c r="CJ490" s="2" t="s">
        <v>5155</v>
      </c>
      <c r="CK490" s="2" t="s">
        <v>5156</v>
      </c>
      <c r="CL490" s="9" t="str">
        <f>HYPERLINK(".\links\PFAM\AGAP002752-PA-PFAM.txt","DnaJ, DnaJ domain")</f>
        <v>DnaJ, DnaJ domain</v>
      </c>
      <c r="CM490" s="15">
        <v>4.9999999999999999E-20</v>
      </c>
      <c r="CN490" s="2">
        <v>103.2</v>
      </c>
      <c r="CO490" s="2" t="s">
        <v>1860</v>
      </c>
      <c r="CP490" s="9" t="str">
        <f>HYPERLINK(".\links\SMART\AGAP002752-PA-SMART.txt","DnaJ, DnaJ molecular chaperone homology domain")</f>
        <v>DnaJ, DnaJ molecular chaperone homology domain</v>
      </c>
      <c r="CQ490" s="15">
        <v>4.0000000000000003E-17</v>
      </c>
      <c r="CR490" s="2">
        <v>101.7</v>
      </c>
      <c r="CS490" s="2" t="s">
        <v>1861</v>
      </c>
      <c r="CT490" s="2" t="s">
        <v>5150</v>
      </c>
      <c r="CU490" s="2" t="s">
        <v>5150</v>
      </c>
      <c r="CV490" s="2" t="s">
        <v>5150</v>
      </c>
      <c r="CW490" s="2" t="str">
        <f>HYPERLINK(".\links\pep\AGAP002752-PA-pep.txt","AGAP002752-PA")</f>
        <v>AGAP002752-PA</v>
      </c>
      <c r="CX490" s="2" t="s">
        <v>95</v>
      </c>
      <c r="CY490" s="2">
        <v>495</v>
      </c>
      <c r="CZ490" s="2" t="s">
        <v>113</v>
      </c>
      <c r="DA490" s="2" t="s">
        <v>5157</v>
      </c>
      <c r="DB490" s="2">
        <v>0</v>
      </c>
      <c r="DC490" s="2">
        <v>7</v>
      </c>
      <c r="DD490" s="2" t="str">
        <f>HYPERLINK("https://www.kegg.jp/kegg-bin/search_pathway_text?map=aga&amp;keyword=AGAP002752&amp;mode=1&amp;viewImage=true","AGAP002752")</f>
        <v>AGAP002752</v>
      </c>
      <c r="DE490" s="2" t="s">
        <v>5146</v>
      </c>
      <c r="DF490" s="2" t="s">
        <v>5147</v>
      </c>
      <c r="DG490" s="2" t="s">
        <v>94</v>
      </c>
      <c r="DH490" s="2" t="str">
        <f>HYPERLINK("https://vectorbase.org/vectorbase/app/record/gene/AGAP002752","AGAP002752-RA")</f>
        <v>AGAP002752-RA</v>
      </c>
      <c r="DI490" s="2" t="s">
        <v>90</v>
      </c>
      <c r="DJ490" s="2">
        <v>2750</v>
      </c>
      <c r="DK490" s="2" t="str">
        <f>HYPERLINK(".\links\netoglyc\AGAP002752-PA-netoglyc.txt","0")</f>
        <v>0</v>
      </c>
      <c r="DL490" s="2">
        <v>7.1</v>
      </c>
      <c r="DM490" s="2">
        <v>5.9</v>
      </c>
      <c r="DN490" s="2">
        <v>3.6</v>
      </c>
      <c r="DO490" s="2" t="s">
        <v>104</v>
      </c>
      <c r="DP490" s="2" t="s">
        <v>102</v>
      </c>
      <c r="DQ490" s="2" t="str">
        <f>HYPERLINK(".\links\Sigp\AGAP002752-PA-SigP.txt","BL")</f>
        <v>BL</v>
      </c>
      <c r="DR490" s="2" t="s">
        <v>5152</v>
      </c>
      <c r="DS490" s="2">
        <v>56.555999999999997</v>
      </c>
      <c r="DT490" s="2">
        <v>6.06</v>
      </c>
      <c r="DU490" s="2">
        <v>52.616999999999997</v>
      </c>
      <c r="DV490" s="2">
        <v>6.32</v>
      </c>
      <c r="DW490" s="2" t="s">
        <v>5153</v>
      </c>
      <c r="DX490" s="2">
        <v>495</v>
      </c>
      <c r="DY490" s="12">
        <v>0</v>
      </c>
      <c r="DZ490" s="2" t="s">
        <v>102</v>
      </c>
      <c r="EA490" s="2" t="s">
        <v>102</v>
      </c>
      <c r="EB490" s="2" t="s">
        <v>102</v>
      </c>
      <c r="EC490" s="2" t="str">
        <f>HYPERLINK(".\links\gpi\AGAP002752-PA-gpi.txt","Y-NoSP")</f>
        <v>Y-NoSP</v>
      </c>
      <c r="ED490" s="2">
        <v>0.26</v>
      </c>
      <c r="EF490" s="2">
        <v>9</v>
      </c>
      <c r="EG490" s="2" t="str">
        <f>HYPERLINK(".\links\pep\AGAP002752-PA-sulf.txt","3")</f>
        <v>3</v>
      </c>
      <c r="EH490" s="2" t="s">
        <v>102</v>
      </c>
      <c r="EI490" s="2">
        <v>7.0707070707070701</v>
      </c>
      <c r="EJ490" s="2">
        <v>3.6363636363636398</v>
      </c>
      <c r="EK490" s="2">
        <v>5.8585858585858599</v>
      </c>
      <c r="EL490" s="2">
        <v>9.4949494949494895</v>
      </c>
      <c r="EM490" s="2" t="s">
        <v>102</v>
      </c>
      <c r="EN490" s="2" t="s">
        <v>102</v>
      </c>
      <c r="EO490" s="2" t="s">
        <v>102</v>
      </c>
      <c r="EP490" s="2" t="s">
        <v>102</v>
      </c>
      <c r="EQ490" s="2" t="s">
        <v>102</v>
      </c>
      <c r="ER490" s="2" t="s">
        <v>102</v>
      </c>
      <c r="ES490" s="2" t="s">
        <v>102</v>
      </c>
      <c r="ET490" s="2" t="str">
        <f>HYPERLINK(".\links\REFSEQ-INVERTEBRATE\AGAP002752-PA-REFSEQ-INVERTEBRATE.txt","AGAP002752-PA")</f>
        <v>AGAP002752-PA</v>
      </c>
      <c r="EU490" s="2" t="str">
        <f>HYPERLINK("http://www.ncbi.nlm.nih.gov/sutils/blink.cgi?pid=XP_312173.2","0.0")</f>
        <v>0.0</v>
      </c>
      <c r="EV490" s="2" t="str">
        <f>HYPERLINK("http://www.ncbi.nlm.nih.gov/protein/XP_312173.2","XP_312173.2")</f>
        <v>XP_312173.2</v>
      </c>
      <c r="EW490" s="2">
        <v>100</v>
      </c>
      <c r="EX490" s="2">
        <v>100</v>
      </c>
      <c r="EY490" s="2">
        <v>100</v>
      </c>
      <c r="EZ490" s="2" t="s">
        <v>105</v>
      </c>
    </row>
    <row r="491" spans="1:156" x14ac:dyDescent="0.25">
      <c r="A491" s="2" t="s">
        <v>5158</v>
      </c>
      <c r="B491" s="2">
        <v>-0.42848924219505702</v>
      </c>
      <c r="C491" s="2">
        <f t="shared" si="7"/>
        <v>0.74303947228195488</v>
      </c>
      <c r="D491" s="2">
        <v>5.7919253066151999</v>
      </c>
      <c r="E491" s="2">
        <v>10.236601808120501</v>
      </c>
      <c r="F491" s="2">
        <v>1.37680998482101E-3</v>
      </c>
      <c r="G491" s="2">
        <v>3.69712871945806E-2</v>
      </c>
      <c r="H491" s="2" t="s">
        <v>5159</v>
      </c>
      <c r="I491" s="2" t="s">
        <v>94</v>
      </c>
      <c r="J491" s="2" t="str">
        <f>HYPERLINK("https://vectorbase.org/vectorbase/app/record/gene/AGAP004049","AGAP004049-RA")</f>
        <v>AGAP004049-RA</v>
      </c>
      <c r="K491" s="2" t="str">
        <f>HYPERLINK(".\links\pep\AGAP004049-PA-pep.txt","AGAP004049-PA")</f>
        <v>AGAP004049-PA</v>
      </c>
      <c r="L491" s="12" t="s">
        <v>95</v>
      </c>
      <c r="M491" s="2">
        <v>1394</v>
      </c>
      <c r="N491" s="2">
        <v>0</v>
      </c>
      <c r="O491" s="2">
        <v>7</v>
      </c>
      <c r="P491" s="2" t="s">
        <v>5160</v>
      </c>
      <c r="Q491" s="9" t="s">
        <v>5161</v>
      </c>
      <c r="R491" s="2" t="s">
        <v>1825</v>
      </c>
      <c r="S491" s="2" t="str">
        <f>HYPERLINK(".\links\KOG\AGAP004049-PA-KOG.txt","KOG")</f>
        <v>KOG</v>
      </c>
      <c r="T491" s="2">
        <v>0</v>
      </c>
      <c r="U491" s="2">
        <v>109.3</v>
      </c>
      <c r="V491" s="2" t="s">
        <v>5162</v>
      </c>
      <c r="W491" s="10" t="s">
        <v>5163</v>
      </c>
      <c r="X491" s="2" t="s">
        <v>1825</v>
      </c>
      <c r="Y491" s="2" t="str">
        <f>HYPERLINK(".\links\KOG\AGAP004049-PA-KOG.txt","KOG")</f>
        <v>KOG</v>
      </c>
      <c r="Z491" s="2">
        <v>0</v>
      </c>
      <c r="AA491" s="2">
        <v>60</v>
      </c>
      <c r="AB491" s="13" t="str">
        <f>HYPERLINK(".\links\pep\AGAP004049-PA-sulf.txt","3")</f>
        <v>3</v>
      </c>
      <c r="AC491" s="13" t="str">
        <f>HYPERLINK(".\links\Sigp\AGAP004049-PA-SigP.txt","CYT")</f>
        <v>CYT</v>
      </c>
      <c r="AD491" s="2" t="s">
        <v>102</v>
      </c>
      <c r="AE491" s="2">
        <v>149.453</v>
      </c>
      <c r="AF491" s="2">
        <v>4.75</v>
      </c>
      <c r="AG491" s="2" t="s">
        <v>102</v>
      </c>
      <c r="AH491" s="2" t="s">
        <v>102</v>
      </c>
      <c r="AI491" s="2" t="s">
        <v>611</v>
      </c>
      <c r="AJ491" s="13">
        <v>0</v>
      </c>
      <c r="AK491" s="2" t="s">
        <v>102</v>
      </c>
      <c r="AL491" s="2" t="s">
        <v>102</v>
      </c>
      <c r="AM491" s="2" t="s">
        <v>102</v>
      </c>
      <c r="AN491" s="13" t="str">
        <f>HYPERLINK(".\links\gpi\AGAP004049-PA-gpi.txt","N")</f>
        <v>N</v>
      </c>
      <c r="AO491" s="14" t="str">
        <f>HYPERLINK(".\links\netoglyc\AGAP004049-PA-netoglyc.txt","20")</f>
        <v>20</v>
      </c>
      <c r="AP491" s="13">
        <v>16.399999999999999</v>
      </c>
      <c r="AQ491" s="2">
        <v>6.2</v>
      </c>
      <c r="AR491" s="2">
        <v>6.5</v>
      </c>
      <c r="AS491" s="2" t="s">
        <v>104</v>
      </c>
      <c r="AT491" s="9" t="str">
        <f>HYPERLINK(".\links\NR-LIGHT\AGAP004049-PA-NR-LIGHT.txt","AGAP004049-PA")</f>
        <v>AGAP004049-PA</v>
      </c>
      <c r="AU491" s="2" t="str">
        <f>HYPERLINK("http://www.ncbi.nlm.nih.gov/sutils/blink.cgi?pid=XP_309600.5","0.0")</f>
        <v>0.0</v>
      </c>
      <c r="AV491" s="2" t="str">
        <f>HYPERLINK("http://www.ncbi.nlm.nih.gov/protein/XP_309600.5","XP_309600.5")</f>
        <v>XP_309600.5</v>
      </c>
      <c r="AW491" s="2">
        <v>100</v>
      </c>
      <c r="AX491" s="2">
        <v>100</v>
      </c>
      <c r="AY491" s="2">
        <v>100</v>
      </c>
      <c r="AZ491" s="2" t="s">
        <v>105</v>
      </c>
      <c r="BA491" s="9" t="str">
        <f>HYPERLINK(".\links\REFSEQ-INVERTEBRATE\AGAP004049-PA-REFSEQ-INVERTEBRATE.txt","AGAP004049-PA")</f>
        <v>AGAP004049-PA</v>
      </c>
      <c r="BB491" s="2" t="str">
        <f>HYPERLINK("http://www.ncbi.nlm.nih.gov/sutils/blink.cgi?pid=XP_309600.5","0.0")</f>
        <v>0.0</v>
      </c>
      <c r="BC491" s="2" t="str">
        <f>HYPERLINK("http://www.ncbi.nlm.nih.gov/protein/XP_309600.5","XP_309600.5")</f>
        <v>XP_309600.5</v>
      </c>
      <c r="BD491" s="2">
        <v>100</v>
      </c>
      <c r="BE491" s="2">
        <v>100</v>
      </c>
      <c r="BF491" s="2">
        <v>100</v>
      </c>
      <c r="BG491" s="2" t="s">
        <v>105</v>
      </c>
      <c r="BH491" s="9" t="str">
        <f>HYPERLINK(".\links\REFSEQ-PROTOZOA\AGAP004049-PA-REFSEQ-PROTOZOA.txt","flocculin")</f>
        <v>flocculin</v>
      </c>
      <c r="BI491" s="2" t="str">
        <f>HYPERLINK("http://www.ncbi.nlm.nih.gov/sutils/blink.cgi?pid=XP_001308251.1","5E-016")</f>
        <v>5E-016</v>
      </c>
      <c r="BJ491" s="2" t="str">
        <f>HYPERLINK("http://www.ncbi.nlm.nih.gov/protein/XP_001308251.1","XP_001308251.1")</f>
        <v>XP_001308251.1</v>
      </c>
      <c r="BK491" s="2">
        <v>18</v>
      </c>
      <c r="BL491" s="2">
        <v>36</v>
      </c>
      <c r="BM491" s="2">
        <v>36</v>
      </c>
      <c r="BN491" s="2" t="s">
        <v>292</v>
      </c>
      <c r="BO491" s="9" t="str">
        <f>HYPERLINK(".\links\SWISSP\AGAP004049-PA-SWISSP.txt","Zinc finger FYVE domain-containing protein 9")</f>
        <v>Zinc finger FYVE domain-containing protein 9</v>
      </c>
      <c r="BP491" s="2" t="str">
        <f>HYPERLINK("http://www.uniprot.org/uniprot/O95405","1E-162")</f>
        <v>1E-162</v>
      </c>
      <c r="BQ491" s="2" t="str">
        <f>HYPERLINK("http://www.uniprot.org/uniprot/O95405#expression","O95405")</f>
        <v>O95405</v>
      </c>
      <c r="BR491" s="2">
        <v>42</v>
      </c>
      <c r="BS491" s="2">
        <v>60</v>
      </c>
      <c r="BT491" s="2">
        <v>54</v>
      </c>
      <c r="BU491" s="2" t="s">
        <v>127</v>
      </c>
      <c r="BV491" s="9" t="str">
        <f>HYPERLINK(".\links\FLYBASE\AGAP004049-PA-FLYBASE.txt","FBpp0071564")</f>
        <v>FBpp0071564</v>
      </c>
      <c r="BW491" s="2" t="str">
        <f>HYPERLINK("http://flybase.org/reports/FBgn0026369#alliance_summary_container","1E-170")</f>
        <v>1E-170</v>
      </c>
      <c r="BX491" s="2">
        <v>1343</v>
      </c>
      <c r="BY491" s="2">
        <v>47</v>
      </c>
      <c r="BZ491" s="2">
        <v>69</v>
      </c>
      <c r="CA491" s="2">
        <v>42</v>
      </c>
      <c r="CB491" s="9" t="str">
        <f>HYPERLINK(".\links\CDD\AGAP004049-PA-CDD.txt","DUF3480, Domain of unknown function (DUF3480)")</f>
        <v>DUF3480, Domain of unknown function (DUF3480)</v>
      </c>
      <c r="CC491" s="15">
        <v>1E-168</v>
      </c>
      <c r="CD491" s="2">
        <v>101.7</v>
      </c>
      <c r="CE491" s="2" t="s">
        <v>5164</v>
      </c>
      <c r="CF491" s="2" t="s">
        <v>5165</v>
      </c>
      <c r="CG491" s="9" t="str">
        <f>HYPERLINK(".\links\KOG\AGAP004049-PA-KOG.txt","Smad anchor for receptor activation")</f>
        <v>Smad anchor for receptor activation</v>
      </c>
      <c r="CH491" s="15">
        <v>9.9999999999999994E-158</v>
      </c>
      <c r="CI491" s="2">
        <v>109.3</v>
      </c>
      <c r="CJ491" s="2" t="s">
        <v>5166</v>
      </c>
      <c r="CK491" s="2" t="s">
        <v>5156</v>
      </c>
      <c r="CL491" s="9" t="str">
        <f>HYPERLINK(".\links\PFAM\AGAP004049-PA-PFAM.txt","DUF3480, Domain of unknown function (DUF3480)")</f>
        <v>DUF3480, Domain of unknown function (DUF3480)</v>
      </c>
      <c r="CM491" s="15">
        <v>1E-168</v>
      </c>
      <c r="CN491" s="2">
        <v>101.7</v>
      </c>
      <c r="CO491" s="2" t="s">
        <v>5164</v>
      </c>
      <c r="CP491" s="9" t="str">
        <f>HYPERLINK(".\links\SMART\AGAP004049-PA-SMART.txt","FYVE, Protein present in Fab1, YOTB, Vac1, and EEA1")</f>
        <v>FYVE, Protein present in Fab1, YOTB, Vac1, and EEA1</v>
      </c>
      <c r="CQ491" s="15">
        <v>9.9999999999999991E-22</v>
      </c>
      <c r="CR491" s="2">
        <v>97.1</v>
      </c>
      <c r="CS491" s="2" t="s">
        <v>4894</v>
      </c>
      <c r="CT491" s="2" t="s">
        <v>5162</v>
      </c>
      <c r="CU491" s="2" t="s">
        <v>5162</v>
      </c>
      <c r="CV491" s="2" t="s">
        <v>5162</v>
      </c>
      <c r="CW491" s="2" t="str">
        <f>HYPERLINK(".\links\pep\AGAP004049-PA-pep.txt","AGAP004049-PA")</f>
        <v>AGAP004049-PA</v>
      </c>
      <c r="CX491" s="2" t="s">
        <v>95</v>
      </c>
      <c r="CY491" s="2">
        <v>1394</v>
      </c>
      <c r="CZ491" s="2" t="s">
        <v>113</v>
      </c>
      <c r="DA491" s="2" t="s">
        <v>5167</v>
      </c>
      <c r="DB491" s="2">
        <v>0</v>
      </c>
      <c r="DC491" s="2">
        <v>7</v>
      </c>
      <c r="DD491" s="2" t="str">
        <f>HYPERLINK("https://www.kegg.jp/kegg-bin/search_pathway_text?map=aga&amp;keyword=AGAP004049&amp;mode=1&amp;viewImage=true","AGAP004049")</f>
        <v>AGAP004049</v>
      </c>
      <c r="DE491" s="2" t="s">
        <v>5158</v>
      </c>
      <c r="DF491" s="2" t="s">
        <v>5159</v>
      </c>
      <c r="DG491" s="2" t="s">
        <v>94</v>
      </c>
      <c r="DH491" s="2" t="str">
        <f>HYPERLINK("https://vectorbase.org/vectorbase/app/record/gene/AGAP004049","AGAP004049-RA")</f>
        <v>AGAP004049-RA</v>
      </c>
      <c r="DI491" s="2" t="s">
        <v>90</v>
      </c>
      <c r="DJ491" s="2">
        <v>4662</v>
      </c>
      <c r="DK491" s="2" t="str">
        <f>HYPERLINK(".\links\netoglyc\AGAP004049-PA-netoglyc.txt","20")</f>
        <v>20</v>
      </c>
      <c r="DL491" s="2">
        <v>16.399999999999999</v>
      </c>
      <c r="DM491" s="2">
        <v>6.2</v>
      </c>
      <c r="DN491" s="2">
        <v>6.5</v>
      </c>
      <c r="DO491" s="2" t="s">
        <v>104</v>
      </c>
      <c r="DP491" s="2" t="s">
        <v>102</v>
      </c>
      <c r="DQ491" s="2" t="str">
        <f>HYPERLINK(".\links\Sigp\AGAP004049-PA-SigP.txt","CYT")</f>
        <v>CYT</v>
      </c>
      <c r="DR491" s="2" t="s">
        <v>102</v>
      </c>
      <c r="DS491" s="2">
        <v>149.453</v>
      </c>
      <c r="DT491" s="2">
        <v>4.75</v>
      </c>
      <c r="DU491" s="2" t="s">
        <v>102</v>
      </c>
      <c r="DV491" s="2" t="s">
        <v>102</v>
      </c>
      <c r="DW491" s="2" t="s">
        <v>611</v>
      </c>
      <c r="DX491" s="2">
        <v>1394</v>
      </c>
      <c r="DY491" s="12">
        <v>0</v>
      </c>
      <c r="DZ491" s="2" t="s">
        <v>102</v>
      </c>
      <c r="EA491" s="2" t="s">
        <v>102</v>
      </c>
      <c r="EB491" s="2" t="s">
        <v>102</v>
      </c>
      <c r="EC491" s="2" t="str">
        <f>HYPERLINK(".\links\gpi\AGAP004049-PA-gpi.txt","Y-NoSP")</f>
        <v>Y-NoSP</v>
      </c>
      <c r="ED491" s="2">
        <v>0.19</v>
      </c>
      <c r="EF491" s="2">
        <v>25</v>
      </c>
      <c r="EG491" s="2" t="str">
        <f>HYPERLINK(".\links\pep\AGAP004049-PA-sulf.txt","3")</f>
        <v>3</v>
      </c>
      <c r="EH491" s="2" t="s">
        <v>102</v>
      </c>
      <c r="EI491" s="2">
        <v>16.355810616929698</v>
      </c>
      <c r="EJ491" s="2">
        <v>6.4562410329985704</v>
      </c>
      <c r="EK491" s="2">
        <v>6.2410329985652799</v>
      </c>
      <c r="EL491" s="2">
        <v>12.697274031563801</v>
      </c>
      <c r="EM491" s="2">
        <v>1</v>
      </c>
      <c r="EN491" s="2">
        <v>3</v>
      </c>
      <c r="EO491" s="2">
        <v>4</v>
      </c>
      <c r="EP491" s="2" t="s">
        <v>102</v>
      </c>
      <c r="EQ491" s="2" t="s">
        <v>102</v>
      </c>
      <c r="ER491" s="2" t="s">
        <v>102</v>
      </c>
      <c r="ES491" s="2" t="s">
        <v>102</v>
      </c>
      <c r="ET491" s="2" t="str">
        <f>HYPERLINK(".\links\REFSEQ-INVERTEBRATE\AGAP004049-PA-REFSEQ-INVERTEBRATE.txt","AGAP004049-PA")</f>
        <v>AGAP004049-PA</v>
      </c>
      <c r="EU491" s="2" t="str">
        <f>HYPERLINK("http://www.ncbi.nlm.nih.gov/sutils/blink.cgi?pid=XP_309600.5","0.0")</f>
        <v>0.0</v>
      </c>
      <c r="EV491" s="2" t="str">
        <f>HYPERLINK("http://www.ncbi.nlm.nih.gov/protein/XP_309600.5","XP_309600.5")</f>
        <v>XP_309600.5</v>
      </c>
      <c r="EW491" s="2">
        <v>100</v>
      </c>
      <c r="EX491" s="2">
        <v>100</v>
      </c>
      <c r="EY491" s="2">
        <v>100</v>
      </c>
      <c r="EZ491" s="2" t="s">
        <v>105</v>
      </c>
    </row>
    <row r="492" spans="1:156" x14ac:dyDescent="0.25">
      <c r="A492" s="2" t="s">
        <v>5168</v>
      </c>
      <c r="B492" s="2">
        <v>-0.43815701084464298</v>
      </c>
      <c r="C492" s="2">
        <f t="shared" si="7"/>
        <v>0.73807687236538355</v>
      </c>
      <c r="D492" s="2">
        <v>6.72961986309189</v>
      </c>
      <c r="E492" s="2">
        <v>9.6325762858486392</v>
      </c>
      <c r="F492" s="2">
        <v>1.9115628791249401E-3</v>
      </c>
      <c r="G492" s="2">
        <v>4.26678687740982E-2</v>
      </c>
      <c r="H492" s="2" t="s">
        <v>549</v>
      </c>
      <c r="I492" s="2" t="s">
        <v>88</v>
      </c>
      <c r="J492" s="8" t="s">
        <v>5169</v>
      </c>
      <c r="Q492" s="9"/>
      <c r="W492" s="10"/>
      <c r="AB492" s="9"/>
      <c r="AC492" s="9"/>
      <c r="AJ492" s="9"/>
      <c r="AN492" s="9"/>
      <c r="AO492" s="11"/>
      <c r="AP492" s="9"/>
      <c r="AT492" s="9"/>
      <c r="BA492" s="9"/>
      <c r="BH492" s="9"/>
      <c r="BO492" s="9"/>
      <c r="BV492" s="9"/>
      <c r="CB492" s="9"/>
      <c r="CG492" s="9"/>
      <c r="CL492" s="9"/>
      <c r="CP492" s="9"/>
      <c r="DE492" s="2" t="s">
        <v>5168</v>
      </c>
      <c r="DF492" s="2" t="s">
        <v>549</v>
      </c>
      <c r="DG492" s="2" t="s">
        <v>88</v>
      </c>
      <c r="DH492" s="8" t="s">
        <v>5169</v>
      </c>
      <c r="DI492" s="2" t="s">
        <v>118</v>
      </c>
      <c r="DJ492" s="2">
        <v>9200</v>
      </c>
      <c r="DQ492" s="2" t="s">
        <v>141</v>
      </c>
      <c r="DS492" s="2">
        <v>257370</v>
      </c>
      <c r="DT492" s="2">
        <v>5.98</v>
      </c>
      <c r="DX492" s="2">
        <v>2333</v>
      </c>
      <c r="DY492" s="12"/>
    </row>
    <row r="493" spans="1:156" x14ac:dyDescent="0.25">
      <c r="A493" s="2" t="s">
        <v>5170</v>
      </c>
      <c r="B493" s="2">
        <v>-0.438329791126641</v>
      </c>
      <c r="C493" s="2">
        <f t="shared" si="7"/>
        <v>0.73798848397387218</v>
      </c>
      <c r="D493" s="2">
        <v>7.2461749131019397</v>
      </c>
      <c r="E493" s="2">
        <v>12.628421487330399</v>
      </c>
      <c r="F493" s="2">
        <v>3.7992585661494898E-4</v>
      </c>
      <c r="G493" s="2">
        <v>2.1768426261281001E-2</v>
      </c>
      <c r="H493" s="2" t="s">
        <v>93</v>
      </c>
      <c r="I493" s="2" t="s">
        <v>94</v>
      </c>
      <c r="J493" s="2" t="str">
        <f>HYPERLINK("https://vectorbase.org/vectorbase/app/record/gene/AGAP003872","AGAP003872-RA")</f>
        <v>AGAP003872-RA</v>
      </c>
      <c r="K493" s="2" t="str">
        <f>HYPERLINK(".\links\pep\AGAP003872-PA-pep.txt","AGAP003872-PA")</f>
        <v>AGAP003872-PA</v>
      </c>
      <c r="L493" s="12" t="s">
        <v>95</v>
      </c>
      <c r="M493" s="2">
        <v>3145</v>
      </c>
      <c r="N493" s="2">
        <v>0</v>
      </c>
      <c r="O493" s="2">
        <v>6</v>
      </c>
      <c r="P493" s="2" t="s">
        <v>102</v>
      </c>
      <c r="Q493" s="9" t="s">
        <v>5171</v>
      </c>
      <c r="R493" s="2" t="s">
        <v>98</v>
      </c>
      <c r="S493" s="2" t="str">
        <f>HYPERLINK(".\links\KOG\AGAP003872-PA-KOG.txt","KOG")</f>
        <v>KOG</v>
      </c>
      <c r="T493" s="2">
        <v>0</v>
      </c>
      <c r="U493" s="2">
        <v>100</v>
      </c>
      <c r="V493" s="2" t="s">
        <v>5172</v>
      </c>
      <c r="W493" s="10" t="s">
        <v>5171</v>
      </c>
      <c r="X493" s="2" t="s">
        <v>98</v>
      </c>
      <c r="Y493" s="2" t="str">
        <f>HYPERLINK(".\links\KOG\AGAP003872-PA-KOG.txt","KOG")</f>
        <v>KOG</v>
      </c>
      <c r="Z493" s="15">
        <v>0</v>
      </c>
      <c r="AA493" s="2">
        <v>0.1</v>
      </c>
      <c r="AB493" s="13" t="str">
        <f>HYPERLINK(".\links\pep\AGAP003872-PA-sulf.txt","6")</f>
        <v>6</v>
      </c>
      <c r="AC493" s="13" t="str">
        <f>HYPERLINK(".\links\Sigp\AGAP003872-PA-SigP.txt","CYT")</f>
        <v>CYT</v>
      </c>
      <c r="AD493" s="2" t="s">
        <v>102</v>
      </c>
      <c r="AE493" s="2">
        <v>337.18099999999998</v>
      </c>
      <c r="AF493" s="2">
        <v>5.81</v>
      </c>
      <c r="AG493" s="2" t="s">
        <v>102</v>
      </c>
      <c r="AH493" s="2" t="s">
        <v>102</v>
      </c>
      <c r="AI493" s="2" t="s">
        <v>5173</v>
      </c>
      <c r="AJ493" s="13" t="str">
        <f>HYPERLINK(".\links\tmhmm\AGAP003872-PA-tmhmm.txt","10")</f>
        <v>10</v>
      </c>
      <c r="AK493" s="2">
        <v>6.7</v>
      </c>
      <c r="AL493" s="2">
        <v>88.9</v>
      </c>
      <c r="AM493" s="2">
        <v>4.3</v>
      </c>
      <c r="AN493" s="13" t="str">
        <f>HYPERLINK(".\links\gpi\AGAP003872-PA-gpi.txt","N")</f>
        <v>N</v>
      </c>
      <c r="AO493" s="14" t="str">
        <f>HYPERLINK(".\links\netoglyc\AGAP003872-PA-netoglyc.txt","7")</f>
        <v>7</v>
      </c>
      <c r="AP493" s="13">
        <v>17.899999999999999</v>
      </c>
      <c r="AQ493" s="2">
        <v>9.3000000000000007</v>
      </c>
      <c r="AR493" s="2">
        <v>4.3</v>
      </c>
      <c r="AS493" s="2" t="s">
        <v>104</v>
      </c>
      <c r="AT493" s="9" t="str">
        <f>HYPERLINK(".\links\NR-LIGHT\AGAP003872-PA-NR-LIGHT.txt","AGAP003872-PA")</f>
        <v>AGAP003872-PA</v>
      </c>
      <c r="AU493" s="2" t="str">
        <f>HYPERLINK("http://www.ncbi.nlm.nih.gov/sutils/blink.cgi?pid=XP_559663.4","0.0")</f>
        <v>0.0</v>
      </c>
      <c r="AV493" s="2" t="str">
        <f>HYPERLINK("http://www.ncbi.nlm.nih.gov/protein/XP_559663.4","XP_559663.4")</f>
        <v>XP_559663.4</v>
      </c>
      <c r="AW493" s="2">
        <v>100</v>
      </c>
      <c r="AX493" s="2">
        <v>100</v>
      </c>
      <c r="AY493" s="2">
        <v>100</v>
      </c>
      <c r="AZ493" s="2" t="s">
        <v>105</v>
      </c>
      <c r="BA493" s="9" t="str">
        <f>HYPERLINK(".\links\REFSEQ-INVERTEBRATE\AGAP003872-PA-REFSEQ-INVERTEBRATE.txt","AGAP003872-PA")</f>
        <v>AGAP003872-PA</v>
      </c>
      <c r="BB493" s="2" t="str">
        <f>HYPERLINK("http://www.ncbi.nlm.nih.gov/sutils/blink.cgi?pid=XP_559663.4","0.0")</f>
        <v>0.0</v>
      </c>
      <c r="BC493" s="2" t="str">
        <f>HYPERLINK("http://www.ncbi.nlm.nih.gov/protein/XP_559663.4","XP_559663.4")</f>
        <v>XP_559663.4</v>
      </c>
      <c r="BD493" s="2">
        <v>100</v>
      </c>
      <c r="BE493" s="2">
        <v>100</v>
      </c>
      <c r="BF493" s="2">
        <v>100</v>
      </c>
      <c r="BG493" s="2" t="s">
        <v>105</v>
      </c>
      <c r="BH493" s="9" t="str">
        <f>HYPERLINK(".\links\REFSEQ-PROTOZOA\AGAP003872-PA-REFSEQ-PROTOZOA.txt","hypothetical protein CAOG_07429")</f>
        <v>hypothetical protein CAOG_07429</v>
      </c>
      <c r="BI493" s="2" t="str">
        <f>HYPERLINK("http://www.ncbi.nlm.nih.gov/sutils/blink.cgi?pid=XP_004343288.1","1E-116")</f>
        <v>1E-116</v>
      </c>
      <c r="BJ493" s="2" t="str">
        <f>HYPERLINK("http://www.ncbi.nlm.nih.gov/protein/XP_004343288.1","XP_004343288.1")</f>
        <v>XP_004343288.1</v>
      </c>
      <c r="BK493" s="2">
        <v>32</v>
      </c>
      <c r="BL493" s="2">
        <v>51</v>
      </c>
      <c r="BM493" s="2">
        <v>46</v>
      </c>
      <c r="BN493" s="2" t="s">
        <v>106</v>
      </c>
      <c r="BO493" s="9" t="str">
        <f>HYPERLINK(".\links\SWISSP\AGAP003872-PA-SWISSP.txt","Protein pecanex")</f>
        <v>Protein pecanex</v>
      </c>
      <c r="BP493" s="2" t="str">
        <f>HYPERLINK("http://www.uniprot.org/uniprot/P18490","0.0")</f>
        <v>0.0</v>
      </c>
      <c r="BQ493" s="2" t="str">
        <f>HYPERLINK("http://www.uniprot.org/uniprot/P18490#expression","P18490")</f>
        <v>P18490</v>
      </c>
      <c r="BR493" s="2">
        <v>51</v>
      </c>
      <c r="BS493" s="2">
        <v>63</v>
      </c>
      <c r="BT493" s="2">
        <v>45</v>
      </c>
      <c r="BU493" s="2" t="s">
        <v>107</v>
      </c>
      <c r="BV493" s="9" t="str">
        <f>HYPERLINK(".\links\FLYBASE\AGAP003872-PA-FLYBASE.txt","FBpp0304655")</f>
        <v>FBpp0304655</v>
      </c>
      <c r="BW493" s="2" t="str">
        <f>HYPERLINK("http://flybase.org/reports/FBgn0003048#alliance_summary_container","0.0")</f>
        <v>0.0</v>
      </c>
      <c r="BX493" s="2">
        <v>3413</v>
      </c>
      <c r="BY493" s="2">
        <v>74</v>
      </c>
      <c r="BZ493" s="2">
        <v>87</v>
      </c>
      <c r="CA493" s="2">
        <v>16</v>
      </c>
      <c r="CB493" s="9" t="str">
        <f>HYPERLINK(".\links\CDD\AGAP003872-PA-CDD.txt","Pecanex_C, Pecanex protein (C-terminus)")</f>
        <v>Pecanex_C, Pecanex protein (C-terminus)</v>
      </c>
      <c r="CC493" s="15">
        <v>9.9999999999999995E-113</v>
      </c>
      <c r="CD493" s="2">
        <v>100</v>
      </c>
      <c r="CE493" s="2" t="s">
        <v>5174</v>
      </c>
      <c r="CF493" s="2" t="s">
        <v>5175</v>
      </c>
      <c r="CG493" s="9" t="str">
        <f>HYPERLINK(".\links\KOG\AGAP003872-PA-KOG.txt","Pecanex")</f>
        <v>Pecanex</v>
      </c>
      <c r="CH493" s="15">
        <v>3.0000000000000001E-80</v>
      </c>
      <c r="CI493" s="2">
        <v>54.6</v>
      </c>
      <c r="CJ493" s="2" t="s">
        <v>5176</v>
      </c>
      <c r="CK493" s="2" t="s">
        <v>284</v>
      </c>
      <c r="CL493" s="9" t="str">
        <f>HYPERLINK(".\links\PFAM\AGAP003872-PA-PFAM.txt","Pecanex_C, Pecanex protein (C-terminus)")</f>
        <v>Pecanex_C, Pecanex protein (C-terminus)</v>
      </c>
      <c r="CM493" s="15">
        <v>9.9999999999999998E-114</v>
      </c>
      <c r="CN493" s="2">
        <v>100</v>
      </c>
      <c r="CO493" s="2" t="s">
        <v>5174</v>
      </c>
      <c r="CP493" s="9" t="str">
        <f>HYPERLINK(".\links\SMART\AGAP003872-PA-SMART.txt","OSTEO, Osteopontin")</f>
        <v>OSTEO, Osteopontin</v>
      </c>
      <c r="CQ493" s="15">
        <v>2E-3</v>
      </c>
      <c r="CR493" s="2">
        <v>64.099999999999994</v>
      </c>
      <c r="CS493" s="2" t="s">
        <v>3123</v>
      </c>
      <c r="CT493" s="2" t="s">
        <v>5172</v>
      </c>
      <c r="CU493" s="2" t="s">
        <v>5172</v>
      </c>
      <c r="CV493" s="2" t="s">
        <v>5172</v>
      </c>
      <c r="CW493" s="2" t="str">
        <f>HYPERLINK(".\links\pep\AGAP003872-PA-pep.txt","AGAP003872-PA")</f>
        <v>AGAP003872-PA</v>
      </c>
      <c r="CX493" s="2" t="s">
        <v>95</v>
      </c>
      <c r="CY493" s="2">
        <v>3145</v>
      </c>
      <c r="CZ493" s="2" t="s">
        <v>113</v>
      </c>
      <c r="DA493" s="2" t="s">
        <v>5177</v>
      </c>
      <c r="DB493" s="2">
        <v>0</v>
      </c>
      <c r="DC493" s="2">
        <v>6</v>
      </c>
      <c r="DD493" s="2" t="str">
        <f>HYPERLINK("https://www.kegg.jp/kegg-bin/search_pathway_text?map=aga&amp;keyword=AGAP003872&amp;mode=1&amp;viewImage=true","AGAP003872")</f>
        <v>AGAP003872</v>
      </c>
      <c r="DE493" s="2" t="s">
        <v>5170</v>
      </c>
      <c r="DF493" s="2" t="s">
        <v>93</v>
      </c>
      <c r="DG493" s="2" t="s">
        <v>94</v>
      </c>
      <c r="DH493" s="2" t="str">
        <f>HYPERLINK("https://vectorbase.org/vectorbase/app/record/gene/AGAP003872","AGAP003872-RA")</f>
        <v>AGAP003872-RA</v>
      </c>
      <c r="DI493" s="2" t="s">
        <v>118</v>
      </c>
      <c r="DJ493" s="2">
        <v>12898</v>
      </c>
      <c r="DK493" s="2" t="str">
        <f>HYPERLINK(".\links\netoglyc\AGAP003872-PA-netoglyc.txt","7")</f>
        <v>7</v>
      </c>
      <c r="DL493" s="2">
        <v>17.899999999999999</v>
      </c>
      <c r="DM493" s="2">
        <v>9.3000000000000007</v>
      </c>
      <c r="DN493" s="2">
        <v>4.3</v>
      </c>
      <c r="DO493" s="2" t="s">
        <v>104</v>
      </c>
      <c r="DP493" s="2" t="s">
        <v>5178</v>
      </c>
      <c r="DQ493" s="2" t="str">
        <f>HYPERLINK(".\links\Sigp\AGAP003872-PA-SigP.txt","CYT")</f>
        <v>CYT</v>
      </c>
      <c r="DR493" s="2" t="s">
        <v>102</v>
      </c>
      <c r="DS493" s="2">
        <v>337.18099999999998</v>
      </c>
      <c r="DT493" s="2">
        <v>5.81</v>
      </c>
      <c r="DU493" s="2" t="s">
        <v>102</v>
      </c>
      <c r="DV493" s="2" t="s">
        <v>102</v>
      </c>
      <c r="DW493" s="2" t="s">
        <v>5173</v>
      </c>
      <c r="DX493" s="2">
        <v>3145</v>
      </c>
      <c r="DY493" s="12" t="str">
        <f>HYPERLINK(".\links\tmhmm\AGAP003872-PA-tmhmm.txt","10")</f>
        <v>10</v>
      </c>
      <c r="DZ493" s="2">
        <v>6.7</v>
      </c>
      <c r="EA493" s="2">
        <v>88.9</v>
      </c>
      <c r="EB493" s="2">
        <v>4.3</v>
      </c>
      <c r="EC493" s="2" t="str">
        <f>HYPERLINK(".\links\gpi\AGAP003872-PA-gpi.txt","Y-NoSP")</f>
        <v>Y-NoSP</v>
      </c>
      <c r="ED493" s="2">
        <v>0.16</v>
      </c>
      <c r="EF493" s="2">
        <v>65</v>
      </c>
      <c r="EG493" s="2" t="str">
        <f>HYPERLINK(".\links\pep\AGAP003872-PA-sulf.txt","6")</f>
        <v>6</v>
      </c>
      <c r="EH493" s="2" t="s">
        <v>102</v>
      </c>
      <c r="EI493" s="2">
        <v>17.901430842607301</v>
      </c>
      <c r="EJ493" s="2">
        <v>4.3243243243243201</v>
      </c>
      <c r="EK493" s="2">
        <v>9.3163751987281405</v>
      </c>
      <c r="EL493" s="2">
        <v>13.640699523052501</v>
      </c>
      <c r="EM493" s="2">
        <v>5</v>
      </c>
      <c r="EN493" s="2">
        <v>4</v>
      </c>
      <c r="EO493" s="2">
        <v>4</v>
      </c>
      <c r="EP493" s="2" t="s">
        <v>102</v>
      </c>
      <c r="EQ493" s="2" t="s">
        <v>102</v>
      </c>
      <c r="ER493" s="2" t="s">
        <v>102</v>
      </c>
      <c r="ES493" s="2" t="s">
        <v>102</v>
      </c>
      <c r="ET493" s="2" t="str">
        <f>HYPERLINK(".\links\REFSEQ-INVERTEBRATE\AGAP003872-PA-REFSEQ-INVERTEBRATE.txt","AGAP003872-PA")</f>
        <v>AGAP003872-PA</v>
      </c>
      <c r="EU493" s="2" t="str">
        <f>HYPERLINK("http://www.ncbi.nlm.nih.gov/sutils/blink.cgi?pid=XP_559663.4","0.0")</f>
        <v>0.0</v>
      </c>
      <c r="EV493" s="2" t="str">
        <f>HYPERLINK("http://www.ncbi.nlm.nih.gov/protein/XP_559663.4","XP_559663.4")</f>
        <v>XP_559663.4</v>
      </c>
      <c r="EW493" s="2">
        <v>100</v>
      </c>
      <c r="EX493" s="2">
        <v>100</v>
      </c>
      <c r="EY493" s="2">
        <v>100</v>
      </c>
      <c r="EZ493" s="2" t="s">
        <v>105</v>
      </c>
    </row>
    <row r="494" spans="1:156" x14ac:dyDescent="0.25">
      <c r="A494" s="2" t="s">
        <v>5179</v>
      </c>
      <c r="B494" s="2">
        <v>-0.43984038172964401</v>
      </c>
      <c r="C494" s="2">
        <f t="shared" si="7"/>
        <v>0.73721616895944564</v>
      </c>
      <c r="D494" s="2">
        <v>6.5984189725092701</v>
      </c>
      <c r="E494" s="2">
        <v>10.822317115266699</v>
      </c>
      <c r="F494" s="2">
        <v>1.00283904567583E-3</v>
      </c>
      <c r="G494" s="2">
        <v>3.2217225425839199E-2</v>
      </c>
      <c r="H494" s="2" t="s">
        <v>549</v>
      </c>
      <c r="I494" s="2" t="s">
        <v>88</v>
      </c>
      <c r="J494" s="8" t="s">
        <v>5180</v>
      </c>
      <c r="Q494" s="9"/>
      <c r="W494" s="10"/>
      <c r="AB494" s="9"/>
      <c r="AC494" s="9"/>
      <c r="AJ494" s="9"/>
      <c r="AN494" s="9"/>
      <c r="AO494" s="11"/>
      <c r="AP494" s="9"/>
      <c r="AT494" s="9"/>
      <c r="BA494" s="9"/>
      <c r="BH494" s="9"/>
      <c r="BO494" s="9"/>
      <c r="BV494" s="9"/>
      <c r="CB494" s="9"/>
      <c r="CG494" s="9"/>
      <c r="CL494" s="9"/>
      <c r="CP494" s="9"/>
      <c r="DE494" s="2" t="s">
        <v>5179</v>
      </c>
      <c r="DF494" s="2" t="s">
        <v>549</v>
      </c>
      <c r="DG494" s="2" t="s">
        <v>88</v>
      </c>
      <c r="DH494" s="8" t="s">
        <v>5180</v>
      </c>
      <c r="DI494" s="2" t="s">
        <v>115</v>
      </c>
      <c r="DJ494" s="2">
        <v>11010</v>
      </c>
      <c r="DQ494" s="2" t="s">
        <v>141</v>
      </c>
      <c r="DS494" s="2">
        <v>327548</v>
      </c>
      <c r="DT494" s="2">
        <v>7.98</v>
      </c>
      <c r="DX494" s="2">
        <v>3077</v>
      </c>
      <c r="DY494" s="12"/>
    </row>
    <row r="495" spans="1:156" x14ac:dyDescent="0.25">
      <c r="A495" s="2" t="s">
        <v>5181</v>
      </c>
      <c r="B495" s="2">
        <v>-0.44080811861175401</v>
      </c>
      <c r="C495" s="2">
        <f t="shared" si="7"/>
        <v>0.736721821900023</v>
      </c>
      <c r="D495" s="2">
        <v>7.1834614370460796</v>
      </c>
      <c r="E495" s="2">
        <v>21.4863179032698</v>
      </c>
      <c r="F495" s="2">
        <v>3.5636223571909201E-6</v>
      </c>
      <c r="G495" s="2">
        <v>2.3412998886744299E-3</v>
      </c>
      <c r="H495" s="2" t="s">
        <v>93</v>
      </c>
      <c r="I495" s="2" t="s">
        <v>94</v>
      </c>
      <c r="J495" s="2" t="str">
        <f>HYPERLINK("https://vectorbase.org/vectorbase/app/record/gene/AGAP029237","AGAP029237-RA")</f>
        <v>AGAP029237-RA</v>
      </c>
      <c r="K495" s="2" t="str">
        <f>HYPERLINK(".\links\pep\AGAP029237-PA-pep.txt","AGAP029237-PA")</f>
        <v>AGAP029237-PA</v>
      </c>
      <c r="L495" s="12" t="s">
        <v>95</v>
      </c>
      <c r="M495" s="2">
        <v>5473</v>
      </c>
      <c r="N495" s="2">
        <v>0</v>
      </c>
      <c r="O495" s="2">
        <v>21</v>
      </c>
      <c r="P495" s="2" t="s">
        <v>102</v>
      </c>
      <c r="Q495" s="9" t="s">
        <v>854</v>
      </c>
      <c r="R495" s="2" t="s">
        <v>98</v>
      </c>
      <c r="S495" s="2" t="str">
        <f>HYPERLINK(".\links\KOG\AGAP029237-PA-KOG.txt","KOG")</f>
        <v>KOG</v>
      </c>
      <c r="T495" s="2">
        <v>0</v>
      </c>
      <c r="U495" s="2">
        <v>95.9</v>
      </c>
      <c r="V495" s="2" t="s">
        <v>5182</v>
      </c>
      <c r="W495" s="10" t="s">
        <v>5183</v>
      </c>
      <c r="X495" s="2" t="s">
        <v>1079</v>
      </c>
      <c r="Y495" s="2" t="str">
        <f>HYPERLINK(".\links\UNIPROTKB\AGAP029237-PA-UNIPROTKB.txt","UNIPROTKB")</f>
        <v>UNIPROTKB</v>
      </c>
      <c r="Z495" s="2">
        <v>0</v>
      </c>
      <c r="AA495" s="2">
        <v>46</v>
      </c>
      <c r="AB495" s="13" t="str">
        <f>HYPERLINK(".\links\pep\AGAP029237-PA-sulf.txt","2")</f>
        <v>2</v>
      </c>
      <c r="AC495" s="13" t="str">
        <f>HYPERLINK(".\links\Sigp\AGAP029237-PA-SigP.txt","CYT")</f>
        <v>CYT</v>
      </c>
      <c r="AD495" s="2" t="s">
        <v>102</v>
      </c>
      <c r="AE495" s="2">
        <v>602.86300000000006</v>
      </c>
      <c r="AF495" s="2">
        <v>6.95</v>
      </c>
      <c r="AG495" s="2" t="s">
        <v>102</v>
      </c>
      <c r="AH495" s="2" t="s">
        <v>102</v>
      </c>
      <c r="AI495" s="2" t="s">
        <v>5184</v>
      </c>
      <c r="AJ495" s="13" t="str">
        <f>HYPERLINK(".\links\tmhmm\AGAP029237-PA-tmhmm.txt","1")</f>
        <v>1</v>
      </c>
      <c r="AK495" s="2">
        <v>0.3</v>
      </c>
      <c r="AL495" s="2">
        <v>99</v>
      </c>
      <c r="AM495" s="2">
        <v>0.7</v>
      </c>
      <c r="AN495" s="9" t="str">
        <f>HYPERLINK(".\links\gpi\AGAP029237-PA-gpi.txt","N")</f>
        <v>N</v>
      </c>
      <c r="AO495" s="14" t="str">
        <f>HYPERLINK(".\links\netoglyc\AGAP029237-PA-netoglyc.txt","6")</f>
        <v>6</v>
      </c>
      <c r="AP495" s="13">
        <v>17.3</v>
      </c>
      <c r="AQ495" s="2">
        <v>6.9</v>
      </c>
      <c r="AR495" s="2">
        <v>5.9</v>
      </c>
      <c r="AS495" s="2">
        <v>0.1</v>
      </c>
      <c r="AT495" s="9" t="str">
        <f>HYPERLINK(".\links\NR-LIGHT\AGAP029237-PA-NR-LIGHT.txt","AGAP007960-PA-like protein")</f>
        <v>AGAP007960-PA-like protein</v>
      </c>
      <c r="AU495" s="2" t="str">
        <f>HYPERLINK("http://www.ncbi.nlm.nih.gov/sutils/blink.cgi?pid=KFB49612.1","0.0")</f>
        <v>0.0</v>
      </c>
      <c r="AV495" s="2" t="str">
        <f>HYPERLINK("http://www.ncbi.nlm.nih.gov/protein/KFB49612.1","KFB49612.1")</f>
        <v>KFB49612.1</v>
      </c>
      <c r="AW495" s="2">
        <v>85</v>
      </c>
      <c r="AX495" s="2">
        <v>88</v>
      </c>
      <c r="AY495" s="2">
        <v>104</v>
      </c>
      <c r="AZ495" s="2" t="s">
        <v>1522</v>
      </c>
      <c r="BA495" s="9" t="str">
        <f>HYPERLINK(".\links\REFSEQ-INVERTEBRATE\AGAP029237-PA-REFSEQ-INVERTEBRATE.txt","AGAP007960-PA")</f>
        <v>AGAP007960-PA</v>
      </c>
      <c r="BB495" s="2" t="str">
        <f>HYPERLINK("http://www.ncbi.nlm.nih.gov/sutils/blink.cgi?pid=XP_555522.3","0.0")</f>
        <v>0.0</v>
      </c>
      <c r="BC495" s="2" t="str">
        <f>HYPERLINK("http://www.ncbi.nlm.nih.gov/protein/XP_555522.3","XP_555522.3")</f>
        <v>XP_555522.3</v>
      </c>
      <c r="BD495" s="2">
        <v>97</v>
      </c>
      <c r="BE495" s="2">
        <v>97</v>
      </c>
      <c r="BF495" s="2">
        <v>84</v>
      </c>
      <c r="BG495" s="2" t="s">
        <v>105</v>
      </c>
      <c r="BH495" s="9" t="str">
        <f>HYPERLINK(".\links\REFSEQ-PROTOZOA\AGAP029237-PA-REFSEQ-PROTOZOA.txt","hypothetical protein CAOG_01942")</f>
        <v>hypothetical protein CAOG_01942</v>
      </c>
      <c r="BI495" s="2" t="str">
        <f>HYPERLINK("http://www.ncbi.nlm.nih.gov/sutils/blink.cgi?pid=XP_004364810.1","4E-057")</f>
        <v>4E-057</v>
      </c>
      <c r="BJ495" s="2" t="str">
        <f>HYPERLINK("http://www.ncbi.nlm.nih.gov/protein/XP_004364810.1","XP_004364810.1")</f>
        <v>XP_004364810.1</v>
      </c>
      <c r="BK495" s="2">
        <v>25</v>
      </c>
      <c r="BL495" s="2">
        <v>42</v>
      </c>
      <c r="BM495" s="2">
        <v>24</v>
      </c>
      <c r="BN495" s="2" t="s">
        <v>106</v>
      </c>
      <c r="BO495" s="9" t="str">
        <f>HYPERLINK(".\links\SWISSP\AGAP029237-PA-SWISSP.txt","Uncharacterized protein KIAA1109")</f>
        <v>Uncharacterized protein KIAA1109</v>
      </c>
      <c r="BP495" s="2" t="str">
        <f>HYPERLINK("http://www.uniprot.org/uniprot/Q2LD37","0.0")</f>
        <v>0.0</v>
      </c>
      <c r="BQ495" s="2" t="str">
        <f>HYPERLINK("http://www.uniprot.org/uniprot/Q2LD37#expression","Q2LD37")</f>
        <v>Q2LD37</v>
      </c>
      <c r="BR495" s="2">
        <v>35</v>
      </c>
      <c r="BS495" s="2">
        <v>51</v>
      </c>
      <c r="BT495" s="2">
        <v>49</v>
      </c>
      <c r="BU495" s="2" t="s">
        <v>127</v>
      </c>
      <c r="BV495" s="9" t="str">
        <f>HYPERLINK(".\links\FLYBASE\AGAP029237-PA-FLYBASE.txt","FBpp0293468")</f>
        <v>FBpp0293468</v>
      </c>
      <c r="BW495" s="2" t="str">
        <f>HYPERLINK("http://flybase.org/reports/FBgn0261671#alliance_summary_container","0.0")</f>
        <v>0.0</v>
      </c>
      <c r="BX495" s="2">
        <v>5116</v>
      </c>
      <c r="BY495" s="2">
        <v>55</v>
      </c>
      <c r="BZ495" s="2">
        <v>67</v>
      </c>
      <c r="CA495" s="2">
        <v>63</v>
      </c>
      <c r="CB495" s="9" t="str">
        <f>HYPERLINK(".\links\CDD\AGAP029237-PA-CDD.txt","FSA_C, Fragile site-associated protein C-terminus")</f>
        <v>FSA_C, Fragile site-associated protein C-terminus</v>
      </c>
      <c r="CC495" s="15">
        <v>0</v>
      </c>
      <c r="CD495" s="2">
        <v>101.7</v>
      </c>
      <c r="CE495" s="2" t="s">
        <v>5185</v>
      </c>
      <c r="CF495" s="2" t="s">
        <v>5186</v>
      </c>
      <c r="CG495" s="9" t="str">
        <f>HYPERLINK(".\links\KOG\AGAP029237-PA-KOG.txt","Uncharacterized conserved protein")</f>
        <v>Uncharacterized conserved protein</v>
      </c>
      <c r="CH495" s="15">
        <v>0</v>
      </c>
      <c r="CI495" s="2">
        <v>95.9</v>
      </c>
      <c r="CJ495" s="2" t="s">
        <v>5187</v>
      </c>
      <c r="CK495" s="2" t="s">
        <v>284</v>
      </c>
      <c r="CL495" s="9" t="str">
        <f>HYPERLINK(".\links\PFAM\AGAP029237-PA-PFAM.txt","FSA_C, Fragile site-associated protein C-terminus")</f>
        <v>FSA_C, Fragile site-associated protein C-terminus</v>
      </c>
      <c r="CM495" s="15">
        <v>0</v>
      </c>
      <c r="CN495" s="2">
        <v>101.7</v>
      </c>
      <c r="CO495" s="2" t="s">
        <v>5185</v>
      </c>
      <c r="CP495" s="9" t="str">
        <f>HYPERLINK(".\links\SMART\AGAP029237-PA-SMART.txt","Amelogenin, Amelogenins, cell adhesion proteins, play a role in the biomineralisation of teeth")</f>
        <v>Amelogenin, Amelogenins, cell adhesion proteins, play a role in the biomineralisation of teeth</v>
      </c>
      <c r="CQ495" s="15">
        <v>5.1999999999999998E-2</v>
      </c>
      <c r="CR495" s="2">
        <v>49.7</v>
      </c>
      <c r="CS495" s="2" t="s">
        <v>311</v>
      </c>
      <c r="CT495" s="2" t="s">
        <v>5182</v>
      </c>
      <c r="CU495" s="2" t="s">
        <v>5182</v>
      </c>
      <c r="CV495" s="2" t="s">
        <v>5182</v>
      </c>
      <c r="CW495" s="2" t="str">
        <f>HYPERLINK(".\links\pep\AGAP029237-PA-pep.txt","AGAP029237-PA")</f>
        <v>AGAP029237-PA</v>
      </c>
      <c r="CX495" s="2" t="s">
        <v>95</v>
      </c>
      <c r="CY495" s="2">
        <v>5473</v>
      </c>
      <c r="CZ495" s="2" t="s">
        <v>113</v>
      </c>
      <c r="DA495" s="2" t="s">
        <v>5188</v>
      </c>
      <c r="DB495" s="2">
        <v>0</v>
      </c>
      <c r="DC495" s="2">
        <v>21</v>
      </c>
      <c r="DD495" s="2" t="str">
        <f>HYPERLINK("https://www.kegg.jp/kegg-bin/search_pathway_text?map=aga&amp;keyword=AGAP029237&amp;mode=1&amp;viewImage=true","AGAP029237")</f>
        <v>AGAP029237</v>
      </c>
      <c r="DE495" s="2" t="s">
        <v>5181</v>
      </c>
      <c r="DF495" s="2" t="s">
        <v>93</v>
      </c>
      <c r="DG495" s="2" t="s">
        <v>94</v>
      </c>
      <c r="DH495" s="2" t="str">
        <f>HYPERLINK("https://vectorbase.org/vectorbase/app/record/gene/AGAP029237","AGAP029237-RA")</f>
        <v>AGAP029237-RA</v>
      </c>
      <c r="DI495" s="2" t="s">
        <v>90</v>
      </c>
      <c r="DJ495" s="2">
        <v>17400</v>
      </c>
      <c r="DK495" s="2" t="str">
        <f>HYPERLINK(".\links\netoglyc\AGAP029237-PA-netoglyc.txt","6")</f>
        <v>6</v>
      </c>
      <c r="DL495" s="2">
        <v>17.3</v>
      </c>
      <c r="DM495" s="2">
        <v>6.9</v>
      </c>
      <c r="DN495" s="2">
        <v>5.9</v>
      </c>
      <c r="DO495" s="2">
        <v>0.1</v>
      </c>
      <c r="DP495" s="2" t="s">
        <v>102</v>
      </c>
      <c r="DQ495" s="2" t="str">
        <f>HYPERLINK(".\links\Sigp\AGAP029237-PA-SigP.txt","CYT")</f>
        <v>CYT</v>
      </c>
      <c r="DR495" s="2" t="s">
        <v>102</v>
      </c>
      <c r="DS495" s="2">
        <v>602.86300000000006</v>
      </c>
      <c r="DT495" s="2">
        <v>6.95</v>
      </c>
      <c r="DU495" s="2" t="s">
        <v>102</v>
      </c>
      <c r="DV495" s="2" t="s">
        <v>102</v>
      </c>
      <c r="DW495" s="2" t="s">
        <v>5184</v>
      </c>
      <c r="DX495" s="2">
        <v>5473</v>
      </c>
      <c r="DY495" s="12" t="str">
        <f>HYPERLINK(".\links\tmhmm\AGAP029237-PA-tmhmm.txt","1")</f>
        <v>1</v>
      </c>
      <c r="DZ495" s="2">
        <v>0.3</v>
      </c>
      <c r="EA495" s="2">
        <v>99</v>
      </c>
      <c r="EB495" s="2">
        <v>0.7</v>
      </c>
      <c r="EC495" s="2" t="str">
        <f>HYPERLINK(".\links\gpi\AGAP029237-PA-gpi.txt","N")</f>
        <v>N</v>
      </c>
      <c r="ED495" s="2">
        <v>0.12</v>
      </c>
      <c r="EF495" s="2">
        <v>67</v>
      </c>
      <c r="EG495" s="2" t="str">
        <f>HYPERLINK(".\links\pep\AGAP029237-PA-sulf.txt","2")</f>
        <v>2</v>
      </c>
      <c r="EH495" s="2" t="s">
        <v>102</v>
      </c>
      <c r="EI495" s="2">
        <v>17.284852914306601</v>
      </c>
      <c r="EJ495" s="2">
        <v>5.91997076557647</v>
      </c>
      <c r="EK495" s="2">
        <v>6.9431755892563496</v>
      </c>
      <c r="EL495" s="2">
        <v>12.8631463548328</v>
      </c>
      <c r="EM495" s="2">
        <v>6</v>
      </c>
      <c r="EN495" s="2">
        <v>13</v>
      </c>
      <c r="EO495" s="2">
        <v>14</v>
      </c>
      <c r="EP495" s="2" t="s">
        <v>102</v>
      </c>
      <c r="EQ495" s="2" t="s">
        <v>102</v>
      </c>
      <c r="ER495" s="2" t="s">
        <v>102</v>
      </c>
      <c r="ES495" s="2" t="s">
        <v>102</v>
      </c>
      <c r="ET495" s="2" t="str">
        <f>HYPERLINK(".\links\REFSEQ-INVERTEBRATE\AGAP029237-PA-REFSEQ-INVERTEBRATE.txt","transmembrane protein KIAA1109")</f>
        <v>transmembrane protein KIAA1109</v>
      </c>
      <c r="EU495" s="2" t="str">
        <f>HYPERLINK("http://www.ncbi.nlm.nih.gov/sutils/blink.cgi?pid=XP_035916125.1","0.0")</f>
        <v>0.0</v>
      </c>
      <c r="EV495" s="2" t="str">
        <f>HYPERLINK("http://www.ncbi.nlm.nih.gov/protein/XP_035916125.1","XP_035916125.1")</f>
        <v>XP_035916125.1</v>
      </c>
      <c r="EW495" s="2">
        <v>91</v>
      </c>
      <c r="EX495" s="2">
        <v>93</v>
      </c>
      <c r="EY495" s="2">
        <v>101</v>
      </c>
      <c r="EZ495" s="2" t="s">
        <v>370</v>
      </c>
    </row>
    <row r="496" spans="1:156" x14ac:dyDescent="0.25">
      <c r="A496" s="2" t="s">
        <v>5189</v>
      </c>
      <c r="B496" s="2">
        <v>-0.44536422326528102</v>
      </c>
      <c r="C496" s="2">
        <f t="shared" si="7"/>
        <v>0.73439888664842934</v>
      </c>
      <c r="D496" s="2">
        <v>6.9466743025029096</v>
      </c>
      <c r="E496" s="2">
        <v>9.4007970521897306</v>
      </c>
      <c r="F496" s="2">
        <v>2.1689113372340401E-3</v>
      </c>
      <c r="G496" s="2">
        <v>4.4881046827527402E-2</v>
      </c>
      <c r="H496" s="2" t="s">
        <v>5190</v>
      </c>
      <c r="I496" s="2" t="s">
        <v>94</v>
      </c>
      <c r="J496" s="2" t="str">
        <f>HYPERLINK("https://vectorbase.org/vectorbase/app/record/gene/AGAP002741","AGAP002741-RA")</f>
        <v>AGAP002741-RA</v>
      </c>
      <c r="K496" s="2" t="str">
        <f>HYPERLINK(".\links\pep\AGAP002741-PA-pep.txt","AGAP002741-PA")</f>
        <v>AGAP002741-PA</v>
      </c>
      <c r="L496" s="12" t="s">
        <v>95</v>
      </c>
      <c r="M496" s="2">
        <v>4901</v>
      </c>
      <c r="N496" s="2">
        <v>0</v>
      </c>
      <c r="O496" s="2">
        <v>7</v>
      </c>
      <c r="P496" s="2" t="s">
        <v>5191</v>
      </c>
      <c r="Q496" s="9" t="s">
        <v>5192</v>
      </c>
      <c r="R496" s="2" t="s">
        <v>388</v>
      </c>
      <c r="S496" s="2" t="str">
        <f>HYPERLINK(".\links\KOG\AGAP002741-PA-KOG.txt","KOG")</f>
        <v>KOG</v>
      </c>
      <c r="T496" s="2">
        <v>8.0000000000000002E-54</v>
      </c>
      <c r="U496" s="2">
        <v>35.9</v>
      </c>
      <c r="V496" s="2" t="s">
        <v>5193</v>
      </c>
      <c r="W496" s="10" t="s">
        <v>5194</v>
      </c>
      <c r="X496" s="2" t="s">
        <v>388</v>
      </c>
      <c r="Y496" s="2" t="str">
        <f>HYPERLINK(".\links\REFSEQVERTEBRATE95\AGAP002741-PA-REFSEQVERTEBRATE95.txt","REFSEQVERTEBRATE95")</f>
        <v>REFSEQVERTEBRATE95</v>
      </c>
      <c r="Z496" s="2">
        <v>0</v>
      </c>
      <c r="AA496" s="2">
        <v>100.5</v>
      </c>
      <c r="AB496" s="13" t="str">
        <f>HYPERLINK(".\links\pep\AGAP002741-PA-sulf.txt","7")</f>
        <v>7</v>
      </c>
      <c r="AC496" s="13" t="str">
        <f>HYPERLINK(".\links\Sigp\AGAP002741-PA-SigP.txt","CYT")</f>
        <v>CYT</v>
      </c>
      <c r="AD496" s="2" t="s">
        <v>102</v>
      </c>
      <c r="AE496" s="2">
        <v>516.74199999999996</v>
      </c>
      <c r="AF496" s="2">
        <v>6.08</v>
      </c>
      <c r="AG496" s="2" t="s">
        <v>102</v>
      </c>
      <c r="AH496" s="2" t="s">
        <v>102</v>
      </c>
      <c r="AI496" s="2" t="s">
        <v>5195</v>
      </c>
      <c r="AJ496" s="13">
        <v>0</v>
      </c>
      <c r="AK496" s="2" t="s">
        <v>102</v>
      </c>
      <c r="AL496" s="2" t="s">
        <v>102</v>
      </c>
      <c r="AM496" s="2" t="s">
        <v>102</v>
      </c>
      <c r="AN496" s="13" t="str">
        <f>HYPERLINK(".\links\gpi\AGAP002741-PA-gpi.txt","N")</f>
        <v>N</v>
      </c>
      <c r="AO496" s="14" t="str">
        <f>HYPERLINK(".\links\netoglyc\AGAP002741-PA-netoglyc.txt","29")</f>
        <v>29</v>
      </c>
      <c r="AP496" s="13">
        <v>18.600000000000001</v>
      </c>
      <c r="AQ496" s="2">
        <v>8.5</v>
      </c>
      <c r="AR496" s="2">
        <v>6.3</v>
      </c>
      <c r="AS496" s="2">
        <v>0.1</v>
      </c>
      <c r="AT496" s="9" t="str">
        <f>HYPERLINK(".\links\NR-LIGHT\AGAP002741-PA-NR-LIGHT.txt","AGAP002741-PA")</f>
        <v>AGAP002741-PA</v>
      </c>
      <c r="AU496" s="2" t="str">
        <f>HYPERLINK("http://www.ncbi.nlm.nih.gov/sutils/blink.cgi?pid=XP_563394.4","0.0")</f>
        <v>0.0</v>
      </c>
      <c r="AV496" s="2" t="str">
        <f>HYPERLINK("http://www.ncbi.nlm.nih.gov/protein/XP_563394.4","XP_563394.4")</f>
        <v>XP_563394.4</v>
      </c>
      <c r="AW496" s="2">
        <v>99</v>
      </c>
      <c r="AX496" s="2">
        <v>99</v>
      </c>
      <c r="AY496" s="2">
        <v>100</v>
      </c>
      <c r="AZ496" s="2" t="s">
        <v>105</v>
      </c>
      <c r="BA496" s="9" t="str">
        <f>HYPERLINK(".\links\REFSEQ-INVERTEBRATE\AGAP002741-PA-REFSEQ-INVERTEBRATE.txt","AGAP002741-PA")</f>
        <v>AGAP002741-PA</v>
      </c>
      <c r="BB496" s="2" t="str">
        <f>HYPERLINK("http://www.ncbi.nlm.nih.gov/sutils/blink.cgi?pid=XP_563394.4","0.0")</f>
        <v>0.0</v>
      </c>
      <c r="BC496" s="2" t="str">
        <f>HYPERLINK("http://www.ncbi.nlm.nih.gov/protein/XP_563394.4","XP_563394.4")</f>
        <v>XP_563394.4</v>
      </c>
      <c r="BD496" s="2">
        <v>99</v>
      </c>
      <c r="BE496" s="2">
        <v>99</v>
      </c>
      <c r="BF496" s="2">
        <v>100</v>
      </c>
      <c r="BG496" s="2" t="s">
        <v>105</v>
      </c>
      <c r="BH496" s="9" t="str">
        <f>HYPERLINK(".\links\REFSEQ-PROTOZOA\AGAP002741-PA-REFSEQ-PROTOZOA.txt","proteophosphoglycan 5")</f>
        <v>proteophosphoglycan 5</v>
      </c>
      <c r="BI496" s="2" t="str">
        <f>HYPERLINK("http://www.ncbi.nlm.nih.gov/sutils/blink.cgi?pid=XP_003722449.1","7E-056")</f>
        <v>7E-056</v>
      </c>
      <c r="BJ496" s="2" t="str">
        <f>HYPERLINK("http://www.ncbi.nlm.nih.gov/protein/XP_003722449.1","XP_003722449.1")</f>
        <v>XP_003722449.1</v>
      </c>
      <c r="BK496" s="2">
        <v>18</v>
      </c>
      <c r="BL496" s="2">
        <v>36</v>
      </c>
      <c r="BM496" s="2">
        <v>9</v>
      </c>
      <c r="BN496" s="2" t="s">
        <v>3969</v>
      </c>
      <c r="BO496" s="9" t="str">
        <f>HYPERLINK(".\links\SWISSP\AGAP002741-PA-SWISSP.txt","Histone-lysine N-methyltransferase trithorax")</f>
        <v>Histone-lysine N-methyltransferase trithorax</v>
      </c>
      <c r="BP496" s="2" t="str">
        <f>HYPERLINK("http://www.uniprot.org/uniprot/P20659","0.0")</f>
        <v>0.0</v>
      </c>
      <c r="BQ496" s="2" t="str">
        <f>HYPERLINK("http://www.uniprot.org/uniprot/P20659#expression","P20659")</f>
        <v>P20659</v>
      </c>
      <c r="BR496" s="2">
        <v>32</v>
      </c>
      <c r="BS496" s="2">
        <v>45</v>
      </c>
      <c r="BT496" s="2">
        <v>74</v>
      </c>
      <c r="BU496" s="2" t="s">
        <v>107</v>
      </c>
      <c r="BV496" s="9" t="str">
        <f>HYPERLINK(".\links\FLYBASE\AGAP002741-PA-FLYBASE.txt","FBpp0099668")</f>
        <v>FBpp0099668</v>
      </c>
      <c r="BW496" s="2" t="str">
        <f>HYPERLINK("http://flybase.org/reports/FBgn0003862#alliance_summary_container","0.0")</f>
        <v>0.0</v>
      </c>
      <c r="BX496" s="2">
        <v>3358</v>
      </c>
      <c r="BY496" s="2">
        <v>50</v>
      </c>
      <c r="BZ496" s="2">
        <v>64</v>
      </c>
      <c r="CA496" s="2">
        <v>28</v>
      </c>
      <c r="CB496" s="9" t="str">
        <f>HYPERLINK(".\links\CDD\AGAP002741-PA-CDD.txt","ePHD_KMT2A_like, Extended PHD finger found in histone-lysine N-methyltransferase 2A (KMT2A) and 2B (KMT2B)")</f>
        <v>ePHD_KMT2A_like, Extended PHD finger found in histone-lysine N-methyltransferase 2A (KMT2A) and 2B (KMT2B)</v>
      </c>
      <c r="CC496" s="15">
        <v>6E-51</v>
      </c>
      <c r="CD496" s="2">
        <v>100</v>
      </c>
      <c r="CE496" s="2" t="s">
        <v>5196</v>
      </c>
      <c r="CF496" s="2" t="s">
        <v>5197</v>
      </c>
      <c r="CG496" s="9" t="str">
        <f>HYPERLINK(".\links\KOG\AGAP002741-PA-KOG.txt","subunit SET1 and related methyltransferases")</f>
        <v>subunit SET1 and related methyltransferases</v>
      </c>
      <c r="CH496" s="15">
        <v>8.0000000000000002E-54</v>
      </c>
      <c r="CI496" s="2">
        <v>35.9</v>
      </c>
      <c r="CJ496" s="2" t="s">
        <v>5198</v>
      </c>
      <c r="CK496" s="2" t="s">
        <v>629</v>
      </c>
      <c r="CL496" s="9" t="str">
        <f>HYPERLINK(".\links\PFAM\AGAP002741-PA-PFAM.txt","SET, SET domain")</f>
        <v>SET, SET domain</v>
      </c>
      <c r="CM496" s="15">
        <v>3E-32</v>
      </c>
      <c r="CN496" s="2">
        <v>99.1</v>
      </c>
      <c r="CO496" s="2" t="s">
        <v>1318</v>
      </c>
      <c r="CP496" s="9" t="str">
        <f>HYPERLINK(".\links\SMART\AGAP002741-PA-SMART.txt","SET, SET (Su(var)3-9, Enhancer-of-zeste, Trithorax) domain")</f>
        <v>SET, SET (Su(var)3-9, Enhancer-of-zeste, Trithorax) domain</v>
      </c>
      <c r="CQ496" s="15">
        <v>9.9999999999999995E-45</v>
      </c>
      <c r="CR496" s="2">
        <v>99.2</v>
      </c>
      <c r="CS496" s="2" t="s">
        <v>487</v>
      </c>
      <c r="CT496" s="2" t="s">
        <v>5193</v>
      </c>
      <c r="CU496" s="2" t="s">
        <v>5193</v>
      </c>
      <c r="CV496" s="2" t="s">
        <v>5193</v>
      </c>
      <c r="CW496" s="2" t="str">
        <f>HYPERLINK(".\links\pep\AGAP002741-PA-pep.txt","AGAP002741-PA")</f>
        <v>AGAP002741-PA</v>
      </c>
      <c r="CX496" s="2" t="s">
        <v>95</v>
      </c>
      <c r="CY496" s="2">
        <v>4901</v>
      </c>
      <c r="CZ496" s="2" t="s">
        <v>113</v>
      </c>
      <c r="DA496" s="2" t="s">
        <v>5199</v>
      </c>
      <c r="DB496" s="2">
        <v>0</v>
      </c>
      <c r="DC496" s="2">
        <v>7</v>
      </c>
      <c r="DD496" s="2" t="str">
        <f>HYPERLINK("https://www.kegg.jp/kegg-bin/search_pathway_text?map=aga&amp;keyword=AGAP002741&amp;mode=1&amp;viewImage=true","AGAP002741")</f>
        <v>AGAP002741</v>
      </c>
      <c r="DE496" s="2" t="s">
        <v>5189</v>
      </c>
      <c r="DF496" s="2" t="s">
        <v>5190</v>
      </c>
      <c r="DG496" s="2" t="s">
        <v>94</v>
      </c>
      <c r="DH496" s="2" t="str">
        <f>HYPERLINK("https://vectorbase.org/vectorbase/app/record/gene/AGAP002741","AGAP002741-RA")</f>
        <v>AGAP002741-RA</v>
      </c>
      <c r="DI496" s="2" t="s">
        <v>90</v>
      </c>
      <c r="DJ496" s="2">
        <v>19891</v>
      </c>
      <c r="DK496" s="2" t="str">
        <f>HYPERLINK(".\links\netoglyc\AGAP002741-PA-netoglyc.txt","29")</f>
        <v>29</v>
      </c>
      <c r="DL496" s="2">
        <v>18.600000000000001</v>
      </c>
      <c r="DM496" s="2">
        <v>8.5</v>
      </c>
      <c r="DN496" s="2">
        <v>6.3</v>
      </c>
      <c r="DO496" s="2">
        <v>0.1</v>
      </c>
      <c r="DP496" s="2" t="s">
        <v>102</v>
      </c>
      <c r="DQ496" s="2" t="str">
        <f>HYPERLINK(".\links\Sigp\AGAP002741-PA-SigP.txt","CYT")</f>
        <v>CYT</v>
      </c>
      <c r="DR496" s="2" t="s">
        <v>102</v>
      </c>
      <c r="DS496" s="2">
        <v>516.74199999999996</v>
      </c>
      <c r="DT496" s="2">
        <v>6.08</v>
      </c>
      <c r="DU496" s="2" t="s">
        <v>102</v>
      </c>
      <c r="DV496" s="2" t="s">
        <v>102</v>
      </c>
      <c r="DW496" s="2" t="s">
        <v>5195</v>
      </c>
      <c r="DX496" s="2">
        <v>4901</v>
      </c>
      <c r="DY496" s="12">
        <v>0</v>
      </c>
      <c r="DZ496" s="2" t="s">
        <v>102</v>
      </c>
      <c r="EA496" s="2" t="s">
        <v>102</v>
      </c>
      <c r="EB496" s="2" t="s">
        <v>102</v>
      </c>
      <c r="EC496" s="2" t="str">
        <f>HYPERLINK(".\links\gpi\AGAP002741-PA-gpi.txt","N")</f>
        <v>N</v>
      </c>
      <c r="ED496" s="2">
        <v>0.28000000000000003</v>
      </c>
      <c r="EF496" s="2">
        <v>96</v>
      </c>
      <c r="EG496" s="2" t="str">
        <f>HYPERLINK(".\links\pep\AGAP002741-PA-sulf.txt","7")</f>
        <v>7</v>
      </c>
      <c r="EH496" s="2" t="s">
        <v>102</v>
      </c>
      <c r="EI496" s="2">
        <v>18.628851254846001</v>
      </c>
      <c r="EJ496" s="2">
        <v>6.3456437461742503</v>
      </c>
      <c r="EK496" s="2">
        <v>8.5084676596612905</v>
      </c>
      <c r="EL496" s="2">
        <v>14.8541114058355</v>
      </c>
      <c r="EM496" s="2">
        <v>8</v>
      </c>
      <c r="EN496" s="2">
        <v>7</v>
      </c>
      <c r="EO496" s="2">
        <v>8</v>
      </c>
      <c r="EP496" s="2" t="s">
        <v>102</v>
      </c>
      <c r="EQ496" s="2" t="s">
        <v>102</v>
      </c>
      <c r="ER496" s="2" t="s">
        <v>102</v>
      </c>
      <c r="ES496" s="2" t="s">
        <v>102</v>
      </c>
      <c r="ET496" s="2" t="str">
        <f>HYPERLINK(".\links\REFSEQ-INVERTEBRATE\AGAP002741-PA-REFSEQ-INVERTEBRATE.txt","AGAP002741-PA")</f>
        <v>AGAP002741-PA</v>
      </c>
      <c r="EU496" s="2" t="str">
        <f>HYPERLINK("http://www.ncbi.nlm.nih.gov/sutils/blink.cgi?pid=XP_563394.4","0.0")</f>
        <v>0.0</v>
      </c>
      <c r="EV496" s="2" t="str">
        <f>HYPERLINK("http://www.ncbi.nlm.nih.gov/protein/XP_563394.4","XP_563394.4")</f>
        <v>XP_563394.4</v>
      </c>
      <c r="EW496" s="2">
        <v>99</v>
      </c>
      <c r="EX496" s="2">
        <v>99</v>
      </c>
      <c r="EY496" s="2">
        <v>100</v>
      </c>
      <c r="EZ496" s="2" t="s">
        <v>105</v>
      </c>
    </row>
    <row r="497" spans="1:156" x14ac:dyDescent="0.25">
      <c r="A497" s="2" t="s">
        <v>5200</v>
      </c>
      <c r="B497" s="2">
        <v>-0.44752192789379802</v>
      </c>
      <c r="C497" s="2">
        <f t="shared" si="7"/>
        <v>0.73330133557813926</v>
      </c>
      <c r="D497" s="2">
        <v>7.0776442070669097</v>
      </c>
      <c r="E497" s="2">
        <v>25.6135557351773</v>
      </c>
      <c r="F497" s="2">
        <v>4.1709893668678501E-7</v>
      </c>
      <c r="G497" s="2">
        <v>4.4142429629731198E-4</v>
      </c>
      <c r="H497" s="2" t="s">
        <v>5201</v>
      </c>
      <c r="I497" s="2" t="s">
        <v>88</v>
      </c>
      <c r="J497" s="8" t="s">
        <v>5202</v>
      </c>
      <c r="Q497" s="9"/>
      <c r="W497" s="10"/>
      <c r="AB497" s="9"/>
      <c r="AC497" s="9"/>
      <c r="AJ497" s="9"/>
      <c r="AN497" s="9"/>
      <c r="AO497" s="11"/>
      <c r="AP497" s="9"/>
      <c r="AT497" s="9"/>
      <c r="BA497" s="9"/>
      <c r="BH497" s="9"/>
      <c r="BO497" s="9"/>
      <c r="BV497" s="9"/>
      <c r="CB497" s="9"/>
      <c r="CG497" s="9"/>
      <c r="CL497" s="9"/>
      <c r="CP497" s="9"/>
      <c r="DE497" s="2" t="s">
        <v>5200</v>
      </c>
      <c r="DF497" s="2" t="s">
        <v>5201</v>
      </c>
      <c r="DG497" s="2" t="s">
        <v>88</v>
      </c>
      <c r="DH497" s="8" t="s">
        <v>5202</v>
      </c>
      <c r="DI497" s="2" t="s">
        <v>90</v>
      </c>
      <c r="DJ497" s="2">
        <v>9823</v>
      </c>
      <c r="DQ497" s="2" t="s">
        <v>141</v>
      </c>
      <c r="DS497" s="2">
        <v>150528</v>
      </c>
      <c r="DT497" s="2">
        <v>9.2200000000000006</v>
      </c>
      <c r="DX497" s="2">
        <v>1454</v>
      </c>
      <c r="DY497" s="12"/>
    </row>
    <row r="498" spans="1:156" x14ac:dyDescent="0.25">
      <c r="A498" s="2" t="s">
        <v>5203</v>
      </c>
      <c r="B498" s="2">
        <v>-0.450828613562964</v>
      </c>
      <c r="C498" s="2">
        <f t="shared" si="7"/>
        <v>0.73162251903737185</v>
      </c>
      <c r="D498" s="2">
        <v>4.8288684067524397</v>
      </c>
      <c r="E498" s="2">
        <v>14.3836718988667</v>
      </c>
      <c r="F498" s="2">
        <v>1.4908949711252601E-4</v>
      </c>
      <c r="G498" s="2">
        <v>1.33570635822177E-2</v>
      </c>
      <c r="H498" s="2" t="s">
        <v>242</v>
      </c>
      <c r="I498" s="2" t="s">
        <v>94</v>
      </c>
      <c r="J498" s="2" t="str">
        <f>HYPERLINK("https://vectorbase.org/vectorbase/app/record/gene/AGAP001027","AGAP001027-RA")</f>
        <v>AGAP001027-RA</v>
      </c>
      <c r="K498" s="2" t="str">
        <f>HYPERLINK(".\links\pep\AGAP001027-PA-pep.txt","AGAP001027-PA")</f>
        <v>AGAP001027-PA</v>
      </c>
      <c r="L498" s="12" t="s">
        <v>95</v>
      </c>
      <c r="M498" s="2">
        <v>519</v>
      </c>
      <c r="N498" s="2">
        <v>0</v>
      </c>
      <c r="O498" s="2">
        <v>1</v>
      </c>
      <c r="P498" s="2" t="s">
        <v>243</v>
      </c>
      <c r="Q498" s="9" t="s">
        <v>244</v>
      </c>
      <c r="R498" s="2" t="s">
        <v>167</v>
      </c>
      <c r="S498" s="2" t="str">
        <f>HYPERLINK(".\links\CDD\AGAP001027-PA-CDD.txt","CDD")</f>
        <v>CDD</v>
      </c>
      <c r="T498" s="2">
        <v>9.9999999999999994E-68</v>
      </c>
      <c r="U498" s="2">
        <v>85.6</v>
      </c>
      <c r="V498" s="2" t="s">
        <v>5204</v>
      </c>
      <c r="W498" s="10" t="s">
        <v>246</v>
      </c>
      <c r="X498" s="2" t="s">
        <v>167</v>
      </c>
      <c r="Y498" s="2" t="str">
        <f>HYPERLINK(".\links\REFSEQVERTEBRATE95\AGAP001027-PA-REFSEQVERTEBRATE95.txt","REFSEQVERTEBRATE95")</f>
        <v>REFSEQVERTEBRATE95</v>
      </c>
      <c r="Z498" s="2">
        <v>0</v>
      </c>
      <c r="AA498" s="2">
        <v>85.5</v>
      </c>
      <c r="AB498" s="13" t="str">
        <f>HYPERLINK(".\links\pep\AGAP001027-PA-sulf.txt","1")</f>
        <v>1</v>
      </c>
      <c r="AC498" s="13" t="str">
        <f>HYPERLINK(".\links\Sigp\AGAP001027-PA-SigP.txt","CYT")</f>
        <v>CYT</v>
      </c>
      <c r="AD498" s="2" t="s">
        <v>102</v>
      </c>
      <c r="AE498" s="2">
        <v>55.814999999999998</v>
      </c>
      <c r="AF498" s="2">
        <v>5.05</v>
      </c>
      <c r="AG498" s="2" t="s">
        <v>102</v>
      </c>
      <c r="AH498" s="2" t="s">
        <v>102</v>
      </c>
      <c r="AI498" s="2" t="s">
        <v>5205</v>
      </c>
      <c r="AJ498" s="13" t="str">
        <f>HYPERLINK(".\links\tmhmm\AGAP001027-PA-tmhmm.txt","12")</f>
        <v>12</v>
      </c>
      <c r="AK498" s="2">
        <v>49.7</v>
      </c>
      <c r="AL498" s="2">
        <v>14.3</v>
      </c>
      <c r="AM498" s="2">
        <v>36</v>
      </c>
      <c r="AN498" s="13" t="str">
        <f>HYPERLINK(".\links\gpi\AGAP001027-PA-gpi.txt","N")</f>
        <v>N</v>
      </c>
      <c r="AO498" s="14" t="str">
        <f>HYPERLINK(".\links\netoglyc\AGAP001027-PA-netoglyc.txt","1")</f>
        <v>1</v>
      </c>
      <c r="AP498" s="13">
        <v>9.4</v>
      </c>
      <c r="AQ498" s="2">
        <v>9.1999999999999993</v>
      </c>
      <c r="AR498" s="2">
        <v>4.5999999999999996</v>
      </c>
      <c r="AS498" s="2" t="s">
        <v>104</v>
      </c>
      <c r="AT498" s="9" t="str">
        <f>HYPERLINK(".\links\NR-LIGHT\AGAP001027-PA-NR-LIGHT.txt","AGAP001027-PA")</f>
        <v>AGAP001027-PA</v>
      </c>
      <c r="AU498" s="2" t="str">
        <f>HYPERLINK("http://www.ncbi.nlm.nih.gov/sutils/blink.cgi?pid=XP_309223.5","0.0")</f>
        <v>0.0</v>
      </c>
      <c r="AV498" s="2" t="str">
        <f>HYPERLINK("http://www.ncbi.nlm.nih.gov/protein/XP_309223.5","XP_309223.5")</f>
        <v>XP_309223.5</v>
      </c>
      <c r="AW498" s="2">
        <v>100</v>
      </c>
      <c r="AX498" s="2">
        <v>100</v>
      </c>
      <c r="AY498" s="2">
        <v>100</v>
      </c>
      <c r="AZ498" s="2" t="s">
        <v>105</v>
      </c>
      <c r="BA498" s="9" t="str">
        <f>HYPERLINK(".\links\REFSEQ-INVERTEBRATE\AGAP001027-PA-REFSEQ-INVERTEBRATE.txt","AGAP001027-PA")</f>
        <v>AGAP001027-PA</v>
      </c>
      <c r="BB498" s="2" t="str">
        <f>HYPERLINK("http://www.ncbi.nlm.nih.gov/sutils/blink.cgi?pid=XP_309223.5","0.0")</f>
        <v>0.0</v>
      </c>
      <c r="BC498" s="2" t="str">
        <f>HYPERLINK("http://www.ncbi.nlm.nih.gov/protein/XP_309223.5","XP_309223.5")</f>
        <v>XP_309223.5</v>
      </c>
      <c r="BD498" s="2">
        <v>100</v>
      </c>
      <c r="BE498" s="2">
        <v>100</v>
      </c>
      <c r="BF498" s="2">
        <v>100</v>
      </c>
      <c r="BG498" s="2" t="s">
        <v>105</v>
      </c>
      <c r="BH498" s="9" t="str">
        <f>HYPERLINK(".\links\REFSEQ-PROTOZOA\AGAP001027-PA-REFSEQ-PROTOZOA.txt","hypothetical protein")</f>
        <v>hypothetical protein</v>
      </c>
      <c r="BI498" s="2" t="str">
        <f>HYPERLINK("http://www.ncbi.nlm.nih.gov/sutils/blink.cgi?pid=XP_001748408.1","8E-080")</f>
        <v>8E-080</v>
      </c>
      <c r="BJ498" s="2" t="str">
        <f>HYPERLINK("http://www.ncbi.nlm.nih.gov/protein/XP_001748408.1","XP_001748408.1")</f>
        <v>XP_001748408.1</v>
      </c>
      <c r="BK498" s="2">
        <v>38</v>
      </c>
      <c r="BL498" s="2">
        <v>58</v>
      </c>
      <c r="BM498" s="2">
        <v>88</v>
      </c>
      <c r="BN498" s="2" t="s">
        <v>248</v>
      </c>
      <c r="BO498" s="9" t="str">
        <f>HYPERLINK(".\links\SWISSP\AGAP001027-PA-SWISSP.txt","Facilitated trehalose transporter Tret1")</f>
        <v>Facilitated trehalose transporter Tret1</v>
      </c>
      <c r="BP498" s="2" t="str">
        <f>HYPERLINK("http://www.uniprot.org/uniprot/Q7PIR5","5E-086")</f>
        <v>5E-086</v>
      </c>
      <c r="BQ498" s="2" t="str">
        <f>HYPERLINK("http://www.uniprot.org/uniprot/Q7PIR5#expression","Q7PIR5")</f>
        <v>Q7PIR5</v>
      </c>
      <c r="BR498" s="2">
        <v>37</v>
      </c>
      <c r="BS498" s="2">
        <v>58</v>
      </c>
      <c r="BT498" s="2">
        <v>56</v>
      </c>
      <c r="BU498" s="2" t="s">
        <v>249</v>
      </c>
      <c r="BV498" s="9" t="str">
        <f>HYPERLINK(".\links\FLYBASE\AGAP001027-PA-FLYBASE.txt","FBpp0075674")</f>
        <v>FBpp0075674</v>
      </c>
      <c r="BW498" s="2" t="str">
        <f>HYPERLINK("http://flybase.org/reports/FBgn0036316#alliance_summary_container","0.0")</f>
        <v>0.0</v>
      </c>
      <c r="BX498" s="2">
        <v>539</v>
      </c>
      <c r="BY498" s="2">
        <v>54</v>
      </c>
      <c r="BZ498" s="2">
        <v>70</v>
      </c>
      <c r="CA498" s="2">
        <v>94</v>
      </c>
      <c r="CB498" s="9" t="str">
        <f>HYPERLINK(".\links\CDD\AGAP001027-PA-CDD.txt","Sugar_tr, Sugar (and other) transporter")</f>
        <v>Sugar_tr, Sugar (and other) transporter</v>
      </c>
      <c r="CC498" s="15">
        <v>1.9999999999999999E-74</v>
      </c>
      <c r="CD498" s="2">
        <v>90.9</v>
      </c>
      <c r="CE498" s="2" t="s">
        <v>250</v>
      </c>
      <c r="CF498" s="2" t="s">
        <v>5206</v>
      </c>
      <c r="CG498" s="9" t="str">
        <f>HYPERLINK(".\links\KOG\AGAP001027-PA-KOG.txt","Predicted transporter (major facilitator superfamily)")</f>
        <v>Predicted transporter (major facilitator superfamily)</v>
      </c>
      <c r="CH498" s="15">
        <v>6.0000000000000004E-90</v>
      </c>
      <c r="CI498" s="2">
        <v>92.6</v>
      </c>
      <c r="CJ498" s="2" t="s">
        <v>252</v>
      </c>
      <c r="CK498" s="2" t="s">
        <v>191</v>
      </c>
      <c r="CL498" s="9" t="str">
        <f>HYPERLINK(".\links\PFAM\AGAP001027-PA-PFAM.txt","Sugar_tr, Sugar (and other) transporter")</f>
        <v>Sugar_tr, Sugar (and other) transporter</v>
      </c>
      <c r="CM498" s="15">
        <v>4.9999999999999998E-75</v>
      </c>
      <c r="CN498" s="2">
        <v>90.9</v>
      </c>
      <c r="CO498" s="2" t="s">
        <v>250</v>
      </c>
      <c r="CP498" s="9" t="str">
        <f>HYPERLINK(".\links\SMART\AGAP001027-PA-SMART.txt","c-SKI_SMAD_bind, c-SKI Smad4 binding domain")</f>
        <v>c-SKI_SMAD_bind, c-SKI Smad4 binding domain</v>
      </c>
      <c r="CQ498" s="15">
        <v>0.77</v>
      </c>
      <c r="CR498" s="2">
        <v>26.3</v>
      </c>
      <c r="CS498" s="2" t="s">
        <v>253</v>
      </c>
      <c r="CT498" s="2" t="s">
        <v>5204</v>
      </c>
      <c r="CU498" s="2" t="s">
        <v>5204</v>
      </c>
      <c r="CV498" s="2" t="s">
        <v>5204</v>
      </c>
      <c r="CW498" s="2" t="str">
        <f>HYPERLINK(".\links\pep\AGAP001027-PA-pep.txt","AGAP001027-PA")</f>
        <v>AGAP001027-PA</v>
      </c>
      <c r="CX498" s="2" t="s">
        <v>95</v>
      </c>
      <c r="CY498" s="2">
        <v>519</v>
      </c>
      <c r="CZ498" s="2" t="s">
        <v>113</v>
      </c>
      <c r="DA498" s="2" t="s">
        <v>5207</v>
      </c>
      <c r="DB498" s="2">
        <v>0</v>
      </c>
      <c r="DC498" s="2">
        <v>1</v>
      </c>
      <c r="DD498" s="2" t="str">
        <f>HYPERLINK("https://www.kegg.jp/kegg-bin/search_pathway_text?map=aga&amp;keyword=AGAP001027&amp;mode=1&amp;viewImage=true","AGAP001027")</f>
        <v>AGAP001027</v>
      </c>
      <c r="DE498" s="2" t="s">
        <v>5203</v>
      </c>
      <c r="DF498" s="2" t="s">
        <v>242</v>
      </c>
      <c r="DG498" s="2" t="s">
        <v>94</v>
      </c>
      <c r="DH498" s="2" t="str">
        <f>HYPERLINK("https://vectorbase.org/vectorbase/app/record/gene/AGAP001027","AGAP001027-RA")</f>
        <v>AGAP001027-RA</v>
      </c>
      <c r="DI498" s="2" t="s">
        <v>135</v>
      </c>
      <c r="DJ498" s="2">
        <v>1968</v>
      </c>
      <c r="DK498" s="2" t="str">
        <f>HYPERLINK(".\links\netoglyc\AGAP001027-PA-netoglyc.txt","1")</f>
        <v>1</v>
      </c>
      <c r="DL498" s="2">
        <v>9.4</v>
      </c>
      <c r="DM498" s="2">
        <v>9.1999999999999993</v>
      </c>
      <c r="DN498" s="2">
        <v>4.5999999999999996</v>
      </c>
      <c r="DO498" s="2" t="s">
        <v>104</v>
      </c>
      <c r="DP498" s="2" t="s">
        <v>102</v>
      </c>
      <c r="DQ498" s="2" t="str">
        <f>HYPERLINK(".\links\Sigp\AGAP001027-PA-SigP.txt","CYT")</f>
        <v>CYT</v>
      </c>
      <c r="DR498" s="2" t="s">
        <v>102</v>
      </c>
      <c r="DS498" s="2">
        <v>55.814999999999998</v>
      </c>
      <c r="DT498" s="2">
        <v>5.05</v>
      </c>
      <c r="DU498" s="2" t="s">
        <v>102</v>
      </c>
      <c r="DV498" s="2" t="s">
        <v>102</v>
      </c>
      <c r="DW498" s="2" t="s">
        <v>5205</v>
      </c>
      <c r="DX498" s="2">
        <v>519</v>
      </c>
      <c r="DY498" s="12" t="str">
        <f>HYPERLINK(".\links\tmhmm\AGAP001027-PA-tmhmm.txt","12")</f>
        <v>12</v>
      </c>
      <c r="DZ498" s="2">
        <v>49.7</v>
      </c>
      <c r="EA498" s="2">
        <v>14.3</v>
      </c>
      <c r="EB498" s="2">
        <v>36</v>
      </c>
      <c r="EC498" s="2" t="str">
        <f>HYPERLINK(".\links\gpi\AGAP001027-PA-gpi.txt","N")</f>
        <v>N</v>
      </c>
      <c r="ED498" s="2">
        <v>0.39</v>
      </c>
      <c r="EF498" s="2">
        <v>4</v>
      </c>
      <c r="EG498" s="2" t="str">
        <f>HYPERLINK(".\links\pep\AGAP001027-PA-sulf.txt","1")</f>
        <v>1</v>
      </c>
      <c r="EH498" s="2" t="s">
        <v>102</v>
      </c>
      <c r="EI498" s="2">
        <v>9.4412331406551093</v>
      </c>
      <c r="EJ498" s="2">
        <v>4.6242774566474001</v>
      </c>
      <c r="EK498" s="2">
        <v>9.2485549132948002</v>
      </c>
      <c r="EL498" s="2">
        <v>13.8728323699422</v>
      </c>
      <c r="EM498" s="2" t="s">
        <v>102</v>
      </c>
      <c r="EN498" s="2">
        <v>2</v>
      </c>
      <c r="EO498" s="2">
        <v>2</v>
      </c>
      <c r="EP498" s="2" t="s">
        <v>102</v>
      </c>
      <c r="EQ498" s="2" t="s">
        <v>102</v>
      </c>
      <c r="ER498" s="2" t="s">
        <v>102</v>
      </c>
      <c r="ES498" s="2" t="s">
        <v>102</v>
      </c>
      <c r="ET498" s="2" t="str">
        <f>HYPERLINK(".\links\REFSEQ-INVERTEBRATE\AGAP001027-PA-REFSEQ-INVERTEBRATE.txt","AGAP001027-PA")</f>
        <v>AGAP001027-PA</v>
      </c>
      <c r="EU498" s="2" t="str">
        <f>HYPERLINK("http://www.ncbi.nlm.nih.gov/sutils/blink.cgi?pid=XP_309223.5","0.0")</f>
        <v>0.0</v>
      </c>
      <c r="EV498" s="2" t="str">
        <f>HYPERLINK("http://www.ncbi.nlm.nih.gov/protein/XP_309223.5","XP_309223.5")</f>
        <v>XP_309223.5</v>
      </c>
      <c r="EW498" s="2">
        <v>100</v>
      </c>
      <c r="EX498" s="2">
        <v>100</v>
      </c>
      <c r="EY498" s="2">
        <v>100</v>
      </c>
      <c r="EZ498" s="2" t="s">
        <v>105</v>
      </c>
    </row>
    <row r="499" spans="1:156" x14ac:dyDescent="0.25">
      <c r="A499" s="2" t="s">
        <v>5208</v>
      </c>
      <c r="B499" s="2">
        <v>-0.45271801759513802</v>
      </c>
      <c r="C499" s="2">
        <f t="shared" si="7"/>
        <v>0.73066498766789634</v>
      </c>
      <c r="D499" s="2">
        <v>5.7814199486084101</v>
      </c>
      <c r="E499" s="2">
        <v>16.226002117477101</v>
      </c>
      <c r="F499" s="2">
        <v>5.6217185860521798E-5</v>
      </c>
      <c r="G499" s="2">
        <v>8.4581920422063892E-3</v>
      </c>
      <c r="H499" s="2" t="s">
        <v>5209</v>
      </c>
      <c r="I499" s="2" t="s">
        <v>94</v>
      </c>
      <c r="J499" s="2" t="str">
        <f>HYPERLINK("https://vectorbase.org/vectorbase/app/record/gene/AGAP000461","AGAP000461-RA")</f>
        <v>AGAP000461-RA</v>
      </c>
      <c r="K499" s="2" t="str">
        <f>HYPERLINK(".\links\pep\AGAP000461-PA-pep.txt","AGAP000461-PA")</f>
        <v>AGAP000461-PA</v>
      </c>
      <c r="L499" s="12" t="s">
        <v>95</v>
      </c>
      <c r="M499" s="2">
        <v>2903</v>
      </c>
      <c r="N499" s="2">
        <v>0</v>
      </c>
      <c r="O499" s="2">
        <v>12</v>
      </c>
      <c r="P499" s="2" t="s">
        <v>5210</v>
      </c>
      <c r="Q499" s="9" t="s">
        <v>5211</v>
      </c>
      <c r="R499" s="2" t="s">
        <v>164</v>
      </c>
      <c r="S499" s="2" t="str">
        <f>HYPERLINK(".\links\KOG\AGAP000461-PA-KOG.txt","KOG")</f>
        <v>KOG</v>
      </c>
      <c r="T499" s="2">
        <v>5.0000000000000002E-55</v>
      </c>
      <c r="U499" s="2">
        <v>66.599999999999994</v>
      </c>
      <c r="V499" s="2" t="s">
        <v>5212</v>
      </c>
      <c r="W499" s="10" t="s">
        <v>5213</v>
      </c>
      <c r="X499" s="2" t="s">
        <v>5214</v>
      </c>
      <c r="Y499" s="2" t="str">
        <f>HYPERLINK(".\links\UNIPROTKB\AGAP000461-PA-UNIPROTKB.txt","UNIPROTKB")</f>
        <v>UNIPROTKB</v>
      </c>
      <c r="Z499" s="15">
        <v>0</v>
      </c>
      <c r="AA499" s="2">
        <v>91.3</v>
      </c>
      <c r="AB499" s="13" t="str">
        <f>HYPERLINK(".\links\pep\AGAP000461-PA-sulf.txt","6")</f>
        <v>6</v>
      </c>
      <c r="AC499" s="13" t="str">
        <f>HYPERLINK(".\links\Sigp\AGAP000461-PA-SigP.txt","CYT")</f>
        <v>CYT</v>
      </c>
      <c r="AD499" s="2" t="s">
        <v>102</v>
      </c>
      <c r="AE499" s="2">
        <v>322.34199999999998</v>
      </c>
      <c r="AF499" s="2">
        <v>6.24</v>
      </c>
      <c r="AG499" s="2" t="s">
        <v>102</v>
      </c>
      <c r="AH499" s="2" t="s">
        <v>102</v>
      </c>
      <c r="AI499" s="2" t="s">
        <v>5215</v>
      </c>
      <c r="AJ499" s="13" t="str">
        <f>HYPERLINK(".\links\tmhmm\AGAP000461-PA-tmhmm.txt","1")</f>
        <v>1</v>
      </c>
      <c r="AK499" s="2">
        <v>0.8</v>
      </c>
      <c r="AL499" s="2">
        <v>94.2</v>
      </c>
      <c r="AM499" s="2">
        <v>5</v>
      </c>
      <c r="AN499" s="13" t="str">
        <f>HYPERLINK(".\links\gpi\AGAP000461-PA-gpi.txt","N")</f>
        <v>N</v>
      </c>
      <c r="AO499" s="14" t="str">
        <f>HYPERLINK(".\links\netoglyc\AGAP000461-PA-netoglyc.txt","0")</f>
        <v>0</v>
      </c>
      <c r="AP499" s="13">
        <v>13.5</v>
      </c>
      <c r="AQ499" s="2">
        <v>9.6</v>
      </c>
      <c r="AR499" s="2">
        <v>4.8</v>
      </c>
      <c r="AS499" s="2">
        <v>0.1</v>
      </c>
      <c r="AT499" s="9" t="str">
        <f>HYPERLINK(".\links\NR-LIGHT\AGAP000461-PA-NR-LIGHT.txt","AGAP000461-PB")</f>
        <v>AGAP000461-PB</v>
      </c>
      <c r="AU499" s="2" t="str">
        <f>HYPERLINK("http://www.ncbi.nlm.nih.gov/sutils/blink.cgi?pid=XP_003437001.1","0.0")</f>
        <v>0.0</v>
      </c>
      <c r="AV499" s="2" t="str">
        <f>HYPERLINK("http://www.ncbi.nlm.nih.gov/protein/XP_003437001.1","XP_003437001.1")</f>
        <v>XP_003437001.1</v>
      </c>
      <c r="AW499" s="2">
        <v>100</v>
      </c>
      <c r="AX499" s="2">
        <v>100</v>
      </c>
      <c r="AY499" s="2">
        <v>100</v>
      </c>
      <c r="AZ499" s="2" t="s">
        <v>105</v>
      </c>
      <c r="BA499" s="9" t="str">
        <f>HYPERLINK(".\links\REFSEQ-INVERTEBRATE\AGAP000461-PA-REFSEQ-INVERTEBRATE.txt","AGAP000461-PB")</f>
        <v>AGAP000461-PB</v>
      </c>
      <c r="BB499" s="2" t="str">
        <f>HYPERLINK("http://www.ncbi.nlm.nih.gov/sutils/blink.cgi?pid=XP_003437001.1","0.0")</f>
        <v>0.0</v>
      </c>
      <c r="BC499" s="2" t="str">
        <f>HYPERLINK("http://www.ncbi.nlm.nih.gov/protein/XP_003437001.1","XP_003437001.1")</f>
        <v>XP_003437001.1</v>
      </c>
      <c r="BD499" s="2">
        <v>100</v>
      </c>
      <c r="BE499" s="2">
        <v>100</v>
      </c>
      <c r="BF499" s="2">
        <v>100</v>
      </c>
      <c r="BG499" s="2" t="s">
        <v>105</v>
      </c>
      <c r="BH499" s="9" t="str">
        <f>HYPERLINK(".\links\REFSEQ-PROTOZOA\AGAP000461-PA-REFSEQ-PROTOZOA.txt","hypothetical protein")</f>
        <v>hypothetical protein</v>
      </c>
      <c r="BI499" s="2" t="str">
        <f>HYPERLINK("http://www.ncbi.nlm.nih.gov/sutils/blink.cgi?pid=XP_001749414.1","5E-076")</f>
        <v>5E-076</v>
      </c>
      <c r="BJ499" s="2" t="str">
        <f>HYPERLINK("http://www.ncbi.nlm.nih.gov/protein/XP_001749414.1","XP_001749414.1")</f>
        <v>XP_001749414.1</v>
      </c>
      <c r="BK499" s="2">
        <v>35</v>
      </c>
      <c r="BL499" s="2">
        <v>54</v>
      </c>
      <c r="BM499" s="2">
        <v>14</v>
      </c>
      <c r="BN499" s="2" t="s">
        <v>248</v>
      </c>
      <c r="BO499" s="9" t="str">
        <f>HYPERLINK(".\links\SWISSP\AGAP000461-PA-SWISSP.txt","Teneurin-a")</f>
        <v>Teneurin-a</v>
      </c>
      <c r="BP499" s="2" t="str">
        <f>HYPERLINK("http://www.uniprot.org/uniprot/Q9VYN8","0.0")</f>
        <v>0.0</v>
      </c>
      <c r="BQ499" s="2" t="str">
        <f>HYPERLINK("http://www.uniprot.org/uniprot/Q9VYN8#expression","Q9VYN8")</f>
        <v>Q9VYN8</v>
      </c>
      <c r="BR499" s="2">
        <v>59</v>
      </c>
      <c r="BS499" s="2">
        <v>71</v>
      </c>
      <c r="BT499" s="2">
        <v>103</v>
      </c>
      <c r="BU499" s="2" t="s">
        <v>107</v>
      </c>
      <c r="BV499" s="9" t="str">
        <f>HYPERLINK(".\links\FLYBASE\AGAP000461-PA-FLYBASE.txt","FBpp0289137")</f>
        <v>FBpp0289137</v>
      </c>
      <c r="BW499" s="2" t="str">
        <f>HYPERLINK("http://flybase.org/reports/FBgn0267001#alliance_summary_container","0.0")</f>
        <v>0.0</v>
      </c>
      <c r="BX499" s="2">
        <v>3378</v>
      </c>
      <c r="BY499" s="2">
        <v>69</v>
      </c>
      <c r="BZ499" s="2">
        <v>82</v>
      </c>
      <c r="CA499" s="2">
        <v>36</v>
      </c>
      <c r="CB499" s="9" t="str">
        <f>HYPERLINK(".\links\CDD\AGAP000461-PA-CDD.txt","Tox-GHH, GHH signature containing HNH/Endo VII superfamily nuclease toxin")</f>
        <v>Tox-GHH, GHH signature containing HNH/Endo VII superfamily nuclease toxin</v>
      </c>
      <c r="CC499" s="15">
        <v>8.0000000000000007E-30</v>
      </c>
      <c r="CD499" s="2">
        <v>100</v>
      </c>
      <c r="CE499" s="2" t="s">
        <v>5216</v>
      </c>
      <c r="CF499" s="2" t="s">
        <v>5217</v>
      </c>
      <c r="CG499" s="9" t="str">
        <f>HYPERLINK(".\links\KOG\AGAP000461-PA-KOG.txt","Uncharacterized conserved protein (Rhs family)")</f>
        <v>Uncharacterized conserved protein (Rhs family)</v>
      </c>
      <c r="CH499" s="15">
        <v>0</v>
      </c>
      <c r="CI499" s="2">
        <v>111.5</v>
      </c>
      <c r="CJ499" s="2" t="s">
        <v>5218</v>
      </c>
      <c r="CK499" s="2" t="s">
        <v>284</v>
      </c>
      <c r="CL499" s="9" t="str">
        <f>HYPERLINK(".\links\PFAM\AGAP000461-PA-PFAM.txt","Tox-GHH, GHH signature containing HNH/Endo VII superfamily nuclease toxin")</f>
        <v>Tox-GHH, GHH signature containing HNH/Endo VII superfamily nuclease toxin</v>
      </c>
      <c r="CM499" s="15">
        <v>1.0000000000000001E-30</v>
      </c>
      <c r="CN499" s="2">
        <v>100</v>
      </c>
      <c r="CO499" s="2" t="s">
        <v>5216</v>
      </c>
      <c r="CP499" s="9" t="str">
        <f>HYPERLINK(".\links\SMART\AGAP000461-PA-SMART.txt","EGF, Epidermal growth factor-like domain")</f>
        <v>EGF, Epidermal growth factor-like domain</v>
      </c>
      <c r="CQ499" s="15">
        <v>1E-3</v>
      </c>
      <c r="CR499" s="2">
        <v>77.099999999999994</v>
      </c>
      <c r="CS499" s="2" t="s">
        <v>3998</v>
      </c>
      <c r="CT499" s="2" t="s">
        <v>5212</v>
      </c>
      <c r="CU499" s="2" t="s">
        <v>5212</v>
      </c>
      <c r="CV499" s="2" t="s">
        <v>5212</v>
      </c>
      <c r="CW499" s="2" t="str">
        <f>HYPERLINK(".\links\pep\AGAP000461-PA-pep.txt","AGAP000461-PA")</f>
        <v>AGAP000461-PA</v>
      </c>
      <c r="CX499" s="2" t="s">
        <v>95</v>
      </c>
      <c r="CY499" s="2">
        <v>2903</v>
      </c>
      <c r="CZ499" s="2" t="s">
        <v>113</v>
      </c>
      <c r="DA499" s="2" t="s">
        <v>5219</v>
      </c>
      <c r="DB499" s="2">
        <v>0</v>
      </c>
      <c r="DC499" s="2">
        <v>12</v>
      </c>
      <c r="DD499" s="2" t="str">
        <f>HYPERLINK("https://www.kegg.jp/kegg-bin/search_pathway_text?map=aga&amp;keyword=AGAP000461&amp;mode=1&amp;viewImage=true","AGAP000461")</f>
        <v>AGAP000461</v>
      </c>
      <c r="DE499" s="2" t="s">
        <v>5208</v>
      </c>
      <c r="DF499" s="2" t="s">
        <v>5209</v>
      </c>
      <c r="DG499" s="2" t="s">
        <v>94</v>
      </c>
      <c r="DH499" s="2" t="str">
        <f>HYPERLINK("https://vectorbase.org/vectorbase/app/record/gene/AGAP000461","AGAP000461-RA")</f>
        <v>AGAP000461-RA</v>
      </c>
      <c r="DI499" s="2" t="s">
        <v>135</v>
      </c>
      <c r="DJ499" s="2">
        <v>15563</v>
      </c>
      <c r="DK499" s="2" t="str">
        <f>HYPERLINK(".\links\netoglyc\AGAP000461-PA-netoglyc.txt","0")</f>
        <v>0</v>
      </c>
      <c r="DL499" s="2">
        <v>13.5</v>
      </c>
      <c r="DM499" s="2">
        <v>9.6</v>
      </c>
      <c r="DN499" s="2">
        <v>4.8</v>
      </c>
      <c r="DO499" s="2">
        <v>0.1</v>
      </c>
      <c r="DP499" s="2" t="s">
        <v>5220</v>
      </c>
      <c r="DQ499" s="2" t="str">
        <f>HYPERLINK(".\links\Sigp\AGAP000461-PA-SigP.txt","CYT")</f>
        <v>CYT</v>
      </c>
      <c r="DR499" s="2" t="s">
        <v>102</v>
      </c>
      <c r="DS499" s="2">
        <v>322.34199999999998</v>
      </c>
      <c r="DT499" s="2">
        <v>6.24</v>
      </c>
      <c r="DU499" s="2" t="s">
        <v>102</v>
      </c>
      <c r="DV499" s="2" t="s">
        <v>102</v>
      </c>
      <c r="DW499" s="2" t="s">
        <v>5215</v>
      </c>
      <c r="DX499" s="2">
        <v>2903</v>
      </c>
      <c r="DY499" s="12" t="str">
        <f>HYPERLINK(".\links\tmhmm\AGAP000461-PA-tmhmm.txt","1")</f>
        <v>1</v>
      </c>
      <c r="DZ499" s="2">
        <v>0.8</v>
      </c>
      <c r="EA499" s="2">
        <v>94.2</v>
      </c>
      <c r="EB499" s="2">
        <v>5</v>
      </c>
      <c r="EC499" s="2" t="str">
        <f>HYPERLINK(".\links\gpi\AGAP000461-PA-gpi.txt","N")</f>
        <v>N</v>
      </c>
      <c r="ED499" s="2">
        <v>0.19</v>
      </c>
      <c r="EF499" s="2">
        <v>77</v>
      </c>
      <c r="EG499" s="2" t="str">
        <f>HYPERLINK(".\links\pep\AGAP000461-PA-sulf.txt","6")</f>
        <v>6</v>
      </c>
      <c r="EH499" s="2" t="s">
        <v>102</v>
      </c>
      <c r="EI499" s="2">
        <v>13.503272476748201</v>
      </c>
      <c r="EJ499" s="2">
        <v>4.8225973131243496</v>
      </c>
      <c r="EK499" s="2">
        <v>9.6107475025835303</v>
      </c>
      <c r="EL499" s="2">
        <v>14.433344815707899</v>
      </c>
      <c r="EM499" s="2">
        <v>7</v>
      </c>
      <c r="EN499" s="2">
        <v>8</v>
      </c>
      <c r="EO499" s="2">
        <v>12</v>
      </c>
      <c r="EP499" s="2" t="s">
        <v>102</v>
      </c>
      <c r="EQ499" s="2" t="s">
        <v>102</v>
      </c>
      <c r="ER499" s="2" t="s">
        <v>102</v>
      </c>
      <c r="ES499" s="2" t="s">
        <v>102</v>
      </c>
      <c r="ET499" s="2" t="str">
        <f>HYPERLINK(".\links\REFSEQ-INVERTEBRATE\AGAP000461-PA-REFSEQ-INVERTEBRATE.txt","AGAP000461-PB")</f>
        <v>AGAP000461-PB</v>
      </c>
      <c r="EU499" s="2" t="str">
        <f>HYPERLINK("http://www.ncbi.nlm.nih.gov/sutils/blink.cgi?pid=XP_003437001.1","0.0")</f>
        <v>0.0</v>
      </c>
      <c r="EV499" s="2" t="str">
        <f>HYPERLINK("http://www.ncbi.nlm.nih.gov/protein/XP_003437001.1","XP_003437001.1")</f>
        <v>XP_003437001.1</v>
      </c>
      <c r="EW499" s="2">
        <v>100</v>
      </c>
      <c r="EX499" s="2">
        <v>100</v>
      </c>
      <c r="EY499" s="2">
        <v>100</v>
      </c>
      <c r="EZ499" s="2" t="s">
        <v>105</v>
      </c>
    </row>
    <row r="500" spans="1:156" x14ac:dyDescent="0.25">
      <c r="A500" s="2" t="s">
        <v>5221</v>
      </c>
      <c r="B500" s="2">
        <v>-0.45537224893578698</v>
      </c>
      <c r="C500" s="2">
        <f t="shared" si="7"/>
        <v>0.7293219657797243</v>
      </c>
      <c r="D500" s="2">
        <v>6.5612799846135497</v>
      </c>
      <c r="E500" s="2">
        <v>17.172200672139599</v>
      </c>
      <c r="F500" s="2">
        <v>3.4139593883829402E-5</v>
      </c>
      <c r="G500" s="2">
        <v>7.0092853692737198E-3</v>
      </c>
      <c r="H500" s="2" t="s">
        <v>5222</v>
      </c>
      <c r="I500" s="2" t="s">
        <v>94</v>
      </c>
      <c r="J500" s="2" t="str">
        <f>HYPERLINK("https://vectorbase.org/vectorbase/app/record/gene/AGAP007503","AGAP007503-RA")</f>
        <v>AGAP007503-RA</v>
      </c>
      <c r="K500" s="2" t="str">
        <f>HYPERLINK(".\links\pep\AGAP007503-PA-pep.txt","AGAP007503-PA")</f>
        <v>AGAP007503-PA</v>
      </c>
      <c r="L500" s="12" t="s">
        <v>95</v>
      </c>
      <c r="M500" s="2">
        <v>2575</v>
      </c>
      <c r="N500" s="2">
        <v>0</v>
      </c>
      <c r="O500" s="2">
        <v>9</v>
      </c>
      <c r="P500" s="2" t="s">
        <v>5223</v>
      </c>
      <c r="Q500" s="9" t="s">
        <v>5224</v>
      </c>
      <c r="R500" s="2" t="s">
        <v>355</v>
      </c>
      <c r="S500" s="2" t="str">
        <f>HYPERLINK(".\links\REFSEQ-INVERTEBRATE\AGAP007503-PA-REFSEQ-INVERTEBRATE.txt","REFSEQ-INVERTEBRATE")</f>
        <v>REFSEQ-INVERTEBRATE</v>
      </c>
      <c r="T500" s="2">
        <v>0</v>
      </c>
      <c r="U500" s="2">
        <v>87.3</v>
      </c>
      <c r="V500" s="2" t="s">
        <v>5225</v>
      </c>
      <c r="W500" s="10" t="s">
        <v>5226</v>
      </c>
      <c r="X500" s="2" t="s">
        <v>355</v>
      </c>
      <c r="Y500" s="2" t="str">
        <f>HYPERLINK(".\links\ARTHORPODA\AGAP007503-PA-ARTHORPODA.txt","ARTHORPODA")</f>
        <v>ARTHORPODA</v>
      </c>
      <c r="Z500" s="2">
        <v>0</v>
      </c>
      <c r="AA500" s="2">
        <v>100</v>
      </c>
      <c r="AB500" s="13" t="str">
        <f>HYPERLINK(".\links\pep\AGAP007503-PA-sulf.txt","3")</f>
        <v>3</v>
      </c>
      <c r="AC500" s="13" t="str">
        <f>HYPERLINK(".\links\Sigp\AGAP007503-PA-SigP.txt","CYT")</f>
        <v>CYT</v>
      </c>
      <c r="AD500" s="2" t="s">
        <v>102</v>
      </c>
      <c r="AE500" s="2">
        <v>269.26499999999999</v>
      </c>
      <c r="AF500" s="2">
        <v>8.57</v>
      </c>
      <c r="AG500" s="2" t="s">
        <v>102</v>
      </c>
      <c r="AH500" s="2" t="s">
        <v>102</v>
      </c>
      <c r="AI500" s="2" t="s">
        <v>211</v>
      </c>
      <c r="AJ500" s="13">
        <v>0</v>
      </c>
      <c r="AK500" s="2" t="s">
        <v>102</v>
      </c>
      <c r="AL500" s="2" t="s">
        <v>102</v>
      </c>
      <c r="AM500" s="2" t="s">
        <v>102</v>
      </c>
      <c r="AN500" s="13" t="str">
        <f>HYPERLINK(".\links\gpi\AGAP007503-PA-gpi.txt","N")</f>
        <v>N</v>
      </c>
      <c r="AO500" s="14" t="str">
        <f>HYPERLINK(".\links\netoglyc\AGAP007503-PA-netoglyc.txt","50")</f>
        <v>50</v>
      </c>
      <c r="AP500" s="13">
        <v>23.8</v>
      </c>
      <c r="AQ500" s="2">
        <v>7.8</v>
      </c>
      <c r="AR500" s="2">
        <v>7.4</v>
      </c>
      <c r="AS500" s="2">
        <v>0.2</v>
      </c>
      <c r="AT500" s="9" t="str">
        <f>HYPERLINK(".\links\NR-LIGHT\AGAP007503-PA-NR-LIGHT.txt","hypothetical protein ZHAS_00019811")</f>
        <v>hypothetical protein ZHAS_00019811</v>
      </c>
      <c r="AU500" s="2" t="str">
        <f>HYPERLINK("http://www.ncbi.nlm.nih.gov/sutils/blink.cgi?pid=KFB51721.1","0.0")</f>
        <v>0.0</v>
      </c>
      <c r="AV500" s="2" t="str">
        <f>HYPERLINK("http://www.ncbi.nlm.nih.gov/protein/KFB51721.1","KFB51721.1")</f>
        <v>KFB51721.1</v>
      </c>
      <c r="AW500" s="2">
        <v>62</v>
      </c>
      <c r="AX500" s="2">
        <v>71</v>
      </c>
      <c r="AY500" s="2">
        <v>105</v>
      </c>
      <c r="AZ500" s="2" t="s">
        <v>1522</v>
      </c>
      <c r="BA500" s="9" t="str">
        <f>HYPERLINK(".\links\REFSEQ-INVERTEBRATE\AGAP007503-PA-REFSEQ-INVERTEBRATE.txt","AGAP007503-PA")</f>
        <v>AGAP007503-PA</v>
      </c>
      <c r="BB500" s="2" t="str">
        <f>HYPERLINK("http://www.ncbi.nlm.nih.gov/sutils/blink.cgi?pid=XP_001687911.1","0.0")</f>
        <v>0.0</v>
      </c>
      <c r="BC500" s="2" t="str">
        <f>HYPERLINK("http://www.ncbi.nlm.nih.gov/protein/XP_001687911.1","XP_001687911.1")</f>
        <v>XP_001687911.1</v>
      </c>
      <c r="BD500" s="2">
        <v>66</v>
      </c>
      <c r="BE500" s="2">
        <v>71</v>
      </c>
      <c r="BF500" s="2">
        <v>87</v>
      </c>
      <c r="BG500" s="2" t="s">
        <v>105</v>
      </c>
      <c r="BH500" s="9" t="str">
        <f>HYPERLINK(".\links\REFSEQ-PROTOZOA\AGAP007503-PA-REFSEQ-PROTOZOA.txt","proteophosphoglycan ppg4")</f>
        <v>proteophosphoglycan ppg4</v>
      </c>
      <c r="BI500" s="2" t="str">
        <f>HYPERLINK("http://www.ncbi.nlm.nih.gov/sutils/blink.cgi?pid=XP_001568166.1","2E-094")</f>
        <v>2E-094</v>
      </c>
      <c r="BJ500" s="2" t="str">
        <f>HYPERLINK("http://www.ncbi.nlm.nih.gov/protein/XP_001568166.1","XP_001568166.1")</f>
        <v>XP_001568166.1</v>
      </c>
      <c r="BK500" s="2">
        <v>20</v>
      </c>
      <c r="BL500" s="2">
        <v>37</v>
      </c>
      <c r="BM500" s="2">
        <v>49</v>
      </c>
      <c r="BN500" s="2" t="s">
        <v>5129</v>
      </c>
      <c r="BO500" s="9" t="str">
        <f>HYPERLINK(".\links\SWISSP\AGAP007503-PA-SWISSP.txt","AT-rich interactive domain-containing protein 4B")</f>
        <v>AT-rich interactive domain-containing protein 4B</v>
      </c>
      <c r="BP500" s="2" t="str">
        <f>HYPERLINK("http://www.uniprot.org/uniprot/A2CG63","1E-092")</f>
        <v>1E-092</v>
      </c>
      <c r="BQ500" s="2" t="str">
        <f>HYPERLINK("http://www.uniprot.org/uniprot/A2CG63#expression","A2CG63")</f>
        <v>A2CG63</v>
      </c>
      <c r="BR500" s="2">
        <v>38</v>
      </c>
      <c r="BS500" s="2">
        <v>55</v>
      </c>
      <c r="BT500" s="2">
        <v>42</v>
      </c>
      <c r="BU500" s="2" t="s">
        <v>662</v>
      </c>
      <c r="BV500" s="9" t="str">
        <f>HYPERLINK(".\links\FLYBASE\AGAP007503-PA-FLYBASE.txt","FBpp0302046")</f>
        <v>FBpp0302046</v>
      </c>
      <c r="BW500" s="2" t="str">
        <f>HYPERLINK("http://flybase.org/reports/FBgn0085451#alliance_summary_container","6E-23")</f>
        <v>6E-23</v>
      </c>
      <c r="BX500" s="2">
        <v>1864</v>
      </c>
      <c r="BY500" s="2">
        <v>61</v>
      </c>
      <c r="BZ500" s="2">
        <v>72</v>
      </c>
      <c r="CA500" s="2">
        <v>4</v>
      </c>
      <c r="CB500" s="9" t="str">
        <f>HYPERLINK(".\links\CDD\AGAP007503-PA-CDD.txt","RBB1NT, RBB1NT (NUC162) domain")</f>
        <v>RBB1NT, RBB1NT (NUC162) domain</v>
      </c>
      <c r="CC500" s="15">
        <v>2.9999999999999999E-30</v>
      </c>
      <c r="CD500" s="2">
        <v>106.9</v>
      </c>
      <c r="CE500" s="2" t="s">
        <v>5227</v>
      </c>
      <c r="CF500" s="2" t="s">
        <v>5228</v>
      </c>
      <c r="CG500" s="9" t="str">
        <f>HYPERLINK(".\links\KOG\AGAP007503-PA-KOG.txt","DNA-binding proteins Bright/BRCAA1/RBP1 and related proteins containing BRIGHT domain")</f>
        <v>DNA-binding proteins Bright/BRCAA1/RBP1 and related proteins containing BRIGHT domain</v>
      </c>
      <c r="CH500" s="15">
        <v>3E-24</v>
      </c>
      <c r="CI500" s="2">
        <v>80.7</v>
      </c>
      <c r="CJ500" s="2" t="s">
        <v>5229</v>
      </c>
      <c r="CK500" s="2" t="s">
        <v>309</v>
      </c>
      <c r="CL500" s="9" t="str">
        <f>HYPERLINK(".\links\PFAM\AGAP007503-PA-PFAM.txt","RBB1NT, RBB1NT (NUC162) domain")</f>
        <v>RBB1NT, RBB1NT (NUC162) domain</v>
      </c>
      <c r="CM500" s="15">
        <v>5.0000000000000004E-31</v>
      </c>
      <c r="CN500" s="2">
        <v>106.9</v>
      </c>
      <c r="CO500" s="2" t="s">
        <v>5227</v>
      </c>
      <c r="CP500" s="9" t="str">
        <f>HYPERLINK(".\links\SMART\AGAP007503-PA-SMART.txt","ARID, ARID/BRIGHT DNA binding domain")</f>
        <v>ARID, ARID/BRIGHT DNA binding domain</v>
      </c>
      <c r="CQ500" s="15">
        <v>4.9999999999999997E-30</v>
      </c>
      <c r="CR500" s="2">
        <v>100</v>
      </c>
      <c r="CS500" s="2" t="s">
        <v>5230</v>
      </c>
      <c r="CT500" s="2" t="s">
        <v>5225</v>
      </c>
      <c r="CU500" s="2" t="s">
        <v>5225</v>
      </c>
      <c r="CV500" s="2" t="s">
        <v>5225</v>
      </c>
      <c r="CW500" s="2" t="str">
        <f>HYPERLINK(".\links\pep\AGAP007503-PA-pep.txt","AGAP007503-PA")</f>
        <v>AGAP007503-PA</v>
      </c>
      <c r="CX500" s="2" t="s">
        <v>95</v>
      </c>
      <c r="CY500" s="2">
        <v>2575</v>
      </c>
      <c r="CZ500" s="2" t="s">
        <v>113</v>
      </c>
      <c r="DA500" s="2" t="s">
        <v>5231</v>
      </c>
      <c r="DB500" s="2">
        <v>0</v>
      </c>
      <c r="DC500" s="2">
        <v>9</v>
      </c>
      <c r="DD500" s="2" t="str">
        <f>HYPERLINK("https://www.kegg.jp/kegg-bin/search_pathway_text?map=aga&amp;keyword=AGAP007503&amp;mode=1&amp;viewImage=true","AGAP007503")</f>
        <v>AGAP007503</v>
      </c>
      <c r="DE500" s="2" t="s">
        <v>5221</v>
      </c>
      <c r="DF500" s="2" t="s">
        <v>5222</v>
      </c>
      <c r="DG500" s="2" t="s">
        <v>94</v>
      </c>
      <c r="DH500" s="2" t="str">
        <f>HYPERLINK("https://vectorbase.org/vectorbase/app/record/gene/AGAP007503","AGAP007503-RA")</f>
        <v>AGAP007503-RA</v>
      </c>
      <c r="DI500" s="2" t="s">
        <v>118</v>
      </c>
      <c r="DJ500" s="2">
        <v>9028</v>
      </c>
      <c r="DK500" s="2" t="str">
        <f>HYPERLINK(".\links\netoglyc\AGAP007503-PA-netoglyc.txt","50")</f>
        <v>50</v>
      </c>
      <c r="DL500" s="2">
        <v>23.8</v>
      </c>
      <c r="DM500" s="2">
        <v>7.8</v>
      </c>
      <c r="DN500" s="2">
        <v>7.4</v>
      </c>
      <c r="DO500" s="2">
        <v>0.2</v>
      </c>
      <c r="DP500" s="2" t="s">
        <v>5232</v>
      </c>
      <c r="DQ500" s="2" t="str">
        <f>HYPERLINK(".\links\Sigp\AGAP007503-PA-SigP.txt","CYT")</f>
        <v>CYT</v>
      </c>
      <c r="DR500" s="2" t="s">
        <v>102</v>
      </c>
      <c r="DS500" s="2">
        <v>269.26499999999999</v>
      </c>
      <c r="DT500" s="2">
        <v>8.57</v>
      </c>
      <c r="DU500" s="2" t="s">
        <v>102</v>
      </c>
      <c r="DV500" s="2" t="s">
        <v>102</v>
      </c>
      <c r="DW500" s="2" t="s">
        <v>211</v>
      </c>
      <c r="DX500" s="2">
        <v>2575</v>
      </c>
      <c r="DY500" s="12">
        <v>0</v>
      </c>
      <c r="DZ500" s="2" t="s">
        <v>102</v>
      </c>
      <c r="EA500" s="2" t="s">
        <v>102</v>
      </c>
      <c r="EB500" s="2" t="s">
        <v>102</v>
      </c>
      <c r="EC500" s="2" t="str">
        <f>HYPERLINK(".\links\gpi\AGAP007503-PA-gpi.txt","Y-NoSP")</f>
        <v>Y-NoSP</v>
      </c>
      <c r="ED500" s="2">
        <v>0.35</v>
      </c>
      <c r="EF500" s="2">
        <v>13</v>
      </c>
      <c r="EG500" s="2" t="str">
        <f>HYPERLINK(".\links\pep\AGAP007503-PA-sulf.txt","3")</f>
        <v>3</v>
      </c>
      <c r="EH500" s="2" t="s">
        <v>102</v>
      </c>
      <c r="EI500" s="2">
        <v>23.805825242718399</v>
      </c>
      <c r="EJ500" s="2">
        <v>7.3786407766990303</v>
      </c>
      <c r="EK500" s="2">
        <v>7.7669902912621396</v>
      </c>
      <c r="EL500" s="2">
        <v>15.145631067961199</v>
      </c>
      <c r="EM500" s="2">
        <v>2</v>
      </c>
      <c r="EN500" s="2">
        <v>8</v>
      </c>
      <c r="EO500" s="2">
        <v>10</v>
      </c>
      <c r="EP500" s="2" t="s">
        <v>102</v>
      </c>
      <c r="EQ500" s="2" t="s">
        <v>102</v>
      </c>
      <c r="ER500" s="2" t="s">
        <v>102</v>
      </c>
      <c r="ES500" s="2" t="s">
        <v>102</v>
      </c>
      <c r="ET500" s="2" t="str">
        <f>HYPERLINK(".\links\REFSEQ-INVERTEBRATE\AGAP007503-PA-REFSEQ-INVERTEBRATE.txt","pneumococcal serine-rich repeat protein isoform X2")</f>
        <v>pneumococcal serine-rich repeat protein isoform X2</v>
      </c>
      <c r="EU500" s="2" t="str">
        <f>HYPERLINK("http://www.ncbi.nlm.nih.gov/sutils/blink.cgi?pid=XP_035912161.1","0.0")</f>
        <v>0.0</v>
      </c>
      <c r="EV500" s="2" t="str">
        <f>HYPERLINK("http://www.ncbi.nlm.nih.gov/protein/XP_035912161.1","XP_035912161.1")</f>
        <v>XP_035912161.1</v>
      </c>
      <c r="EW500" s="2">
        <v>71</v>
      </c>
      <c r="EX500" s="2">
        <v>78</v>
      </c>
      <c r="EY500" s="2">
        <v>104</v>
      </c>
      <c r="EZ500" s="2" t="s">
        <v>370</v>
      </c>
    </row>
    <row r="501" spans="1:156" x14ac:dyDescent="0.25">
      <c r="A501" s="2" t="s">
        <v>5233</v>
      </c>
      <c r="B501" s="2">
        <v>-0.45833254252884298</v>
      </c>
      <c r="C501" s="2">
        <f t="shared" si="7"/>
        <v>0.72782699037491139</v>
      </c>
      <c r="D501" s="2">
        <v>7.12068703785389</v>
      </c>
      <c r="E501" s="2">
        <v>10.2497224193127</v>
      </c>
      <c r="F501" s="2">
        <v>1.3670516959476001E-3</v>
      </c>
      <c r="G501" s="2">
        <v>3.6820471535482201E-2</v>
      </c>
      <c r="H501" s="2" t="s">
        <v>93</v>
      </c>
      <c r="I501" s="2" t="s">
        <v>94</v>
      </c>
      <c r="J501" s="2" t="str">
        <f>HYPERLINK("https://vectorbase.org/vectorbase/app/record/gene/AGAP029590","AGAP029590-RB")</f>
        <v>AGAP029590-RB</v>
      </c>
      <c r="K501" s="2" t="str">
        <f>HYPERLINK(".\links\pep\AGAP029590-PB-pep.txt","AGAP029590-PB")</f>
        <v>AGAP029590-PB</v>
      </c>
      <c r="L501" s="12" t="s">
        <v>95</v>
      </c>
      <c r="M501" s="2">
        <v>3270</v>
      </c>
      <c r="N501" s="2">
        <v>0</v>
      </c>
      <c r="O501" s="2">
        <v>7</v>
      </c>
      <c r="P501" s="2" t="s">
        <v>102</v>
      </c>
      <c r="Q501" s="9" t="s">
        <v>5234</v>
      </c>
      <c r="R501" s="2" t="s">
        <v>420</v>
      </c>
      <c r="S501" s="2" t="str">
        <f>HYPERLINK(".\links\PFAM\AGAP029590-PB-PFAM.txt","PFAM")</f>
        <v>PFAM</v>
      </c>
      <c r="T501" s="2">
        <v>5.9999999999999997E-14</v>
      </c>
      <c r="U501" s="2">
        <v>55.8</v>
      </c>
      <c r="V501" s="2" t="s">
        <v>5235</v>
      </c>
      <c r="W501" s="10" t="s">
        <v>5236</v>
      </c>
      <c r="X501" s="2" t="s">
        <v>420</v>
      </c>
      <c r="Y501" s="2" t="str">
        <f>HYPERLINK(".\links\PFAM\AGAP029590-PB-PFAM.txt","PFAM")</f>
        <v>PFAM</v>
      </c>
      <c r="Z501" s="15">
        <v>3E-24</v>
      </c>
      <c r="AA501" s="2">
        <v>94.5</v>
      </c>
      <c r="AB501" s="13" t="str">
        <f>HYPERLINK(".\links\pep\AGAP029590-PB-sulf.txt","4")</f>
        <v>4</v>
      </c>
      <c r="AC501" s="13" t="str">
        <f>HYPERLINK(".\links\Sigp\AGAP029590-PB-SigP.txt","CYT")</f>
        <v>CYT</v>
      </c>
      <c r="AD501" s="2" t="s">
        <v>102</v>
      </c>
      <c r="AE501" s="2">
        <v>343.20100000000002</v>
      </c>
      <c r="AF501" s="2">
        <v>5.46</v>
      </c>
      <c r="AG501" s="2" t="s">
        <v>102</v>
      </c>
      <c r="AH501" s="2" t="s">
        <v>102</v>
      </c>
      <c r="AI501" s="2" t="s">
        <v>650</v>
      </c>
      <c r="AJ501" s="13">
        <v>0</v>
      </c>
      <c r="AK501" s="2" t="s">
        <v>102</v>
      </c>
      <c r="AL501" s="2" t="s">
        <v>102</v>
      </c>
      <c r="AM501" s="2" t="s">
        <v>102</v>
      </c>
      <c r="AN501" s="9" t="str">
        <f>HYPERLINK(".\links\gpi\AGAP029590-PB-gpi.txt","N")</f>
        <v>N</v>
      </c>
      <c r="AO501" s="14" t="str">
        <f>HYPERLINK(".\links\netoglyc\AGAP029590-PB-netoglyc.txt","27")</f>
        <v>27</v>
      </c>
      <c r="AP501" s="13">
        <v>19.399999999999999</v>
      </c>
      <c r="AQ501" s="2">
        <v>8.6999999999999993</v>
      </c>
      <c r="AR501" s="2">
        <v>6.3</v>
      </c>
      <c r="AS501" s="2" t="s">
        <v>104</v>
      </c>
      <c r="AT501" s="9" t="str">
        <f>HYPERLINK(".\links\NR-LIGHT\AGAP029590-PB-NR-LIGHT.txt","hypothetical protein AND_002860")</f>
        <v>hypothetical protein AND_002860</v>
      </c>
      <c r="AU501" s="2" t="str">
        <f>HYPERLINK("http://www.ncbi.nlm.nih.gov/sutils/blink.cgi?pid=ETN65372.1","0.0")</f>
        <v>0.0</v>
      </c>
      <c r="AV501" s="2" t="str">
        <f>HYPERLINK("http://www.ncbi.nlm.nih.gov/protein/ETN65372.1","ETN65372.1")</f>
        <v>ETN65372.1</v>
      </c>
      <c r="AW501" s="2">
        <v>47</v>
      </c>
      <c r="AX501" s="2">
        <v>56</v>
      </c>
      <c r="AY501" s="2">
        <v>93</v>
      </c>
      <c r="AZ501" s="2" t="s">
        <v>360</v>
      </c>
      <c r="BA501" s="9" t="str">
        <f>HYPERLINK(".\links\REFSEQ-INVERTEBRATE\AGAP029590-PB-REFSEQ-INVERTEBRATE.txt","polycomb protein Asx-like isoform X3")</f>
        <v>polycomb protein Asx-like isoform X3</v>
      </c>
      <c r="BB501" s="2" t="str">
        <f>HYPERLINK("http://www.ncbi.nlm.nih.gov/sutils/blink.cgi?pid=XP_019932045.1","1E-141")</f>
        <v>1E-141</v>
      </c>
      <c r="BC501" s="2" t="str">
        <f>HYPERLINK("http://www.ncbi.nlm.nih.gov/protein/XP_019932045.1","XP_019932045.1")</f>
        <v>XP_019932045.1</v>
      </c>
      <c r="BD501" s="2">
        <v>31</v>
      </c>
      <c r="BE501" s="2">
        <v>42</v>
      </c>
      <c r="BF501" s="2">
        <v>85</v>
      </c>
      <c r="BG501" s="2" t="s">
        <v>361</v>
      </c>
      <c r="BH501" s="9" t="str">
        <f>HYPERLINK(".\links\REFSEQ-PROTOZOA\AGAP029590-PB-REFSEQ-PROTOZOA.txt","hypothetical protein, conserved")</f>
        <v>hypothetical protein, conserved</v>
      </c>
      <c r="BI501" s="2" t="str">
        <f>HYPERLINK("http://www.ncbi.nlm.nih.gov/sutils/blink.cgi?pid=XP_013357710.1","1E-055")</f>
        <v>1E-055</v>
      </c>
      <c r="BJ501" s="2" t="str">
        <f>HYPERLINK("http://www.ncbi.nlm.nih.gov/protein/XP_013357710.1","XP_013357710.1")</f>
        <v>XP_013357710.1</v>
      </c>
      <c r="BK501" s="2">
        <v>22</v>
      </c>
      <c r="BL501" s="2">
        <v>36</v>
      </c>
      <c r="BM501" s="2">
        <v>68</v>
      </c>
      <c r="BN501" s="2" t="s">
        <v>568</v>
      </c>
      <c r="BO501" s="9" t="str">
        <f>HYPERLINK(".\links\SWISSP\AGAP029590-PB-SWISSP.txt","Polycomb protein Asx")</f>
        <v>Polycomb protein Asx</v>
      </c>
      <c r="BP501" s="2" t="str">
        <f>HYPERLINK("http://www.uniprot.org/uniprot/Q9V727","1E-065")</f>
        <v>1E-065</v>
      </c>
      <c r="BQ501" s="2" t="str">
        <f>HYPERLINK("http://www.uniprot.org/uniprot/Q9V727#expression","Q9V727")</f>
        <v>Q9V727</v>
      </c>
      <c r="BR501" s="2">
        <v>31</v>
      </c>
      <c r="BS501" s="2">
        <v>46</v>
      </c>
      <c r="BT501" s="2">
        <v>41</v>
      </c>
      <c r="BU501" s="2" t="s">
        <v>107</v>
      </c>
      <c r="BV501" s="9" t="str">
        <f>HYPERLINK(".\links\FLYBASE\AGAP029590-PB-FLYBASE.txt","FBpp0305150")</f>
        <v>FBpp0305150</v>
      </c>
      <c r="BW501" s="2" t="str">
        <f>HYPERLINK("http://flybase.org/reports/FBgn0261823#alliance_summary_container","2E-71")</f>
        <v>2E-71</v>
      </c>
      <c r="BX501" s="2">
        <v>1538</v>
      </c>
      <c r="BY501" s="2">
        <v>69</v>
      </c>
      <c r="BZ501" s="2">
        <v>81</v>
      </c>
      <c r="CA501" s="2">
        <v>11</v>
      </c>
      <c r="CB501" s="9" t="str">
        <f>HYPERLINK(".\links\CDD\AGAP029590-PB-CDD.txt","ASXH, Asx homology domain")</f>
        <v>ASXH, Asx homology domain</v>
      </c>
      <c r="CC501" s="15">
        <v>1.0000000000000001E-43</v>
      </c>
      <c r="CD501" s="2">
        <v>104.6</v>
      </c>
      <c r="CE501" s="2" t="s">
        <v>5237</v>
      </c>
      <c r="CF501" s="2" t="s">
        <v>5238</v>
      </c>
      <c r="CG501" s="9" t="str">
        <f>HYPERLINK(".\links\KOG\AGAP029590-PB-KOG.txt","subunit TRAP230")</f>
        <v>subunit TRAP230</v>
      </c>
      <c r="CH501" s="15">
        <v>2.9999999999999998E-15</v>
      </c>
      <c r="CI501" s="2">
        <v>13.5</v>
      </c>
      <c r="CJ501" s="2" t="s">
        <v>4038</v>
      </c>
      <c r="CK501" s="2" t="s">
        <v>309</v>
      </c>
      <c r="CL501" s="9" t="str">
        <f>HYPERLINK(".\links\PFAM\AGAP029590-PB-PFAM.txt","ASXH, Asx homology domain")</f>
        <v>ASXH, Asx homology domain</v>
      </c>
      <c r="CM501" s="15">
        <v>1.9999999999999999E-44</v>
      </c>
      <c r="CN501" s="2">
        <v>104.6</v>
      </c>
      <c r="CO501" s="2" t="s">
        <v>5237</v>
      </c>
      <c r="CP501" s="9" t="str">
        <f>HYPERLINK(".\links\SMART\AGAP029590-PB-SMART.txt","Amelogenin, Amelogenins, cell adhesion proteins, play a role in the biomineralisation of teeth")</f>
        <v>Amelogenin, Amelogenins, cell adhesion proteins, play a role in the biomineralisation of teeth</v>
      </c>
      <c r="CQ501" s="15">
        <v>2.0000000000000002E-5</v>
      </c>
      <c r="CR501" s="2">
        <v>47.3</v>
      </c>
      <c r="CS501" s="2" t="s">
        <v>311</v>
      </c>
      <c r="CT501" s="2" t="s">
        <v>5235</v>
      </c>
      <c r="CU501" s="2" t="s">
        <v>5235</v>
      </c>
      <c r="CV501" s="2" t="s">
        <v>5235</v>
      </c>
      <c r="CW501" s="2" t="str">
        <f>HYPERLINK(".\links\pep\AGAP029590-PB-pep.txt","AGAP029590-PB")</f>
        <v>AGAP029590-PB</v>
      </c>
      <c r="CX501" s="2" t="s">
        <v>95</v>
      </c>
      <c r="CY501" s="2">
        <v>3270</v>
      </c>
      <c r="CZ501" s="2" t="s">
        <v>113</v>
      </c>
      <c r="DA501" s="2" t="s">
        <v>5239</v>
      </c>
      <c r="DB501" s="2">
        <v>0</v>
      </c>
      <c r="DC501" s="2">
        <v>7</v>
      </c>
      <c r="DD501" s="2" t="str">
        <f>HYPERLINK("https://www.kegg.jp/kegg-bin/search_pathway_text?map=aga&amp;keyword=AGAP029590&amp;mode=1&amp;viewImage=true","AGAP029590")</f>
        <v>AGAP029590</v>
      </c>
      <c r="DE501" s="2" t="s">
        <v>5233</v>
      </c>
      <c r="DF501" s="2" t="s">
        <v>93</v>
      </c>
      <c r="DG501" s="2" t="s">
        <v>94</v>
      </c>
      <c r="DH501" s="2" t="str">
        <f>HYPERLINK("https://vectorbase.org/vectorbase/app/record/gene/AGAP029590","AGAP029590-RB")</f>
        <v>AGAP029590-RB</v>
      </c>
      <c r="DI501" s="2" t="s">
        <v>135</v>
      </c>
      <c r="DJ501" s="2">
        <v>11257</v>
      </c>
      <c r="DK501" s="2" t="str">
        <f>HYPERLINK(".\links\netoglyc\AGAP029590-PB-netoglyc.txt","27")</f>
        <v>27</v>
      </c>
      <c r="DL501" s="2">
        <v>19.399999999999999</v>
      </c>
      <c r="DM501" s="2">
        <v>8.6999999999999993</v>
      </c>
      <c r="DN501" s="2">
        <v>6.3</v>
      </c>
      <c r="DO501" s="2" t="s">
        <v>104</v>
      </c>
      <c r="DP501" s="2" t="s">
        <v>5240</v>
      </c>
      <c r="DQ501" s="2" t="str">
        <f>HYPERLINK(".\links\Sigp\AGAP029590-PB-SigP.txt","CYT")</f>
        <v>CYT</v>
      </c>
      <c r="DR501" s="2" t="s">
        <v>102</v>
      </c>
      <c r="DS501" s="2">
        <v>343.20100000000002</v>
      </c>
      <c r="DT501" s="2">
        <v>5.46</v>
      </c>
      <c r="DU501" s="2" t="s">
        <v>102</v>
      </c>
      <c r="DV501" s="2" t="s">
        <v>102</v>
      </c>
      <c r="DW501" s="2" t="s">
        <v>650</v>
      </c>
      <c r="DX501" s="2">
        <v>3270</v>
      </c>
      <c r="DY501" s="12">
        <v>0</v>
      </c>
      <c r="DZ501" s="2" t="s">
        <v>102</v>
      </c>
      <c r="EA501" s="2" t="s">
        <v>102</v>
      </c>
      <c r="EB501" s="2" t="s">
        <v>102</v>
      </c>
      <c r="EC501" s="2" t="str">
        <f>HYPERLINK(".\links\gpi\AGAP029590-PB-gpi.txt","Y-NoSP")</f>
        <v>Y-NoSP</v>
      </c>
      <c r="ED501" s="2">
        <v>0.36</v>
      </c>
      <c r="EF501" s="2">
        <v>29</v>
      </c>
      <c r="EG501" s="2" t="str">
        <f>HYPERLINK(".\links\pep\AGAP029590-PB-sulf.txt","4")</f>
        <v>4</v>
      </c>
      <c r="EH501" s="2" t="s">
        <v>102</v>
      </c>
      <c r="EI501" s="2">
        <v>19.388379204892999</v>
      </c>
      <c r="EJ501" s="2">
        <v>6.2691131498470902</v>
      </c>
      <c r="EK501" s="2">
        <v>8.6544342507645293</v>
      </c>
      <c r="EL501" s="2">
        <v>14.9235474006116</v>
      </c>
      <c r="EM501" s="2">
        <v>6</v>
      </c>
      <c r="EN501" s="2">
        <v>2</v>
      </c>
      <c r="EO501" s="2">
        <v>12</v>
      </c>
      <c r="EP501" s="2" t="s">
        <v>102</v>
      </c>
      <c r="EQ501" s="2" t="s">
        <v>102</v>
      </c>
      <c r="ER501" s="2" t="s">
        <v>102</v>
      </c>
      <c r="ES501" s="2" t="s">
        <v>102</v>
      </c>
      <c r="ET501" s="2" t="str">
        <f>HYPERLINK(".\links\REFSEQ-INVERTEBRATE\AGAP029590-PB-REFSEQ-INVERTEBRATE.txt","uncharacterized protein LOC118503857 isoform X3")</f>
        <v>uncharacterized protein LOC118503857 isoform X3</v>
      </c>
      <c r="EU501" s="2" t="str">
        <f>HYPERLINK("http://www.ncbi.nlm.nih.gov/sutils/blink.cgi?pid=XP_035893471.1","0.0")</f>
        <v>0.0</v>
      </c>
      <c r="EV501" s="2" t="str">
        <f>HYPERLINK("http://www.ncbi.nlm.nih.gov/protein/XP_035893471.1","XP_035893471.1")</f>
        <v>XP_035893471.1</v>
      </c>
      <c r="EW501" s="2">
        <v>58</v>
      </c>
      <c r="EX501" s="2">
        <v>66</v>
      </c>
      <c r="EY501" s="2">
        <v>51</v>
      </c>
      <c r="EZ501" s="2" t="s">
        <v>370</v>
      </c>
    </row>
    <row r="502" spans="1:156" x14ac:dyDescent="0.25">
      <c r="A502" s="2" t="s">
        <v>5241</v>
      </c>
      <c r="B502" s="2">
        <v>-0.46312996817033802</v>
      </c>
      <c r="C502" s="2">
        <f t="shared" si="7"/>
        <v>0.72541075084370621</v>
      </c>
      <c r="D502" s="2">
        <v>5.3184257905270202</v>
      </c>
      <c r="E502" s="2">
        <v>11.341266648299699</v>
      </c>
      <c r="F502" s="2">
        <v>7.5803603806728296E-4</v>
      </c>
      <c r="G502" s="2">
        <v>2.9655933300736001E-2</v>
      </c>
      <c r="H502" s="2" t="s">
        <v>5242</v>
      </c>
      <c r="I502" s="2" t="s">
        <v>94</v>
      </c>
      <c r="J502" s="2" t="str">
        <f>HYPERLINK("https://vectorbase.org/vectorbase/app/record/gene/AGAP002331","AGAP002331-RA")</f>
        <v>AGAP002331-RA</v>
      </c>
      <c r="K502" s="2" t="str">
        <f>HYPERLINK(".\links\pep\AGAP002331-PA-pep.txt","AGAP002331-PA")</f>
        <v>AGAP002331-PA</v>
      </c>
      <c r="L502" s="12" t="s">
        <v>95</v>
      </c>
      <c r="M502" s="2">
        <v>655</v>
      </c>
      <c r="N502" s="2">
        <v>0</v>
      </c>
      <c r="O502" s="2">
        <v>0</v>
      </c>
      <c r="P502" s="2" t="s">
        <v>5243</v>
      </c>
      <c r="Q502" s="9" t="s">
        <v>5244</v>
      </c>
      <c r="R502" s="2" t="s">
        <v>167</v>
      </c>
      <c r="S502" s="2" t="str">
        <f>HYPERLINK(".\links\KOG\AGAP002331-PA-KOG.txt","KOG")</f>
        <v>KOG</v>
      </c>
      <c r="T502" s="2">
        <v>0</v>
      </c>
      <c r="U502" s="2">
        <v>95.7</v>
      </c>
      <c r="V502" s="2" t="s">
        <v>5245</v>
      </c>
      <c r="W502" s="10" t="s">
        <v>5246</v>
      </c>
      <c r="X502" s="2" t="s">
        <v>167</v>
      </c>
      <c r="Y502" s="2" t="str">
        <f>HYPERLINK(".\links\REFSEQVERTEBRATE95\AGAP002331-PA-REFSEQVERTEBRATE95.txt","REFSEQVERTEBRATE95")</f>
        <v>REFSEQVERTEBRATE95</v>
      </c>
      <c r="Z502" s="2">
        <v>0</v>
      </c>
      <c r="AA502" s="2">
        <v>92</v>
      </c>
      <c r="AB502" s="13" t="str">
        <f>HYPERLINK(".\links\pep\AGAP002331-PA-sulf.txt","1")</f>
        <v>1</v>
      </c>
      <c r="AC502" s="13" t="str">
        <f>HYPERLINK(".\links\Sigp\AGAP002331-PA-SigP.txt","CYT")</f>
        <v>CYT</v>
      </c>
      <c r="AD502" s="2" t="s">
        <v>102</v>
      </c>
      <c r="AE502" s="2">
        <v>70.320999999999998</v>
      </c>
      <c r="AF502" s="2">
        <v>7.91</v>
      </c>
      <c r="AG502" s="2" t="s">
        <v>102</v>
      </c>
      <c r="AH502" s="2" t="s">
        <v>102</v>
      </c>
      <c r="AI502" s="2" t="s">
        <v>5247</v>
      </c>
      <c r="AJ502" s="13" t="str">
        <f>HYPERLINK(".\links\tmhmm\AGAP002331-PA-tmhmm.txt","9")</f>
        <v>9</v>
      </c>
      <c r="AK502" s="2">
        <v>29</v>
      </c>
      <c r="AL502" s="2">
        <v>37.4</v>
      </c>
      <c r="AM502" s="2">
        <v>33.6</v>
      </c>
      <c r="AN502" s="13" t="str">
        <f>HYPERLINK(".\links\gpi\AGAP002331-PA-gpi.txt","N")</f>
        <v>N</v>
      </c>
      <c r="AO502" s="14" t="str">
        <f>HYPERLINK(".\links\netoglyc\AGAP002331-PA-netoglyc.txt","0")</f>
        <v>0</v>
      </c>
      <c r="AP502" s="13">
        <v>13.4</v>
      </c>
      <c r="AQ502" s="2">
        <v>8.5</v>
      </c>
      <c r="AR502" s="2">
        <v>5.5</v>
      </c>
      <c r="AS502" s="2" t="s">
        <v>104</v>
      </c>
      <c r="AT502" s="9" t="str">
        <f>HYPERLINK(".\links\NR-LIGHT\AGAP002331-PA-NR-LIGHT.txt","AGAP002331-PA")</f>
        <v>AGAP002331-PA</v>
      </c>
      <c r="AU502" s="2" t="str">
        <f>HYPERLINK("http://www.ncbi.nlm.nih.gov/sutils/blink.cgi?pid=XP_312638.5","0.0")</f>
        <v>0.0</v>
      </c>
      <c r="AV502" s="2" t="str">
        <f>HYPERLINK("http://www.ncbi.nlm.nih.gov/protein/XP_312638.5","XP_312638.5")</f>
        <v>XP_312638.5</v>
      </c>
      <c r="AW502" s="2">
        <v>100</v>
      </c>
      <c r="AX502" s="2">
        <v>100</v>
      </c>
      <c r="AY502" s="2">
        <v>100</v>
      </c>
      <c r="AZ502" s="2" t="s">
        <v>105</v>
      </c>
      <c r="BA502" s="9" t="str">
        <f>HYPERLINK(".\links\REFSEQ-INVERTEBRATE\AGAP002331-PA-REFSEQ-INVERTEBRATE.txt","AGAP002331-PA")</f>
        <v>AGAP002331-PA</v>
      </c>
      <c r="BB502" s="2" t="str">
        <f>HYPERLINK("http://www.ncbi.nlm.nih.gov/sutils/blink.cgi?pid=XP_312638.5","0.0")</f>
        <v>0.0</v>
      </c>
      <c r="BC502" s="2" t="str">
        <f>HYPERLINK("http://www.ncbi.nlm.nih.gov/protein/XP_312638.5","XP_312638.5")</f>
        <v>XP_312638.5</v>
      </c>
      <c r="BD502" s="2">
        <v>100</v>
      </c>
      <c r="BE502" s="2">
        <v>100</v>
      </c>
      <c r="BF502" s="2">
        <v>100</v>
      </c>
      <c r="BG502" s="2" t="s">
        <v>105</v>
      </c>
      <c r="BH502" s="9" t="str">
        <f>HYPERLINK(".\links\REFSEQ-PROTOZOA\AGAP002331-PA-REFSEQ-PROTOZOA.txt","hypothetical protein")</f>
        <v>hypothetical protein</v>
      </c>
      <c r="BI502" s="2" t="str">
        <f>HYPERLINK("http://www.ncbi.nlm.nih.gov/sutils/blink.cgi?pid=XP_001746198.1","3E-084")</f>
        <v>3E-084</v>
      </c>
      <c r="BJ502" s="2" t="str">
        <f>HYPERLINK("http://www.ncbi.nlm.nih.gov/protein/XP_001746198.1","XP_001746198.1")</f>
        <v>XP_001746198.1</v>
      </c>
      <c r="BK502" s="2">
        <v>38</v>
      </c>
      <c r="BL502" s="2">
        <v>55</v>
      </c>
      <c r="BM502" s="2">
        <v>98</v>
      </c>
      <c r="BN502" s="2" t="s">
        <v>248</v>
      </c>
      <c r="BO502" s="9" t="str">
        <f>HYPERLINK(".\links\SWISSP\AGAP002331-PA-SWISSP.txt","Sodium-independent sulfate anion transporter")</f>
        <v>Sodium-independent sulfate anion transporter</v>
      </c>
      <c r="BP502" s="2" t="str">
        <f>HYPERLINK("http://www.uniprot.org/uniprot/Q58DD2","1E-110")</f>
        <v>1E-110</v>
      </c>
      <c r="BQ502" s="2" t="str">
        <f>HYPERLINK("http://www.uniprot.org/uniprot/Q58DD2#expression","Q58DD2")</f>
        <v>Q58DD2</v>
      </c>
      <c r="BR502" s="2">
        <v>40</v>
      </c>
      <c r="BS502" s="2">
        <v>58</v>
      </c>
      <c r="BT502" s="2">
        <v>95</v>
      </c>
      <c r="BU502" s="2" t="s">
        <v>1284</v>
      </c>
      <c r="BV502" s="9" t="str">
        <f>HYPERLINK(".\links\FLYBASE\AGAP002331-PA-FLYBASE.txt","FBpp0293017")</f>
        <v>FBpp0293017</v>
      </c>
      <c r="BW502" s="2" t="str">
        <f>HYPERLINK("http://flybase.org/reports/FBgn0013953#alliance_summary_container","0.0")</f>
        <v>0.0</v>
      </c>
      <c r="BX502" s="2">
        <v>654</v>
      </c>
      <c r="BY502" s="2">
        <v>66</v>
      </c>
      <c r="BZ502" s="2">
        <v>80</v>
      </c>
      <c r="CA502" s="2">
        <v>100</v>
      </c>
      <c r="CB502" s="9" t="str">
        <f>HYPERLINK(".\links\CDD\AGAP002331-PA-CDD.txt","Sulfate_transporter, high affinity sulphate transporter 1")</f>
        <v>Sulfate_transporter, high affinity sulphate transporter 1</v>
      </c>
      <c r="CC502" s="15">
        <v>8.0000000000000003E-84</v>
      </c>
      <c r="CD502" s="2">
        <v>102</v>
      </c>
      <c r="CE502" s="2" t="s">
        <v>5248</v>
      </c>
      <c r="CF502" s="2" t="s">
        <v>5249</v>
      </c>
      <c r="CG502" s="9" t="str">
        <f>HYPERLINK(".\links\KOG\AGAP002331-PA-KOG.txt","Sulfate/bicarbonate/oxalate exchanger SAT-1 and related transporters (SLC26 family)")</f>
        <v>Sulfate/bicarbonate/oxalate exchanger SAT-1 and related transporters (SLC26 family)</v>
      </c>
      <c r="CH502" s="15">
        <v>9.9999999999999993E-125</v>
      </c>
      <c r="CI502" s="2">
        <v>95.8</v>
      </c>
      <c r="CJ502" s="2" t="s">
        <v>5250</v>
      </c>
      <c r="CK502" s="2" t="s">
        <v>640</v>
      </c>
      <c r="CL502" s="9" t="str">
        <f>HYPERLINK(".\links\PFAM\AGAP002331-PA-PFAM.txt","Sulfate_transp, Sulfate permease family")</f>
        <v>Sulfate_transp, Sulfate permease family</v>
      </c>
      <c r="CM502" s="15">
        <v>3.9999999999999998E-75</v>
      </c>
      <c r="CN502" s="2">
        <v>106.6</v>
      </c>
      <c r="CO502" s="2" t="s">
        <v>5251</v>
      </c>
      <c r="CP502" s="9" t="str">
        <f>HYPERLINK(".\links\SMART\AGAP002331-PA-SMART.txt","VPS10, VPS10 domain")</f>
        <v>VPS10, VPS10 domain</v>
      </c>
      <c r="CQ502" s="15">
        <v>0.25</v>
      </c>
      <c r="CR502" s="2">
        <v>9.3000000000000007</v>
      </c>
      <c r="CS502" s="2" t="s">
        <v>3941</v>
      </c>
      <c r="CT502" s="2" t="s">
        <v>5245</v>
      </c>
      <c r="CU502" s="2" t="s">
        <v>5245</v>
      </c>
      <c r="CV502" s="2" t="s">
        <v>5245</v>
      </c>
      <c r="CW502" s="2" t="str">
        <f>HYPERLINK(".\links\pep\AGAP002331-PA-pep.txt","AGAP002331-PA")</f>
        <v>AGAP002331-PA</v>
      </c>
      <c r="CX502" s="2" t="s">
        <v>95</v>
      </c>
      <c r="CY502" s="2">
        <v>655</v>
      </c>
      <c r="CZ502" s="2" t="s">
        <v>113</v>
      </c>
      <c r="DA502" s="2" t="s">
        <v>5252</v>
      </c>
      <c r="DB502" s="2">
        <v>0</v>
      </c>
      <c r="DC502" s="2">
        <v>0</v>
      </c>
      <c r="DD502" s="2" t="str">
        <f>HYPERLINK("https://www.kegg.jp/kegg-bin/search_pathway_text?map=aga&amp;keyword=AGAP002331&amp;mode=1&amp;viewImage=true","AGAP002331")</f>
        <v>AGAP002331</v>
      </c>
      <c r="DE502" s="2" t="s">
        <v>5241</v>
      </c>
      <c r="DF502" s="2" t="s">
        <v>5242</v>
      </c>
      <c r="DG502" s="2" t="s">
        <v>94</v>
      </c>
      <c r="DH502" s="2" t="str">
        <f>HYPERLINK("https://vectorbase.org/vectorbase/app/record/gene/AGAP002331","AGAP002331-RA")</f>
        <v>AGAP002331-RA</v>
      </c>
      <c r="DI502" s="2" t="s">
        <v>115</v>
      </c>
      <c r="DJ502" s="2">
        <v>2922</v>
      </c>
      <c r="DK502" s="2" t="str">
        <f>HYPERLINK(".\links\netoglyc\AGAP002331-PA-netoglyc.txt","0")</f>
        <v>0</v>
      </c>
      <c r="DL502" s="2">
        <v>13.4</v>
      </c>
      <c r="DM502" s="2">
        <v>8.5</v>
      </c>
      <c r="DN502" s="2">
        <v>5.5</v>
      </c>
      <c r="DO502" s="2" t="s">
        <v>104</v>
      </c>
      <c r="DP502" s="2" t="s">
        <v>5253</v>
      </c>
      <c r="DQ502" s="2" t="str">
        <f>HYPERLINK(".\links\Sigp\AGAP002331-PA-SigP.txt","CYT")</f>
        <v>CYT</v>
      </c>
      <c r="DR502" s="2" t="s">
        <v>102</v>
      </c>
      <c r="DS502" s="2">
        <v>70.320999999999998</v>
      </c>
      <c r="DT502" s="2">
        <v>7.91</v>
      </c>
      <c r="DU502" s="2" t="s">
        <v>102</v>
      </c>
      <c r="DV502" s="2" t="s">
        <v>102</v>
      </c>
      <c r="DW502" s="2" t="s">
        <v>5247</v>
      </c>
      <c r="DX502" s="2">
        <v>655</v>
      </c>
      <c r="DY502" s="12" t="str">
        <f>HYPERLINK(".\links\tmhmm\AGAP002331-PA-tmhmm.txt","9")</f>
        <v>9</v>
      </c>
      <c r="DZ502" s="2">
        <v>29</v>
      </c>
      <c r="EA502" s="2">
        <v>37.4</v>
      </c>
      <c r="EB502" s="2">
        <v>33.6</v>
      </c>
      <c r="EC502" s="2" t="str">
        <f>HYPERLINK(".\links\gpi\AGAP002331-PA-gpi.txt","Y-NoSP")</f>
        <v>Y-NoSP</v>
      </c>
      <c r="ED502" s="2">
        <v>0.26</v>
      </c>
      <c r="EF502" s="2">
        <v>11</v>
      </c>
      <c r="EG502" s="2" t="str">
        <f>HYPERLINK(".\links\pep\AGAP002331-PA-sulf.txt","1")</f>
        <v>1</v>
      </c>
      <c r="EH502" s="2" t="s">
        <v>102</v>
      </c>
      <c r="EI502" s="2">
        <v>13.4351145038168</v>
      </c>
      <c r="EJ502" s="2">
        <v>5.4961832061068696</v>
      </c>
      <c r="EK502" s="2">
        <v>8.5496183206106906</v>
      </c>
      <c r="EL502" s="2">
        <v>14.0458015267176</v>
      </c>
      <c r="EM502" s="2">
        <v>1</v>
      </c>
      <c r="EN502" s="2">
        <v>1</v>
      </c>
      <c r="EO502" s="2">
        <v>5</v>
      </c>
      <c r="EP502" s="2" t="s">
        <v>102</v>
      </c>
      <c r="EQ502" s="2" t="s">
        <v>102</v>
      </c>
      <c r="ER502" s="2" t="s">
        <v>102</v>
      </c>
      <c r="ES502" s="2" t="s">
        <v>102</v>
      </c>
      <c r="ET502" s="2" t="str">
        <f>HYPERLINK(".\links\REFSEQ-INVERTEBRATE\AGAP002331-PA-REFSEQ-INVERTEBRATE.txt","AGAP002331-PA")</f>
        <v>AGAP002331-PA</v>
      </c>
      <c r="EU502" s="2" t="str">
        <f>HYPERLINK("http://www.ncbi.nlm.nih.gov/sutils/blink.cgi?pid=XP_312638.5","0.0")</f>
        <v>0.0</v>
      </c>
      <c r="EV502" s="2" t="str">
        <f>HYPERLINK("http://www.ncbi.nlm.nih.gov/protein/XP_312638.5","XP_312638.5")</f>
        <v>XP_312638.5</v>
      </c>
      <c r="EW502" s="2">
        <v>100</v>
      </c>
      <c r="EX502" s="2">
        <v>100</v>
      </c>
      <c r="EY502" s="2">
        <v>100</v>
      </c>
      <c r="EZ502" s="2" t="s">
        <v>105</v>
      </c>
    </row>
    <row r="503" spans="1:156" x14ac:dyDescent="0.25">
      <c r="A503" s="2" t="s">
        <v>5254</v>
      </c>
      <c r="B503" s="2">
        <v>-0.46330812863521798</v>
      </c>
      <c r="C503" s="2">
        <f t="shared" si="7"/>
        <v>0.72532117436823562</v>
      </c>
      <c r="D503" s="2">
        <v>7.0055082305681502</v>
      </c>
      <c r="E503" s="2">
        <v>14.5593393137397</v>
      </c>
      <c r="F503" s="2">
        <v>1.3581378616060399E-4</v>
      </c>
      <c r="G503" s="2">
        <v>1.25088304917079E-2</v>
      </c>
      <c r="H503" s="2" t="s">
        <v>5255</v>
      </c>
      <c r="I503" s="2" t="s">
        <v>94</v>
      </c>
      <c r="J503" s="2" t="str">
        <f>HYPERLINK("https://vectorbase.org/vectorbase/app/record/gene/AGAP004050","AGAP004050-RB")</f>
        <v>AGAP004050-RB</v>
      </c>
      <c r="K503" s="2" t="str">
        <f>HYPERLINK(".\links\pep\AGAP004050-PB-pep.txt","AGAP004050-PB")</f>
        <v>AGAP004050-PB</v>
      </c>
      <c r="L503" s="12" t="s">
        <v>95</v>
      </c>
      <c r="M503" s="2">
        <v>265</v>
      </c>
      <c r="N503" s="2">
        <v>0</v>
      </c>
      <c r="O503" s="2">
        <v>0</v>
      </c>
      <c r="P503" s="2" t="s">
        <v>5256</v>
      </c>
      <c r="Q503" s="9" t="s">
        <v>5257</v>
      </c>
      <c r="R503" s="2" t="s">
        <v>564</v>
      </c>
      <c r="S503" s="2" t="str">
        <f>HYPERLINK(".\links\SWISSP\AGAP004050-PB-SWISSP.txt","SWISSP")</f>
        <v>SWISSP</v>
      </c>
      <c r="T503" s="2">
        <v>4.9999999999999997E-21</v>
      </c>
      <c r="U503" s="2">
        <v>42</v>
      </c>
      <c r="V503" s="2" t="s">
        <v>5258</v>
      </c>
      <c r="W503" s="10" t="s">
        <v>5259</v>
      </c>
      <c r="X503" s="2" t="s">
        <v>420</v>
      </c>
      <c r="Y503" s="2" t="str">
        <f>HYPERLINK(".\links\PFAM\AGAP004050-PB-PFAM.txt","PFAM")</f>
        <v>PFAM</v>
      </c>
      <c r="Z503" s="15">
        <v>1.0000000000000001E-31</v>
      </c>
      <c r="AA503" s="2">
        <v>98.3</v>
      </c>
      <c r="AB503" s="13" t="str">
        <f>HYPERLINK(".\links\pep\AGAP004050-PB-sulf.txt","1")</f>
        <v>1</v>
      </c>
      <c r="AC503" s="13" t="str">
        <f>HYPERLINK(".\links\Sigp\AGAP004050-PB-SigP.txt","CYT")</f>
        <v>CYT</v>
      </c>
      <c r="AD503" s="2" t="s">
        <v>102</v>
      </c>
      <c r="AE503" s="2">
        <v>29.689</v>
      </c>
      <c r="AF503" s="2">
        <v>8.0399999999999991</v>
      </c>
      <c r="AG503" s="2" t="s">
        <v>102</v>
      </c>
      <c r="AH503" s="2" t="s">
        <v>102</v>
      </c>
      <c r="AI503" s="2" t="s">
        <v>124</v>
      </c>
      <c r="AJ503" s="13">
        <v>0</v>
      </c>
      <c r="AK503" s="2" t="s">
        <v>102</v>
      </c>
      <c r="AL503" s="2" t="s">
        <v>102</v>
      </c>
      <c r="AM503" s="2" t="s">
        <v>102</v>
      </c>
      <c r="AN503" s="13" t="str">
        <f>HYPERLINK(".\links\gpi\AGAP004050-PB-gpi.txt","N")</f>
        <v>N</v>
      </c>
      <c r="AO503" s="14" t="str">
        <f>HYPERLINK(".\links\netoglyc\AGAP004050-PB-netoglyc.txt","7")</f>
        <v>7</v>
      </c>
      <c r="AP503" s="13">
        <v>12.8</v>
      </c>
      <c r="AQ503" s="2">
        <v>6</v>
      </c>
      <c r="AR503" s="2">
        <v>7.2</v>
      </c>
      <c r="AS503" s="2" t="s">
        <v>104</v>
      </c>
      <c r="AT503" s="9" t="str">
        <f>HYPERLINK(".\links\NR-LIGHT\AGAP004050-PB-NR-LIGHT.txt","AGAP004050-PB")</f>
        <v>AGAP004050-PB</v>
      </c>
      <c r="AU503" s="2" t="str">
        <f>HYPERLINK("http://www.ncbi.nlm.nih.gov/sutils/blink.cgi?pid=XP_309601.4","1E-157")</f>
        <v>1E-157</v>
      </c>
      <c r="AV503" s="2" t="str">
        <f>HYPERLINK("http://www.ncbi.nlm.nih.gov/protein/XP_309601.4","XP_309601.4")</f>
        <v>XP_309601.4</v>
      </c>
      <c r="AW503" s="2">
        <v>100</v>
      </c>
      <c r="AX503" s="2">
        <v>100</v>
      </c>
      <c r="AY503" s="2">
        <v>100</v>
      </c>
      <c r="AZ503" s="2" t="s">
        <v>105</v>
      </c>
      <c r="BA503" s="9" t="str">
        <f>HYPERLINK(".\links\REFSEQ-INVERTEBRATE\AGAP004050-PB-REFSEQ-INVERTEBRATE.txt","AGAP004050-PB")</f>
        <v>AGAP004050-PB</v>
      </c>
      <c r="BB503" s="2" t="str">
        <f>HYPERLINK("http://www.ncbi.nlm.nih.gov/sutils/blink.cgi?pid=XP_309601.4","1E-157")</f>
        <v>1E-157</v>
      </c>
      <c r="BC503" s="2" t="str">
        <f>HYPERLINK("http://www.ncbi.nlm.nih.gov/protein/XP_309601.4","XP_309601.4")</f>
        <v>XP_309601.4</v>
      </c>
      <c r="BD503" s="2">
        <v>100</v>
      </c>
      <c r="BE503" s="2">
        <v>100</v>
      </c>
      <c r="BF503" s="2">
        <v>100</v>
      </c>
      <c r="BG503" s="2" t="s">
        <v>105</v>
      </c>
      <c r="BH503" s="9" t="str">
        <f>HYPERLINK(".\links\REFSEQ-PROTOZOA\AGAP004050-PB-REFSEQ-PROTOZOA.txt","hypothetical protein TTHERM_00348680")</f>
        <v>hypothetical protein TTHERM_00348680</v>
      </c>
      <c r="BI503" s="2" t="str">
        <f>HYPERLINK("http://www.ncbi.nlm.nih.gov/sutils/blink.cgi?pid=XP_001023023.2","0.13")</f>
        <v>0.13</v>
      </c>
      <c r="BJ503" s="2" t="str">
        <f>HYPERLINK("http://www.ncbi.nlm.nih.gov/protein/XP_001023023.2","XP_001023023.2")</f>
        <v>XP_001023023.2</v>
      </c>
      <c r="BK503" s="2">
        <v>32</v>
      </c>
      <c r="BL503" s="2">
        <v>57</v>
      </c>
      <c r="BM503" s="2">
        <v>7</v>
      </c>
      <c r="BN503" s="2" t="s">
        <v>539</v>
      </c>
      <c r="BO503" s="9" t="str">
        <f>HYPERLINK(".\links\SWISSP\AGAP004050-PB-SWISSP.txt","Protein doublesex")</f>
        <v>Protein doublesex</v>
      </c>
      <c r="BP503" s="2" t="str">
        <f>HYPERLINK("http://www.uniprot.org/uniprot/P23023","2E-036")</f>
        <v>2E-036</v>
      </c>
      <c r="BQ503" s="2" t="str">
        <f>HYPERLINK("http://www.uniprot.org/uniprot/P23023#expression","P23023")</f>
        <v>P23023</v>
      </c>
      <c r="BR503" s="2">
        <v>71</v>
      </c>
      <c r="BS503" s="2">
        <v>82</v>
      </c>
      <c r="BT503" s="2">
        <v>20</v>
      </c>
      <c r="BU503" s="2" t="s">
        <v>107</v>
      </c>
      <c r="BV503" s="9" t="str">
        <f>HYPERLINK(".\links\FLYBASE\AGAP004050-PB-FLYBASE.txt","FBpp0303107")</f>
        <v>FBpp0303107</v>
      </c>
      <c r="BW503" s="2" t="str">
        <f>HYPERLINK("http://flybase.org/reports/FBgn0000504#alliance_summary_container","7E-38")</f>
        <v>7E-38</v>
      </c>
      <c r="BX503" s="2">
        <v>572</v>
      </c>
      <c r="BY503" s="2">
        <v>71</v>
      </c>
      <c r="BZ503" s="2">
        <v>82</v>
      </c>
      <c r="CA503" s="2">
        <v>19</v>
      </c>
      <c r="CB503" s="9" t="str">
        <f>HYPERLINK(".\links\CDD\AGAP004050-PB-CDD.txt","DSX_dimer, Doublesex dimerisation domain")</f>
        <v>DSX_dimer, Doublesex dimerisation domain</v>
      </c>
      <c r="CC503" s="15">
        <v>1.9999999999999999E-29</v>
      </c>
      <c r="CD503" s="2">
        <v>100</v>
      </c>
      <c r="CE503" s="2" t="s">
        <v>5260</v>
      </c>
      <c r="CF503" s="2" t="s">
        <v>5261</v>
      </c>
      <c r="CG503" s="9" t="str">
        <f>HYPERLINK(".\links\KOG\AGAP004050-PB-KOG.txt","Transcription factor Doublesex")</f>
        <v>Transcription factor Doublesex</v>
      </c>
      <c r="CH503" s="15">
        <v>7.9999999999999996E-20</v>
      </c>
      <c r="CI503" s="2">
        <v>23</v>
      </c>
      <c r="CJ503" s="2" t="s">
        <v>5262</v>
      </c>
      <c r="CK503" s="2" t="s">
        <v>309</v>
      </c>
      <c r="CL503" s="9" t="str">
        <f>HYPERLINK(".\links\PFAM\AGAP004050-PB-PFAM.txt","DSX_dimer, Doublesex dimerisation domain")</f>
        <v>DSX_dimer, Doublesex dimerisation domain</v>
      </c>
      <c r="CM503" s="15">
        <v>4.0000000000000003E-30</v>
      </c>
      <c r="CN503" s="2">
        <v>100</v>
      </c>
      <c r="CO503" s="2" t="s">
        <v>5260</v>
      </c>
      <c r="CP503" s="9" t="str">
        <f>HYPERLINK(".\links\SMART\AGAP004050-PB-SMART.txt","DM, Doublesex DNA-binding motif")</f>
        <v>DM, Doublesex DNA-binding motif</v>
      </c>
      <c r="CQ503" s="15">
        <v>9.0000000000000003E-19</v>
      </c>
      <c r="CR503" s="2">
        <v>100</v>
      </c>
      <c r="CS503" s="2" t="s">
        <v>5263</v>
      </c>
      <c r="CT503" s="2" t="s">
        <v>5258</v>
      </c>
      <c r="CU503" s="2" t="s">
        <v>5258</v>
      </c>
      <c r="CV503" s="2" t="s">
        <v>5258</v>
      </c>
      <c r="CW503" s="2" t="str">
        <f>HYPERLINK(".\links\pep\AGAP004050-PB-pep.txt","AGAP004050-PB")</f>
        <v>AGAP004050-PB</v>
      </c>
      <c r="CX503" s="2" t="s">
        <v>95</v>
      </c>
      <c r="CY503" s="2">
        <v>265</v>
      </c>
      <c r="CZ503" s="2" t="s">
        <v>113</v>
      </c>
      <c r="DA503" s="2" t="s">
        <v>5264</v>
      </c>
      <c r="DB503" s="2">
        <v>0</v>
      </c>
      <c r="DC503" s="2">
        <v>0</v>
      </c>
      <c r="DD503" s="2" t="str">
        <f>HYPERLINK("https://www.kegg.jp/kegg-bin/search_pathway_text?map=aga&amp;keyword=AGAP004050&amp;mode=1&amp;viewImage=true","AGAP004050")</f>
        <v>AGAP004050</v>
      </c>
      <c r="DE503" s="2" t="s">
        <v>5254</v>
      </c>
      <c r="DF503" s="2" t="s">
        <v>5255</v>
      </c>
      <c r="DG503" s="2" t="s">
        <v>94</v>
      </c>
      <c r="DH503" s="2" t="str">
        <f>HYPERLINK("https://vectorbase.org/vectorbase/app/record/gene/AGAP004050","AGAP004050-RB")</f>
        <v>AGAP004050-RB</v>
      </c>
      <c r="DI503" s="2" t="s">
        <v>118</v>
      </c>
      <c r="DJ503" s="2">
        <v>8667</v>
      </c>
      <c r="DK503" s="2" t="str">
        <f>HYPERLINK(".\links\netoglyc\AGAP004050-PB-netoglyc.txt","7")</f>
        <v>7</v>
      </c>
      <c r="DL503" s="2">
        <v>12.8</v>
      </c>
      <c r="DM503" s="2">
        <v>6</v>
      </c>
      <c r="DN503" s="2">
        <v>7.2</v>
      </c>
      <c r="DO503" s="2" t="s">
        <v>104</v>
      </c>
      <c r="DP503" s="2" t="s">
        <v>102</v>
      </c>
      <c r="DQ503" s="2" t="str">
        <f>HYPERLINK(".\links\Sigp\AGAP004050-PB-SigP.txt","CYT")</f>
        <v>CYT</v>
      </c>
      <c r="DR503" s="2" t="s">
        <v>102</v>
      </c>
      <c r="DS503" s="2">
        <v>29.689</v>
      </c>
      <c r="DT503" s="2">
        <v>8.0399999999999991</v>
      </c>
      <c r="DU503" s="2" t="s">
        <v>102</v>
      </c>
      <c r="DV503" s="2" t="s">
        <v>102</v>
      </c>
      <c r="DW503" s="2" t="s">
        <v>124</v>
      </c>
      <c r="DX503" s="2">
        <v>265</v>
      </c>
      <c r="DY503" s="12">
        <v>0</v>
      </c>
      <c r="DZ503" s="2" t="s">
        <v>102</v>
      </c>
      <c r="EA503" s="2" t="s">
        <v>102</v>
      </c>
      <c r="EB503" s="2" t="s">
        <v>102</v>
      </c>
      <c r="EC503" s="2" t="str">
        <f>HYPERLINK(".\links\gpi\AGAP004050-PB-gpi.txt","N")</f>
        <v>N</v>
      </c>
      <c r="ED503" s="2">
        <v>0.22</v>
      </c>
      <c r="EF503" s="2">
        <v>10</v>
      </c>
      <c r="EG503" s="2" t="str">
        <f>HYPERLINK(".\links\pep\AGAP004050-PB-sulf.txt","1")</f>
        <v>1</v>
      </c>
      <c r="EH503" s="2" t="s">
        <v>102</v>
      </c>
      <c r="EI503" s="2">
        <v>12.8301886792453</v>
      </c>
      <c r="EJ503" s="2">
        <v>7.1698113207547198</v>
      </c>
      <c r="EK503" s="2">
        <v>6.0377358490565998</v>
      </c>
      <c r="EL503" s="2">
        <v>13.207547169811299</v>
      </c>
      <c r="EM503" s="2">
        <v>1</v>
      </c>
      <c r="EN503" s="2">
        <v>1</v>
      </c>
      <c r="EO503" s="2">
        <v>3</v>
      </c>
      <c r="EP503" s="2" t="s">
        <v>102</v>
      </c>
      <c r="EQ503" s="2" t="s">
        <v>102</v>
      </c>
      <c r="ER503" s="2" t="s">
        <v>102</v>
      </c>
      <c r="ES503" s="2" t="s">
        <v>102</v>
      </c>
      <c r="ET503" s="2" t="str">
        <f>HYPERLINK(".\links\REFSEQ-INVERTEBRATE\AGAP004050-PB-REFSEQ-INVERTEBRATE.txt","AGAP004050-PB")</f>
        <v>AGAP004050-PB</v>
      </c>
      <c r="EU503" s="2" t="str">
        <f>HYPERLINK("http://www.ncbi.nlm.nih.gov/sutils/blink.cgi?pid=XP_309601.4","0.0")</f>
        <v>0.0</v>
      </c>
      <c r="EV503" s="2" t="str">
        <f>HYPERLINK("http://www.ncbi.nlm.nih.gov/protein/XP_309601.4","XP_309601.4")</f>
        <v>XP_309601.4</v>
      </c>
      <c r="EW503" s="2">
        <v>100</v>
      </c>
      <c r="EX503" s="2">
        <v>100</v>
      </c>
      <c r="EY503" s="2">
        <v>100</v>
      </c>
      <c r="EZ503" s="2" t="s">
        <v>105</v>
      </c>
    </row>
    <row r="504" spans="1:156" x14ac:dyDescent="0.25">
      <c r="A504" s="2" t="s">
        <v>5265</v>
      </c>
      <c r="B504" s="2">
        <v>-0.46419429809387303</v>
      </c>
      <c r="C504" s="2">
        <f t="shared" si="7"/>
        <v>0.72487578564152411</v>
      </c>
      <c r="D504" s="2">
        <v>6.9575805415016898</v>
      </c>
      <c r="E504" s="2">
        <v>9.6513706686700402</v>
      </c>
      <c r="F504" s="2">
        <v>1.8921034896089101E-3</v>
      </c>
      <c r="G504" s="2">
        <v>4.2483670186033502E-2</v>
      </c>
      <c r="H504" s="2" t="s">
        <v>93</v>
      </c>
      <c r="I504" s="2" t="s">
        <v>94</v>
      </c>
      <c r="J504" s="2" t="str">
        <f>HYPERLINK("https://vectorbase.org/vectorbase/app/record/gene/AGAP003546","AGAP003546-RB")</f>
        <v>AGAP003546-RB</v>
      </c>
      <c r="K504" s="2" t="str">
        <f>HYPERLINK(".\links\pep\AGAP003546-PB-pep.txt","AGAP003546-PB")</f>
        <v>AGAP003546-PB</v>
      </c>
      <c r="Q504" s="9"/>
      <c r="V504" s="2" t="s">
        <v>5266</v>
      </c>
      <c r="W504" s="10" t="s">
        <v>5267</v>
      </c>
      <c r="X504" s="2" t="s">
        <v>355</v>
      </c>
      <c r="Y504" s="2" t="str">
        <f>HYPERLINK(".\links\KOG\AGAP003546-PB-KOG.txt","KOG")</f>
        <v>KOG</v>
      </c>
      <c r="Z504" s="2">
        <v>0</v>
      </c>
      <c r="AA504" s="2">
        <v>37.700000000000003</v>
      </c>
      <c r="AB504" s="9"/>
      <c r="AC504" s="9"/>
      <c r="AJ504" s="9"/>
      <c r="AN504" s="9"/>
      <c r="AO504" s="11"/>
      <c r="AP504" s="9"/>
      <c r="AT504" s="9"/>
      <c r="BA504" s="9"/>
      <c r="BH504" s="9"/>
      <c r="BO504" s="9"/>
      <c r="BV504" s="9"/>
      <c r="CB504" s="9"/>
      <c r="CG504" s="9"/>
      <c r="CL504" s="9"/>
      <c r="CP504" s="9"/>
      <c r="CW504" s="2" t="str">
        <f>HYPERLINK(".\links\pep\AGAP003546-PB-pep.txt","AGAP003546-PB")</f>
        <v>AGAP003546-PB</v>
      </c>
      <c r="CX504" s="2" t="s">
        <v>95</v>
      </c>
      <c r="CY504" s="2">
        <v>2692</v>
      </c>
      <c r="CZ504" s="2" t="s">
        <v>113</v>
      </c>
      <c r="DA504" s="2" t="s">
        <v>5268</v>
      </c>
      <c r="DB504" s="2">
        <v>0</v>
      </c>
      <c r="DC504" s="2">
        <v>10</v>
      </c>
      <c r="DD504" s="2" t="str">
        <f>HYPERLINK("https://www.kegg.jp/kegg-bin/search_pathway_text?map=aga&amp;keyword=AGAP003546&amp;mode=1&amp;viewImage=true","AGAP003546")</f>
        <v>AGAP003546</v>
      </c>
      <c r="DE504" s="2" t="s">
        <v>5265</v>
      </c>
      <c r="DF504" s="2" t="s">
        <v>93</v>
      </c>
      <c r="DG504" s="2" t="s">
        <v>94</v>
      </c>
      <c r="DH504" s="2" t="str">
        <f>HYPERLINK("https://vectorbase.org/vectorbase/app/record/gene/AGAP003546","AGAP003546-RB")</f>
        <v>AGAP003546-RB</v>
      </c>
      <c r="DI504" s="2" t="s">
        <v>90</v>
      </c>
      <c r="DJ504" s="2">
        <v>9426</v>
      </c>
      <c r="DK504" s="2" t="str">
        <f>HYPERLINK(".\links\netoglyc\AGAP003546-PB-netoglyc.txt","10")</f>
        <v>10</v>
      </c>
      <c r="DL504" s="2">
        <v>16.7</v>
      </c>
      <c r="DM504" s="2">
        <v>10.1</v>
      </c>
      <c r="DN504" s="2">
        <v>8.4</v>
      </c>
      <c r="DO504" s="2">
        <v>0.2</v>
      </c>
      <c r="DP504" s="2" t="s">
        <v>5269</v>
      </c>
      <c r="DQ504" s="2" t="str">
        <f>HYPERLINK(".\links\Sigp\AGAP003546-PB-SigP.txt","CYT")</f>
        <v>CYT</v>
      </c>
      <c r="DR504" s="2" t="s">
        <v>102</v>
      </c>
      <c r="DS504" s="2">
        <v>289.25900000000001</v>
      </c>
      <c r="DT504" s="2">
        <v>8.64</v>
      </c>
      <c r="DU504" s="2" t="s">
        <v>102</v>
      </c>
      <c r="DV504" s="2" t="s">
        <v>102</v>
      </c>
      <c r="DW504" s="2" t="s">
        <v>971</v>
      </c>
      <c r="DX504" s="2">
        <v>2692</v>
      </c>
      <c r="DY504" s="12">
        <v>0</v>
      </c>
      <c r="DZ504" s="2" t="s">
        <v>102</v>
      </c>
      <c r="EA504" s="2" t="s">
        <v>102</v>
      </c>
      <c r="EB504" s="2" t="s">
        <v>102</v>
      </c>
      <c r="EC504" s="2" t="str">
        <f>HYPERLINK(".\links\gpi\AGAP003546-PB-gpi.txt","N")</f>
        <v>N</v>
      </c>
      <c r="ED504" s="2">
        <v>0.26</v>
      </c>
      <c r="EF504" s="2">
        <v>15</v>
      </c>
      <c r="EG504" s="2" t="s">
        <v>102</v>
      </c>
      <c r="EH504" s="2" t="s">
        <v>102</v>
      </c>
      <c r="EI504" s="2">
        <v>16.716196136701299</v>
      </c>
      <c r="EJ504" s="2">
        <v>8.3952451708766702</v>
      </c>
      <c r="EK504" s="2">
        <v>10.0668647845468</v>
      </c>
      <c r="EL504" s="2">
        <v>18.4621099554235</v>
      </c>
      <c r="EM504" s="2">
        <v>12</v>
      </c>
      <c r="EN504" s="2">
        <v>2</v>
      </c>
      <c r="EO504" s="2">
        <v>11</v>
      </c>
      <c r="EP504" s="2" t="s">
        <v>102</v>
      </c>
      <c r="EQ504" s="2" t="s">
        <v>102</v>
      </c>
      <c r="ER504" s="2" t="s">
        <v>102</v>
      </c>
      <c r="ES504" s="2" t="s">
        <v>102</v>
      </c>
      <c r="ET504" s="2" t="str">
        <f>HYPERLINK(".\links\REFSEQ-INVERTEBRATE\AGAP003546-PB-REFSEQ-INVERTEBRATE.txt","AGAP003546-PC")</f>
        <v>AGAP003546-PC</v>
      </c>
      <c r="EU504" s="2" t="str">
        <f>HYPERLINK("http://www.ncbi.nlm.nih.gov/sutils/blink.cgi?pid=XP_003436520.1","0.0")</f>
        <v>0.0</v>
      </c>
      <c r="EV504" s="2" t="str">
        <f>HYPERLINK("http://www.ncbi.nlm.nih.gov/protein/XP_003436520.1","XP_003436520.1")</f>
        <v>XP_003436520.1</v>
      </c>
      <c r="EW504" s="2">
        <v>95</v>
      </c>
      <c r="EX504" s="2">
        <v>96</v>
      </c>
      <c r="EY504" s="2">
        <v>104</v>
      </c>
      <c r="EZ504" s="2" t="s">
        <v>105</v>
      </c>
    </row>
    <row r="505" spans="1:156" x14ac:dyDescent="0.25">
      <c r="A505" s="2" t="s">
        <v>5270</v>
      </c>
      <c r="B505" s="2">
        <v>-0.46784873744732502</v>
      </c>
      <c r="C505" s="2">
        <f t="shared" si="7"/>
        <v>0.72304195223162115</v>
      </c>
      <c r="D505" s="2">
        <v>6.0887907660980396</v>
      </c>
      <c r="E505" s="2">
        <v>18.073842786195101</v>
      </c>
      <c r="F505" s="2">
        <v>2.1250076089603502E-5</v>
      </c>
      <c r="G505" s="2">
        <v>6.2693031398274304E-3</v>
      </c>
      <c r="H505" s="2" t="s">
        <v>93</v>
      </c>
      <c r="I505" s="2" t="s">
        <v>94</v>
      </c>
      <c r="J505" s="2" t="str">
        <f>HYPERLINK("https://vectorbase.org/vectorbase/app/record/gene/AGAP029680","AGAP029680-RA")</f>
        <v>AGAP029680-RA</v>
      </c>
      <c r="K505" s="2" t="str">
        <f>HYPERLINK(".\links\pep\AGAP029680-PA-pep.txt","AGAP029680-PA")</f>
        <v>AGAP029680-PA</v>
      </c>
      <c r="L505" s="12" t="s">
        <v>95</v>
      </c>
      <c r="M505" s="2">
        <v>792</v>
      </c>
      <c r="N505" s="2">
        <v>0</v>
      </c>
      <c r="O505" s="2">
        <v>1</v>
      </c>
      <c r="P505" s="2" t="s">
        <v>102</v>
      </c>
      <c r="Q505" s="9" t="s">
        <v>5271</v>
      </c>
      <c r="R505" s="2" t="s">
        <v>420</v>
      </c>
      <c r="S505" s="2" t="str">
        <f>HYPERLINK(".\links\KOG\AGAP029680-PA-KOG.txt","KOG")</f>
        <v>KOG</v>
      </c>
      <c r="T505" s="2">
        <v>6.9999999999999998E-9</v>
      </c>
      <c r="U505" s="2">
        <v>63.6</v>
      </c>
      <c r="V505" s="2" t="s">
        <v>5272</v>
      </c>
      <c r="W505" s="10" t="s">
        <v>5273</v>
      </c>
      <c r="X505" s="2" t="s">
        <v>564</v>
      </c>
      <c r="Y505" s="2" t="str">
        <f>HYPERLINK(".\links\KOG\AGAP029680-PA-KOG.txt","KOG")</f>
        <v>KOG</v>
      </c>
      <c r="Z505" s="2">
        <v>1E-10</v>
      </c>
      <c r="AA505" s="2">
        <v>46.8</v>
      </c>
      <c r="AB505" s="13" t="str">
        <f>HYPERLINK(".\links\pep\AGAP029680-PA-sulf.txt","1")</f>
        <v>1</v>
      </c>
      <c r="AC505" s="13" t="str">
        <f>HYPERLINK(".\links\Sigp\AGAP029680-PA-SigP.txt","CYT")</f>
        <v>CYT</v>
      </c>
      <c r="AD505" s="2" t="s">
        <v>102</v>
      </c>
      <c r="AE505" s="2">
        <v>86.811000000000007</v>
      </c>
      <c r="AF505" s="2">
        <v>5.91</v>
      </c>
      <c r="AG505" s="2" t="s">
        <v>102</v>
      </c>
      <c r="AH505" s="2" t="s">
        <v>102</v>
      </c>
      <c r="AI505" s="2" t="s">
        <v>934</v>
      </c>
      <c r="AJ505" s="13">
        <v>0</v>
      </c>
      <c r="AK505" s="2" t="s">
        <v>102</v>
      </c>
      <c r="AL505" s="2" t="s">
        <v>102</v>
      </c>
      <c r="AM505" s="2" t="s">
        <v>102</v>
      </c>
      <c r="AN505" s="9" t="str">
        <f>HYPERLINK(".\links\gpi\AGAP029680-PA-gpi.txt","N")</f>
        <v>N</v>
      </c>
      <c r="AO505" s="14" t="str">
        <f>HYPERLINK(".\links\netoglyc\AGAP029680-PA-netoglyc.txt","17")</f>
        <v>17</v>
      </c>
      <c r="AP505" s="13">
        <v>16.2</v>
      </c>
      <c r="AQ505" s="2">
        <v>6.6</v>
      </c>
      <c r="AR505" s="2">
        <v>9.6999999999999993</v>
      </c>
      <c r="AS505" s="2" t="s">
        <v>104</v>
      </c>
      <c r="AT505" s="9" t="str">
        <f>HYPERLINK(".\links\NR-LIGHT\AGAP029680-PA-NR-LIGHT.txt","AGAP003961-PA")</f>
        <v>AGAP003961-PA</v>
      </c>
      <c r="AU505" s="2" t="str">
        <f>HYPERLINK("http://www.ncbi.nlm.nih.gov/sutils/blink.cgi?pid=XP_318413.5","0.0")</f>
        <v>0.0</v>
      </c>
      <c r="AV505" s="2" t="str">
        <f>HYPERLINK("http://www.ncbi.nlm.nih.gov/protein/XP_318413.5","XP_318413.5")</f>
        <v>XP_318413.5</v>
      </c>
      <c r="AW505" s="2">
        <v>100</v>
      </c>
      <c r="AX505" s="2">
        <v>100</v>
      </c>
      <c r="AY505" s="2">
        <v>67</v>
      </c>
      <c r="AZ505" s="2" t="s">
        <v>105</v>
      </c>
      <c r="BA505" s="9" t="str">
        <f>HYPERLINK(".\links\REFSEQ-INVERTEBRATE\AGAP029680-PA-REFSEQ-INVERTEBRATE.txt","AGAP003961-PA")</f>
        <v>AGAP003961-PA</v>
      </c>
      <c r="BB505" s="2" t="str">
        <f>HYPERLINK("http://www.ncbi.nlm.nih.gov/sutils/blink.cgi?pid=XP_318413.5","0.0")</f>
        <v>0.0</v>
      </c>
      <c r="BC505" s="2" t="str">
        <f>HYPERLINK("http://www.ncbi.nlm.nih.gov/protein/XP_318413.5","XP_318413.5")</f>
        <v>XP_318413.5</v>
      </c>
      <c r="BD505" s="2">
        <v>100</v>
      </c>
      <c r="BE505" s="2">
        <v>100</v>
      </c>
      <c r="BF505" s="2">
        <v>67</v>
      </c>
      <c r="BG505" s="2" t="s">
        <v>105</v>
      </c>
      <c r="BH505" s="9" t="str">
        <f>HYPERLINK(".\links\REFSEQ-PROTOZOA\AGAP029680-PA-REFSEQ-PROTOZOA.txt","hypothetical protein, conserved")</f>
        <v>hypothetical protein, conserved</v>
      </c>
      <c r="BI505" s="2" t="str">
        <f>HYPERLINK("http://www.ncbi.nlm.nih.gov/sutils/blink.cgi?pid=XP_013350974.1","3E-013")</f>
        <v>3E-013</v>
      </c>
      <c r="BJ505" s="2" t="str">
        <f>HYPERLINK("http://www.ncbi.nlm.nih.gov/protein/XP_013350974.1","XP_013350974.1")</f>
        <v>XP_013350974.1</v>
      </c>
      <c r="BK505" s="2">
        <v>20</v>
      </c>
      <c r="BL505" s="2">
        <v>35</v>
      </c>
      <c r="BM505" s="2">
        <v>31</v>
      </c>
      <c r="BN505" s="2" t="s">
        <v>568</v>
      </c>
      <c r="BO505" s="9" t="str">
        <f>HYPERLINK(".\links\SWISSP\AGAP029680-PA-SWISSP.txt","Zinc finger protein 423")</f>
        <v>Zinc finger protein 423</v>
      </c>
      <c r="BP505" s="2" t="str">
        <f>HYPERLINK("http://www.uniprot.org/uniprot/A1L1R6","5E-014")</f>
        <v>5E-014</v>
      </c>
      <c r="BQ505" s="2" t="str">
        <f>HYPERLINK("http://www.uniprot.org/uniprot/A1L1R6#expression","A1L1R6")</f>
        <v>A1L1R6</v>
      </c>
      <c r="BR505" s="2">
        <v>28</v>
      </c>
      <c r="BS505" s="2">
        <v>44</v>
      </c>
      <c r="BT505" s="2">
        <v>16</v>
      </c>
      <c r="BU505" s="2" t="s">
        <v>213</v>
      </c>
      <c r="BV505" s="9" t="str">
        <f>HYPERLINK(".\links\FLYBASE\AGAP029680-PA-FLYBASE.txt","FBpp0112097")</f>
        <v>FBpp0112097</v>
      </c>
      <c r="BW505" s="2" t="str">
        <f>HYPERLINK("http://flybase.org/reports/FBgn0037120#alliance_summary_container","4E-10")</f>
        <v>4E-10</v>
      </c>
      <c r="BX505" s="2">
        <v>522</v>
      </c>
      <c r="BY505" s="2">
        <v>35</v>
      </c>
      <c r="BZ505" s="2">
        <v>47</v>
      </c>
      <c r="CA505" s="2">
        <v>19</v>
      </c>
      <c r="CB505" s="9" t="str">
        <f>HYPERLINK(".\links\CDD\AGAP029680-PA-CDD.txt","zf-AD, Zinc-finger associated domain (zf-AD)")</f>
        <v>zf-AD, Zinc-finger associated domain (zf-AD)</v>
      </c>
      <c r="CC505" s="15">
        <v>5.9999999999999999E-16</v>
      </c>
      <c r="CD505" s="2">
        <v>128.80000000000001</v>
      </c>
      <c r="CE505" s="2" t="s">
        <v>684</v>
      </c>
      <c r="CF505" s="2" t="s">
        <v>5274</v>
      </c>
      <c r="CG505" s="9" t="str">
        <f>HYPERLINK(".\links\KOG\AGAP029680-PA-KOG.txt","Ovo and related transcription factors")</f>
        <v>Ovo and related transcription factors</v>
      </c>
      <c r="CH505" s="15">
        <v>6.9999999999999998E-9</v>
      </c>
      <c r="CI505" s="2">
        <v>63.7</v>
      </c>
      <c r="CJ505" s="2" t="s">
        <v>571</v>
      </c>
      <c r="CK505" s="2" t="s">
        <v>309</v>
      </c>
      <c r="CL505" s="9" t="str">
        <f>HYPERLINK(".\links\PFAM\AGAP029680-PA-PFAM.txt","zf-AD, Zinc-finger associated domain (zf-AD)")</f>
        <v>zf-AD, Zinc-finger associated domain (zf-AD)</v>
      </c>
      <c r="CM505" s="15">
        <v>4.9999999999999999E-13</v>
      </c>
      <c r="CN505" s="2">
        <v>127</v>
      </c>
      <c r="CO505" s="2" t="s">
        <v>687</v>
      </c>
      <c r="CP505" s="9" t="str">
        <f>HYPERLINK(".\links\SMART\AGAP029680-PA-SMART.txt","zf-AD, Zinc-finger associated domain (zf-AD)")</f>
        <v>zf-AD, Zinc-finger associated domain (zf-AD)</v>
      </c>
      <c r="CQ505" s="15">
        <v>5.0000000000000004E-18</v>
      </c>
      <c r="CR505" s="2">
        <v>128.80000000000001</v>
      </c>
      <c r="CS505" s="2" t="s">
        <v>684</v>
      </c>
      <c r="CT505" s="2" t="s">
        <v>5272</v>
      </c>
      <c r="CU505" s="2" t="s">
        <v>5272</v>
      </c>
      <c r="CV505" s="2" t="s">
        <v>5272</v>
      </c>
      <c r="CW505" s="2" t="str">
        <f>HYPERLINK(".\links\pep\AGAP029680-PA-pep.txt","AGAP029680-PA")</f>
        <v>AGAP029680-PA</v>
      </c>
      <c r="CX505" s="2" t="s">
        <v>95</v>
      </c>
      <c r="CY505" s="2">
        <v>792</v>
      </c>
      <c r="CZ505" s="2" t="s">
        <v>113</v>
      </c>
      <c r="DA505" s="2" t="s">
        <v>5275</v>
      </c>
      <c r="DB505" s="2">
        <v>0</v>
      </c>
      <c r="DC505" s="2">
        <v>1</v>
      </c>
      <c r="DD505" s="2" t="str">
        <f>HYPERLINK("https://www.kegg.jp/kegg-bin/search_pathway_text?map=aga&amp;keyword=AGAP029680&amp;mode=1&amp;viewImage=true","AGAP029680")</f>
        <v>AGAP029680</v>
      </c>
      <c r="DE505" s="2" t="s">
        <v>5270</v>
      </c>
      <c r="DF505" s="2" t="s">
        <v>93</v>
      </c>
      <c r="DG505" s="2" t="s">
        <v>94</v>
      </c>
      <c r="DH505" s="2" t="str">
        <f>HYPERLINK("https://vectorbase.org/vectorbase/app/record/gene/AGAP029680","AGAP029680-RA")</f>
        <v>AGAP029680-RA</v>
      </c>
      <c r="DI505" s="2" t="s">
        <v>115</v>
      </c>
      <c r="DJ505" s="2">
        <v>5086</v>
      </c>
      <c r="DK505" s="2" t="str">
        <f>HYPERLINK(".\links\netoglyc\AGAP029680-PA-netoglyc.txt","17")</f>
        <v>17</v>
      </c>
      <c r="DL505" s="2">
        <v>16.2</v>
      </c>
      <c r="DM505" s="2">
        <v>6.6</v>
      </c>
      <c r="DN505" s="2">
        <v>9.6999999999999993</v>
      </c>
      <c r="DO505" s="2" t="s">
        <v>104</v>
      </c>
      <c r="DP505" s="2" t="s">
        <v>5276</v>
      </c>
      <c r="DQ505" s="2" t="str">
        <f>HYPERLINK(".\links\Sigp\AGAP029680-PA-SigP.txt","CYT")</f>
        <v>CYT</v>
      </c>
      <c r="DR505" s="2" t="s">
        <v>102</v>
      </c>
      <c r="DS505" s="2">
        <v>86.811000000000007</v>
      </c>
      <c r="DT505" s="2">
        <v>5.91</v>
      </c>
      <c r="DU505" s="2" t="s">
        <v>102</v>
      </c>
      <c r="DV505" s="2" t="s">
        <v>102</v>
      </c>
      <c r="DW505" s="2" t="s">
        <v>934</v>
      </c>
      <c r="DX505" s="2">
        <v>792</v>
      </c>
      <c r="DY505" s="12">
        <v>0</v>
      </c>
      <c r="DZ505" s="2" t="s">
        <v>102</v>
      </c>
      <c r="EA505" s="2" t="s">
        <v>102</v>
      </c>
      <c r="EB505" s="2" t="s">
        <v>102</v>
      </c>
      <c r="EC505" s="2" t="str">
        <f>HYPERLINK(".\links\gpi\AGAP029680-PA-gpi.txt","N")</f>
        <v>N</v>
      </c>
      <c r="ED505" s="2">
        <v>0.31</v>
      </c>
      <c r="EF505" s="2">
        <v>17</v>
      </c>
      <c r="EG505" s="2" t="str">
        <f>HYPERLINK(".\links\pep\AGAP029680-PA-sulf.txt","1")</f>
        <v>1</v>
      </c>
      <c r="EH505" s="2" t="s">
        <v>102</v>
      </c>
      <c r="EI505" s="2">
        <v>16.161616161616202</v>
      </c>
      <c r="EJ505" s="2">
        <v>9.7222222222222197</v>
      </c>
      <c r="EK505" s="2">
        <v>6.5656565656565702</v>
      </c>
      <c r="EL505" s="2">
        <v>16.2878787878788</v>
      </c>
      <c r="EM505" s="2">
        <v>1</v>
      </c>
      <c r="EN505" s="2" t="s">
        <v>102</v>
      </c>
      <c r="EO505" s="2">
        <v>1</v>
      </c>
      <c r="EP505" s="2" t="s">
        <v>102</v>
      </c>
      <c r="EQ505" s="2" t="s">
        <v>102</v>
      </c>
      <c r="ER505" s="2" t="s">
        <v>102</v>
      </c>
      <c r="ES505" s="2" t="s">
        <v>102</v>
      </c>
      <c r="ET505" s="2" t="str">
        <f>HYPERLINK(".\links\REFSEQ-INVERTEBRATE\AGAP029680-PA-REFSEQ-INVERTEBRATE.txt","AGAP003961-PA")</f>
        <v>AGAP003961-PA</v>
      </c>
      <c r="EU505" s="2" t="str">
        <f>HYPERLINK("http://www.ncbi.nlm.nih.gov/sutils/blink.cgi?pid=XP_318413.5","0.0")</f>
        <v>0.0</v>
      </c>
      <c r="EV505" s="2" t="str">
        <f>HYPERLINK("http://www.ncbi.nlm.nih.gov/protein/XP_318413.5","XP_318413.5")</f>
        <v>XP_318413.5</v>
      </c>
      <c r="EW505" s="2">
        <v>99</v>
      </c>
      <c r="EX505" s="2">
        <v>99</v>
      </c>
      <c r="EY505" s="2">
        <v>67</v>
      </c>
      <c r="EZ505" s="2" t="s">
        <v>105</v>
      </c>
    </row>
    <row r="506" spans="1:156" x14ac:dyDescent="0.25">
      <c r="A506" s="2" t="s">
        <v>5277</v>
      </c>
      <c r="B506" s="2">
        <v>-0.47101062524105097</v>
      </c>
      <c r="C506" s="2">
        <f t="shared" si="7"/>
        <v>0.72145902996947076</v>
      </c>
      <c r="D506" s="2">
        <v>7.2610800350348503</v>
      </c>
      <c r="E506" s="2">
        <v>10.439856358422301</v>
      </c>
      <c r="F506" s="2">
        <v>1.23324860647513E-3</v>
      </c>
      <c r="G506" s="2">
        <v>3.5330421560501202E-2</v>
      </c>
      <c r="H506" s="2" t="s">
        <v>5278</v>
      </c>
      <c r="I506" s="2" t="s">
        <v>102</v>
      </c>
      <c r="J506" s="2" t="str">
        <f>HYPERLINK("https://vectorbase.org/vectorbase/app/record/gene/AGAP004989","AGAP004989-RB")</f>
        <v>AGAP004989-RB</v>
      </c>
      <c r="K506" s="2" t="str">
        <f>HYPERLINK(".\links\pep\AGAP004989-PB-pep.txt","AGAP004989-PB")</f>
        <v>AGAP004989-PB</v>
      </c>
      <c r="Q506" s="9"/>
      <c r="V506" s="2" t="s">
        <v>5279</v>
      </c>
      <c r="W506" s="10" t="s">
        <v>5280</v>
      </c>
      <c r="X506" s="2" t="s">
        <v>4638</v>
      </c>
      <c r="Y506" s="2" t="str">
        <f>HYPERLINK(".\links\REFSEQ-VIRUS\AGAP004989-PB-REFSEQ-VIRUS.txt","REFSEQ-VIRUS")</f>
        <v>REFSEQ-VIRUS</v>
      </c>
      <c r="Z506" s="2">
        <v>0</v>
      </c>
      <c r="AA506" s="2">
        <v>75.599999999999994</v>
      </c>
      <c r="AB506" s="9"/>
      <c r="AC506" s="9"/>
      <c r="AJ506" s="9"/>
      <c r="AN506" s="9"/>
      <c r="AO506" s="11"/>
      <c r="AP506" s="9"/>
      <c r="AT506" s="9"/>
      <c r="BA506" s="9"/>
      <c r="BH506" s="9"/>
      <c r="BO506" s="9"/>
      <c r="BV506" s="9"/>
      <c r="CB506" s="9"/>
      <c r="CG506" s="9"/>
      <c r="CL506" s="9"/>
      <c r="CP506" s="9"/>
      <c r="CW506" s="2" t="str">
        <f>HYPERLINK(".\links\pep\AGAP004989-PB-pep.txt","AGAP004989-PB")</f>
        <v>AGAP004989-PB</v>
      </c>
      <c r="CX506" s="2" t="s">
        <v>95</v>
      </c>
      <c r="CY506" s="2">
        <v>1702</v>
      </c>
      <c r="CZ506" s="2" t="s">
        <v>113</v>
      </c>
      <c r="DA506" s="2">
        <v>0</v>
      </c>
      <c r="DB506" s="2">
        <v>6</v>
      </c>
      <c r="DD506" s="2" t="str">
        <f>HYPERLINK("https://www.kegg.jp/kegg-bin/search_pathway_text?map=aga&amp;keyword=AGAP004989&amp;mode=1&amp;viewImage=true","AGAP004989")</f>
        <v>AGAP004989</v>
      </c>
      <c r="DE506" s="2" t="s">
        <v>5277</v>
      </c>
      <c r="DF506" s="2" t="s">
        <v>5278</v>
      </c>
      <c r="DG506" s="2" t="s">
        <v>102</v>
      </c>
      <c r="DH506" s="2" t="str">
        <f>HYPERLINK("https://vectorbase.org/vectorbase/app/record/gene/AGAP004989","AGAP004989-RB")</f>
        <v>AGAP004989-RB</v>
      </c>
      <c r="DI506" s="2" t="s">
        <v>115</v>
      </c>
      <c r="DJ506" s="2">
        <v>10094</v>
      </c>
      <c r="DK506" s="2" t="str">
        <f>HYPERLINK(".\links\netoglyc\AGAP004989-PB-netoglyc.txt","2")</f>
        <v>2</v>
      </c>
      <c r="DL506" s="2">
        <v>17.5</v>
      </c>
      <c r="DM506" s="2">
        <v>8.1999999999999993</v>
      </c>
      <c r="DN506" s="2">
        <v>7.8</v>
      </c>
      <c r="DO506" s="2" t="s">
        <v>104</v>
      </c>
      <c r="DP506" s="2" t="s">
        <v>5281</v>
      </c>
      <c r="DQ506" s="2" t="str">
        <f>HYPERLINK(".\links\Sigp\AGAP004989-PB-SigP.txt","CYT")</f>
        <v>CYT</v>
      </c>
      <c r="DR506" s="2" t="s">
        <v>102</v>
      </c>
      <c r="DS506" s="2">
        <v>183.4</v>
      </c>
      <c r="DT506" s="2">
        <v>8.2799999999999994</v>
      </c>
      <c r="DU506" s="2" t="s">
        <v>102</v>
      </c>
      <c r="DV506" s="2" t="s">
        <v>102</v>
      </c>
      <c r="DW506" s="2" t="s">
        <v>2739</v>
      </c>
      <c r="DX506" s="2">
        <v>1702</v>
      </c>
      <c r="DY506" s="12">
        <v>0</v>
      </c>
      <c r="DZ506" s="2" t="s">
        <v>102</v>
      </c>
      <c r="EA506" s="2" t="s">
        <v>102</v>
      </c>
      <c r="EB506" s="2" t="s">
        <v>102</v>
      </c>
      <c r="EC506" s="2" t="str">
        <f>HYPERLINK(".\links\gpi\AGAP004989-PB-gpi.txt","Y-NoSP")</f>
        <v>Y-NoSP</v>
      </c>
      <c r="ED506" s="2">
        <v>0.23</v>
      </c>
      <c r="EF506" s="2">
        <v>12</v>
      </c>
      <c r="EG506" s="2" t="s">
        <v>102</v>
      </c>
      <c r="EH506" s="2" t="s">
        <v>102</v>
      </c>
      <c r="EI506" s="2">
        <v>17.508813160987099</v>
      </c>
      <c r="EJ506" s="2">
        <v>7.8143360752056399</v>
      </c>
      <c r="EK506" s="2">
        <v>8.1668625146885994</v>
      </c>
      <c r="EL506" s="2">
        <v>15.9811985898942</v>
      </c>
      <c r="EM506" s="2">
        <v>6</v>
      </c>
      <c r="EN506" s="2">
        <v>2</v>
      </c>
      <c r="EO506" s="2">
        <v>2</v>
      </c>
      <c r="EP506" s="2" t="s">
        <v>102</v>
      </c>
      <c r="EQ506" s="2" t="s">
        <v>102</v>
      </c>
      <c r="ER506" s="2" t="s">
        <v>102</v>
      </c>
      <c r="ES506" s="2" t="s">
        <v>102</v>
      </c>
      <c r="ET506" s="2" t="str">
        <f>HYPERLINK(".\links\REFSEQ-INVERTEBRATE\AGAP004989-PB-REFSEQ-INVERTEBRATE.txt","AGAP004989-PA")</f>
        <v>AGAP004989-PA</v>
      </c>
      <c r="EU506" s="2" t="str">
        <f>HYPERLINK("http://www.ncbi.nlm.nih.gov/sutils/blink.cgi?pid=XP_001688613.1","0.0")</f>
        <v>0.0</v>
      </c>
      <c r="EV506" s="2" t="str">
        <f>HYPERLINK("http://www.ncbi.nlm.nih.gov/protein/XP_001688613.1","XP_001688613.1")</f>
        <v>XP_001688613.1</v>
      </c>
      <c r="EW506" s="2">
        <v>98</v>
      </c>
      <c r="EX506" s="2">
        <v>98</v>
      </c>
      <c r="EY506" s="2">
        <v>100</v>
      </c>
      <c r="EZ506" s="2" t="s">
        <v>105</v>
      </c>
    </row>
    <row r="507" spans="1:156" x14ac:dyDescent="0.25">
      <c r="A507" s="2" t="s">
        <v>5282</v>
      </c>
      <c r="B507" s="2">
        <v>-0.47144898665845802</v>
      </c>
      <c r="C507" s="2">
        <f t="shared" si="7"/>
        <v>0.72123984867940372</v>
      </c>
      <c r="D507" s="2">
        <v>4.9009179463672101</v>
      </c>
      <c r="E507" s="2">
        <v>12.252395492836801</v>
      </c>
      <c r="F507" s="2">
        <v>4.6466125761713498E-4</v>
      </c>
      <c r="G507" s="2">
        <v>2.4752630777388498E-2</v>
      </c>
      <c r="H507" s="2" t="s">
        <v>93</v>
      </c>
      <c r="I507" s="2" t="s">
        <v>94</v>
      </c>
      <c r="J507" s="2" t="str">
        <f>HYPERLINK("https://vectorbase.org/vectorbase/app/record/gene/AGAP002822","AGAP002822-RA")</f>
        <v>AGAP002822-RA</v>
      </c>
      <c r="K507" s="2" t="str">
        <f>HYPERLINK(".\links\pep\AGAP002822-PA-pep.txt","AGAP002822-PA")</f>
        <v>AGAP002822-PA</v>
      </c>
      <c r="L507" s="12" t="s">
        <v>95</v>
      </c>
      <c r="M507" s="2">
        <v>1160</v>
      </c>
      <c r="N507" s="2">
        <v>0</v>
      </c>
      <c r="O507" s="2">
        <v>6</v>
      </c>
      <c r="P507" s="2" t="s">
        <v>102</v>
      </c>
      <c r="Q507" s="9" t="s">
        <v>5283</v>
      </c>
      <c r="R507" s="2" t="s">
        <v>196</v>
      </c>
      <c r="S507" s="2" t="str">
        <f>HYPERLINK(".\links\REFSEQ-INVERTEBRATE\AGAP002822-PA-REFSEQ-INVERTEBRATE.txt","REFSEQ-INVERTEBRATE")</f>
        <v>REFSEQ-INVERTEBRATE</v>
      </c>
      <c r="T507" s="2">
        <v>0</v>
      </c>
      <c r="U507" s="2">
        <v>99.5</v>
      </c>
      <c r="V507" s="2" t="s">
        <v>5283</v>
      </c>
      <c r="W507" s="10" t="s">
        <v>5284</v>
      </c>
      <c r="X507" s="2" t="s">
        <v>196</v>
      </c>
      <c r="Y507" s="2" t="str">
        <f>HYPERLINK(".\links\ARTHORPODA\AGAP002822-PA-ARTHORPODA.txt","ARTHORPODA")</f>
        <v>ARTHORPODA</v>
      </c>
      <c r="Z507" s="2">
        <v>0</v>
      </c>
      <c r="AA507" s="2">
        <v>100</v>
      </c>
      <c r="AB507" s="13" t="s">
        <v>102</v>
      </c>
      <c r="AC507" s="13" t="str">
        <f>HYPERLINK(".\links\Sigp\AGAP002822-PA-SigP.txt","CYT")</f>
        <v>CYT</v>
      </c>
      <c r="AD507" s="2" t="s">
        <v>102</v>
      </c>
      <c r="AE507" s="2">
        <v>128.34299999999999</v>
      </c>
      <c r="AF507" s="2">
        <v>5.15</v>
      </c>
      <c r="AG507" s="2" t="s">
        <v>102</v>
      </c>
      <c r="AH507" s="2" t="s">
        <v>102</v>
      </c>
      <c r="AI507" s="2" t="s">
        <v>611</v>
      </c>
      <c r="AJ507" s="13">
        <v>0</v>
      </c>
      <c r="AK507" s="2" t="s">
        <v>102</v>
      </c>
      <c r="AL507" s="2" t="s">
        <v>102</v>
      </c>
      <c r="AM507" s="2" t="s">
        <v>102</v>
      </c>
      <c r="AN507" s="13" t="str">
        <f>HYPERLINK(".\links\gpi\AGAP002822-PA-gpi.txt","N")</f>
        <v>N</v>
      </c>
      <c r="AO507" s="14" t="str">
        <f>HYPERLINK(".\links\netoglyc\AGAP002822-PA-netoglyc.txt","4")</f>
        <v>4</v>
      </c>
      <c r="AP507" s="13">
        <v>14.4</v>
      </c>
      <c r="AQ507" s="2">
        <v>5.7</v>
      </c>
      <c r="AR507" s="2">
        <v>6.6</v>
      </c>
      <c r="AS507" s="2" t="s">
        <v>104</v>
      </c>
      <c r="AT507" s="9" t="str">
        <f>HYPERLINK(".\links\NR-LIGHT\AGAP002822-PA-NR-LIGHT.txt","AGAP002822-PA")</f>
        <v>AGAP002822-PA</v>
      </c>
      <c r="AU507" s="2" t="str">
        <f>HYPERLINK("http://www.ncbi.nlm.nih.gov/sutils/blink.cgi?pid=XP_001688363.2","0.0")</f>
        <v>0.0</v>
      </c>
      <c r="AV507" s="2" t="str">
        <f>HYPERLINK("http://www.ncbi.nlm.nih.gov/protein/XP_001688363.2","XP_001688363.2")</f>
        <v>XP_001688363.2</v>
      </c>
      <c r="AW507" s="2">
        <v>100</v>
      </c>
      <c r="AX507" s="2">
        <v>100</v>
      </c>
      <c r="AY507" s="2">
        <v>100</v>
      </c>
      <c r="AZ507" s="2" t="s">
        <v>105</v>
      </c>
      <c r="BA507" s="9" t="str">
        <f>HYPERLINK(".\links\REFSEQ-INVERTEBRATE\AGAP002822-PA-REFSEQ-INVERTEBRATE.txt","AGAP002822-PA")</f>
        <v>AGAP002822-PA</v>
      </c>
      <c r="BB507" s="2" t="str">
        <f>HYPERLINK("http://www.ncbi.nlm.nih.gov/sutils/blink.cgi?pid=XP_001688363.2","0.0")</f>
        <v>0.0</v>
      </c>
      <c r="BC507" s="2" t="str">
        <f>HYPERLINK("http://www.ncbi.nlm.nih.gov/protein/XP_001688363.2","XP_001688363.2")</f>
        <v>XP_001688363.2</v>
      </c>
      <c r="BD507" s="2">
        <v>100</v>
      </c>
      <c r="BE507" s="2">
        <v>100</v>
      </c>
      <c r="BF507" s="2">
        <v>100</v>
      </c>
      <c r="BG507" s="2" t="s">
        <v>105</v>
      </c>
      <c r="BH507" s="9" t="str">
        <f>HYPERLINK(".\links\REFSEQ-PROTOZOA\AGAP002822-PA-REFSEQ-PROTOZOA.txt","hypothetical protein PTSG_09385")</f>
        <v>hypothetical protein PTSG_09385</v>
      </c>
      <c r="BI507" s="2" t="str">
        <f>HYPERLINK("http://www.ncbi.nlm.nih.gov/sutils/blink.cgi?pid=XP_004989642.1","4E-011")</f>
        <v>4E-011</v>
      </c>
      <c r="BJ507" s="2" t="str">
        <f>HYPERLINK("http://www.ncbi.nlm.nih.gov/protein/XP_004989642.1","XP_004989642.1")</f>
        <v>XP_004989642.1</v>
      </c>
      <c r="BK507" s="2">
        <v>34</v>
      </c>
      <c r="BL507" s="2">
        <v>55</v>
      </c>
      <c r="BM507" s="2">
        <v>17</v>
      </c>
      <c r="BN507" s="2" t="s">
        <v>435</v>
      </c>
      <c r="BO507" s="9" t="str">
        <f>HYPERLINK(".\links\SWISSP\AGAP002822-PA-SWISSP.txt","Condensin-2 complex subunit H2")</f>
        <v>Condensin-2 complex subunit H2</v>
      </c>
      <c r="BP507" s="2" t="str">
        <f>HYPERLINK("http://www.uniprot.org/uniprot/Q8BSP2","1E-007")</f>
        <v>1E-007</v>
      </c>
      <c r="BQ507" s="2" t="str">
        <f>HYPERLINK("http://www.uniprot.org/uniprot/Q8BSP2#expression","Q8BSP2")</f>
        <v>Q8BSP2</v>
      </c>
      <c r="BR507" s="2">
        <v>27</v>
      </c>
      <c r="BS507" s="2">
        <v>39</v>
      </c>
      <c r="BT507" s="2">
        <v>32</v>
      </c>
      <c r="BU507" s="2" t="s">
        <v>662</v>
      </c>
      <c r="BV507" s="9" t="str">
        <f>HYPERLINK(".\links\FLYBASE\AGAP002822-PA-FLYBASE.txt","FBpp0290525")</f>
        <v>FBpp0290525</v>
      </c>
      <c r="BW507" s="2" t="str">
        <f>HYPERLINK("http://flybase.org/reports/FBgn0037831#alliance_summary_container","7E-07")</f>
        <v>7E-07</v>
      </c>
      <c r="BX507" s="2">
        <v>960</v>
      </c>
      <c r="BY507" s="2">
        <v>30</v>
      </c>
      <c r="BZ507" s="2">
        <v>46</v>
      </c>
      <c r="CA507" s="2">
        <v>14</v>
      </c>
      <c r="CB507" s="9" t="str">
        <f>HYPERLINK(".\links\CDD\AGAP002822-PA-CDD.txt","CNDH2_C, Condensin II complex subunit CAP-H2 or CNDH2, C-term")</f>
        <v>CNDH2_C, Condensin II complex subunit CAP-H2 or CNDH2, C-term</v>
      </c>
      <c r="CC507" s="15">
        <v>4E-14</v>
      </c>
      <c r="CD507" s="2">
        <v>42.4</v>
      </c>
      <c r="CE507" s="2" t="s">
        <v>5285</v>
      </c>
      <c r="CF507" s="2" t="s">
        <v>5286</v>
      </c>
      <c r="CG507" s="9" t="str">
        <f>HYPERLINK(".\links\KOG\AGAP002822-PA-KOG.txt","Uncharacterized conserved protein")</f>
        <v>Uncharacterized conserved protein</v>
      </c>
      <c r="CH507" s="15">
        <v>8.0000000000000007E-5</v>
      </c>
      <c r="CI507" s="2">
        <v>19.600000000000001</v>
      </c>
      <c r="CJ507" s="2" t="s">
        <v>5287</v>
      </c>
      <c r="CK507" s="2" t="s">
        <v>284</v>
      </c>
      <c r="CL507" s="9" t="str">
        <f>HYPERLINK(".\links\PFAM\AGAP002822-PA-PFAM.txt","CNDH2_C, Condensin II complex subunit CAP-H2 or CNDH2, C-term")</f>
        <v>CNDH2_C, Condensin II complex subunit CAP-H2 or CNDH2, C-term</v>
      </c>
      <c r="CM507" s="15">
        <v>7.0000000000000001E-15</v>
      </c>
      <c r="CN507" s="2">
        <v>42.4</v>
      </c>
      <c r="CO507" s="2" t="s">
        <v>5285</v>
      </c>
      <c r="CP507" s="9" t="str">
        <f>HYPERLINK(".\links\SMART\AGAP002822-PA-SMART.txt","BAR, BAR domain")</f>
        <v>BAR, BAR domain</v>
      </c>
      <c r="CQ507" s="15">
        <v>1.9E-2</v>
      </c>
      <c r="CR507" s="2">
        <v>29.7</v>
      </c>
      <c r="CS507" s="2" t="s">
        <v>2787</v>
      </c>
      <c r="CT507" s="2" t="s">
        <v>5283</v>
      </c>
      <c r="CU507" s="2" t="s">
        <v>5283</v>
      </c>
      <c r="CV507" s="2" t="s">
        <v>5283</v>
      </c>
      <c r="CW507" s="2" t="str">
        <f>HYPERLINK(".\links\pep\AGAP002822-PA-pep.txt","AGAP002822-PA")</f>
        <v>AGAP002822-PA</v>
      </c>
      <c r="CX507" s="2" t="s">
        <v>95</v>
      </c>
      <c r="CY507" s="2">
        <v>1160</v>
      </c>
      <c r="CZ507" s="2" t="s">
        <v>113</v>
      </c>
      <c r="DA507" s="2" t="s">
        <v>5288</v>
      </c>
      <c r="DB507" s="2">
        <v>0</v>
      </c>
      <c r="DC507" s="2">
        <v>6</v>
      </c>
      <c r="DD507" s="2" t="str">
        <f>HYPERLINK("https://www.kegg.jp/kegg-bin/search_pathway_text?map=aga&amp;keyword=AGAP002822&amp;mode=1&amp;viewImage=true","AGAP002822")</f>
        <v>AGAP002822</v>
      </c>
      <c r="DE507" s="2" t="s">
        <v>5282</v>
      </c>
      <c r="DF507" s="2" t="s">
        <v>93</v>
      </c>
      <c r="DG507" s="2" t="s">
        <v>94</v>
      </c>
      <c r="DH507" s="2" t="str">
        <f>HYPERLINK("https://vectorbase.org/vectorbase/app/record/gene/AGAP002822","AGAP002822-RA")</f>
        <v>AGAP002822-RA</v>
      </c>
      <c r="DI507" s="2" t="s">
        <v>135</v>
      </c>
      <c r="DJ507" s="2">
        <v>4137</v>
      </c>
      <c r="DK507" s="2" t="str">
        <f>HYPERLINK(".\links\netoglyc\AGAP002822-PA-netoglyc.txt","4")</f>
        <v>4</v>
      </c>
      <c r="DL507" s="2">
        <v>14.4</v>
      </c>
      <c r="DM507" s="2">
        <v>5.7</v>
      </c>
      <c r="DN507" s="2">
        <v>6.6</v>
      </c>
      <c r="DO507" s="2" t="s">
        <v>104</v>
      </c>
      <c r="DP507" s="2" t="s">
        <v>5289</v>
      </c>
      <c r="DQ507" s="2" t="str">
        <f>HYPERLINK(".\links\Sigp\AGAP002822-PA-SigP.txt","CYT")</f>
        <v>CYT</v>
      </c>
      <c r="DR507" s="2" t="s">
        <v>102</v>
      </c>
      <c r="DS507" s="2">
        <v>128.34299999999999</v>
      </c>
      <c r="DT507" s="2">
        <v>5.15</v>
      </c>
      <c r="DU507" s="2" t="s">
        <v>102</v>
      </c>
      <c r="DV507" s="2" t="s">
        <v>102</v>
      </c>
      <c r="DW507" s="2" t="s">
        <v>611</v>
      </c>
      <c r="DX507" s="2">
        <v>1160</v>
      </c>
      <c r="DY507" s="12">
        <v>0</v>
      </c>
      <c r="DZ507" s="2" t="s">
        <v>102</v>
      </c>
      <c r="EA507" s="2" t="s">
        <v>102</v>
      </c>
      <c r="EB507" s="2" t="s">
        <v>102</v>
      </c>
      <c r="EC507" s="2" t="str">
        <f>HYPERLINK(".\links\gpi\AGAP002822-PA-gpi.txt","Y-NoSP")</f>
        <v>Y-NoSP</v>
      </c>
      <c r="ED507" s="2">
        <v>0.19</v>
      </c>
      <c r="EF507" s="2">
        <v>17</v>
      </c>
      <c r="EG507" s="2" t="s">
        <v>102</v>
      </c>
      <c r="EH507" s="2" t="s">
        <v>102</v>
      </c>
      <c r="EI507" s="2">
        <v>14.3965517241379</v>
      </c>
      <c r="EJ507" s="2">
        <v>6.5517241379310303</v>
      </c>
      <c r="EK507" s="2">
        <v>5.68965517241379</v>
      </c>
      <c r="EL507" s="2">
        <v>12.241379310344801</v>
      </c>
      <c r="EM507" s="2">
        <v>1</v>
      </c>
      <c r="EN507" s="2">
        <v>3</v>
      </c>
      <c r="EO507" s="2">
        <v>5</v>
      </c>
      <c r="EP507" s="2" t="s">
        <v>102</v>
      </c>
      <c r="EQ507" s="2" t="s">
        <v>102</v>
      </c>
      <c r="ER507" s="2" t="s">
        <v>102</v>
      </c>
      <c r="ES507" s="2" t="s">
        <v>102</v>
      </c>
      <c r="ET507" s="2" t="str">
        <f>HYPERLINK(".\links\REFSEQ-INVERTEBRATE\AGAP002822-PA-REFSEQ-INVERTEBRATE.txt","AGAP002822-PA")</f>
        <v>AGAP002822-PA</v>
      </c>
      <c r="EU507" s="2" t="str">
        <f>HYPERLINK("http://www.ncbi.nlm.nih.gov/sutils/blink.cgi?pid=XP_001688363.2","0.0")</f>
        <v>0.0</v>
      </c>
      <c r="EV507" s="2" t="str">
        <f>HYPERLINK("http://www.ncbi.nlm.nih.gov/protein/XP_001688363.2","XP_001688363.2")</f>
        <v>XP_001688363.2</v>
      </c>
      <c r="EW507" s="2">
        <v>99</v>
      </c>
      <c r="EX507" s="2">
        <v>99</v>
      </c>
      <c r="EY507" s="2">
        <v>100</v>
      </c>
      <c r="EZ507" s="2" t="s">
        <v>105</v>
      </c>
    </row>
    <row r="508" spans="1:156" x14ac:dyDescent="0.25">
      <c r="A508" s="2" t="s">
        <v>5290</v>
      </c>
      <c r="B508" s="2">
        <v>-0.47252412574333302</v>
      </c>
      <c r="C508" s="2">
        <f t="shared" si="7"/>
        <v>0.72070255960388974</v>
      </c>
      <c r="D508" s="2">
        <v>6.2273381225738804</v>
      </c>
      <c r="E508" s="2">
        <v>15.906229944621201</v>
      </c>
      <c r="F508" s="2">
        <v>6.6559267093545195E-5</v>
      </c>
      <c r="G508" s="2">
        <v>8.7458876960918395E-3</v>
      </c>
      <c r="H508" s="2" t="s">
        <v>5291</v>
      </c>
      <c r="I508" s="2" t="s">
        <v>88</v>
      </c>
      <c r="J508" s="8" t="s">
        <v>5292</v>
      </c>
      <c r="Q508" s="9"/>
      <c r="W508" s="10"/>
      <c r="AB508" s="9"/>
      <c r="AC508" s="9"/>
      <c r="AJ508" s="9"/>
      <c r="AN508" s="9"/>
      <c r="AO508" s="11"/>
      <c r="AP508" s="9"/>
      <c r="AT508" s="9"/>
      <c r="BA508" s="9"/>
      <c r="BH508" s="9"/>
      <c r="BO508" s="9"/>
      <c r="BV508" s="9"/>
      <c r="CB508" s="9"/>
      <c r="CG508" s="9"/>
      <c r="CL508" s="9"/>
      <c r="CP508" s="9"/>
      <c r="DE508" s="2" t="s">
        <v>5290</v>
      </c>
      <c r="DF508" s="2" t="s">
        <v>5291</v>
      </c>
      <c r="DG508" s="2" t="s">
        <v>88</v>
      </c>
      <c r="DH508" s="8" t="s">
        <v>5292</v>
      </c>
      <c r="DI508" s="2" t="s">
        <v>115</v>
      </c>
      <c r="DJ508" s="2">
        <v>3006</v>
      </c>
      <c r="DQ508" s="2" t="s">
        <v>141</v>
      </c>
      <c r="DS508" s="2">
        <v>65662</v>
      </c>
      <c r="DT508" s="2">
        <v>6.45</v>
      </c>
      <c r="DX508" s="2">
        <v>602</v>
      </c>
      <c r="DY508" s="12"/>
    </row>
    <row r="509" spans="1:156" x14ac:dyDescent="0.25">
      <c r="A509" s="2" t="s">
        <v>5293</v>
      </c>
      <c r="B509" s="2">
        <v>-0.473255718624501</v>
      </c>
      <c r="C509" s="2">
        <f t="shared" si="7"/>
        <v>0.72033718287332471</v>
      </c>
      <c r="D509" s="2">
        <v>7.7101956896038901</v>
      </c>
      <c r="E509" s="2">
        <v>9.3674644888239893</v>
      </c>
      <c r="F509" s="2">
        <v>2.20870829891027E-3</v>
      </c>
      <c r="G509" s="2">
        <v>4.5136090286305802E-2</v>
      </c>
      <c r="H509" s="2" t="s">
        <v>93</v>
      </c>
      <c r="I509" s="2" t="s">
        <v>94</v>
      </c>
      <c r="J509" s="2" t="str">
        <f>HYPERLINK("https://vectorbase.org/vectorbase/app/record/gene/AGAP009915","AGAP009915-RA")</f>
        <v>AGAP009915-RA</v>
      </c>
      <c r="K509" s="2" t="str">
        <f>HYPERLINK(".\links\pep\AGAP009915-PA-pep.txt","AGAP009915-PA")</f>
        <v>AGAP009915-PA</v>
      </c>
      <c r="L509" s="12" t="s">
        <v>95</v>
      </c>
      <c r="M509" s="2">
        <v>1753</v>
      </c>
      <c r="N509" s="2">
        <v>0</v>
      </c>
      <c r="O509" s="2">
        <v>0</v>
      </c>
      <c r="P509" s="2" t="s">
        <v>102</v>
      </c>
      <c r="Q509" s="9" t="s">
        <v>5294</v>
      </c>
      <c r="R509" s="2" t="s">
        <v>196</v>
      </c>
      <c r="S509" s="2" t="str">
        <f>HYPERLINK(".\links\REFSEQ-INVERTEBRATE\AGAP009915-PA-REFSEQ-INVERTEBRATE.txt","REFSEQ-INVERTEBRATE")</f>
        <v>REFSEQ-INVERTEBRATE</v>
      </c>
      <c r="T509" s="2">
        <v>0</v>
      </c>
      <c r="U509" s="2">
        <v>125.9</v>
      </c>
      <c r="V509" s="2" t="s">
        <v>5295</v>
      </c>
      <c r="W509" s="10" t="s">
        <v>5296</v>
      </c>
      <c r="X509" s="2" t="s">
        <v>196</v>
      </c>
      <c r="Y509" s="2" t="str">
        <f>HYPERLINK(".\links\ARTHORPODA\AGAP009915-PA-ARTHORPODA.txt","ARTHORPODA")</f>
        <v>ARTHORPODA</v>
      </c>
      <c r="Z509" s="15">
        <v>0</v>
      </c>
      <c r="AA509" s="2">
        <v>1</v>
      </c>
      <c r="AB509" s="13" t="str">
        <f>HYPERLINK(".\links\pep\AGAP009915-PA-sulf.txt","2")</f>
        <v>2</v>
      </c>
      <c r="AC509" s="13" t="str">
        <f>HYPERLINK(".\links\Sigp\AGAP009915-PA-SigP.txt","CYT")</f>
        <v>CYT</v>
      </c>
      <c r="AD509" s="2" t="s">
        <v>102</v>
      </c>
      <c r="AE509" s="2">
        <v>187.57900000000001</v>
      </c>
      <c r="AF509" s="2">
        <v>8.0299999999999994</v>
      </c>
      <c r="AG509" s="2" t="s">
        <v>102</v>
      </c>
      <c r="AH509" s="2" t="s">
        <v>102</v>
      </c>
      <c r="AI509" s="2" t="s">
        <v>5297</v>
      </c>
      <c r="AJ509" s="13">
        <v>0</v>
      </c>
      <c r="AK509" s="2" t="s">
        <v>102</v>
      </c>
      <c r="AL509" s="2" t="s">
        <v>102</v>
      </c>
      <c r="AM509" s="2" t="s">
        <v>102</v>
      </c>
      <c r="AN509" s="13" t="str">
        <f>HYPERLINK(".\links\gpi\AGAP009915-PA-gpi.txt","N")</f>
        <v>N</v>
      </c>
      <c r="AO509" s="14" t="str">
        <f>HYPERLINK(".\links\netoglyc\AGAP009915-PA-netoglyc.txt","10")</f>
        <v>10</v>
      </c>
      <c r="AP509" s="13">
        <v>20</v>
      </c>
      <c r="AQ509" s="2">
        <v>8.5</v>
      </c>
      <c r="AR509" s="2">
        <v>5.0999999999999996</v>
      </c>
      <c r="AS509" s="2" t="s">
        <v>104</v>
      </c>
      <c r="AT509" s="9" t="str">
        <f>HYPERLINK(".\links\NR-LIGHT\AGAP009915-PA-NR-LIGHT.txt","hypothetical protein ZHAS_00014622")</f>
        <v>hypothetical protein ZHAS_00014622</v>
      </c>
      <c r="AU509" s="2" t="str">
        <f>HYPERLINK("http://www.ncbi.nlm.nih.gov/sutils/blink.cgi?pid=KFB46584.1","0.0")</f>
        <v>0.0</v>
      </c>
      <c r="AV509" s="2" t="str">
        <f>HYPERLINK("http://www.ncbi.nlm.nih.gov/protein/KFB46584.1","KFB46584.1")</f>
        <v>KFB46584.1</v>
      </c>
      <c r="AW509" s="2">
        <v>59</v>
      </c>
      <c r="AX509" s="2">
        <v>66</v>
      </c>
      <c r="AY509" s="2">
        <v>104</v>
      </c>
      <c r="AZ509" s="2" t="s">
        <v>1522</v>
      </c>
      <c r="BA509" s="9" t="str">
        <f>HYPERLINK(".\links\REFSEQ-INVERTEBRATE\AGAP009915-PA-REFSEQ-INVERTEBRATE.txt","uncharacterized protein LOC109404609 isoform X3")</f>
        <v>uncharacterized protein LOC109404609 isoform X3</v>
      </c>
      <c r="BB509" s="2" t="str">
        <f>HYPERLINK("http://www.ncbi.nlm.nih.gov/sutils/blink.cgi?pid=XP_019533084.1","0.0")</f>
        <v>0.0</v>
      </c>
      <c r="BC509" s="2" t="str">
        <f>HYPERLINK("http://www.ncbi.nlm.nih.gov/protein/XP_019533084.1","XP_019533084.1")</f>
        <v>XP_019533084.1</v>
      </c>
      <c r="BD509" s="2">
        <v>44</v>
      </c>
      <c r="BE509" s="2">
        <v>54</v>
      </c>
      <c r="BF509" s="2">
        <v>126</v>
      </c>
      <c r="BG509" s="2" t="s">
        <v>361</v>
      </c>
      <c r="BH509" s="9" t="str">
        <f>HYPERLINK(".\links\REFSEQ-PROTOZOA\AGAP009915-PA-REFSEQ-PROTOZOA.txt","hypothetical protein DFA_11709")</f>
        <v>hypothetical protein DFA_11709</v>
      </c>
      <c r="BI509" s="2" t="str">
        <f>HYPERLINK("http://www.ncbi.nlm.nih.gov/sutils/blink.cgi?pid=XP_004350656.1","4E-019")</f>
        <v>4E-019</v>
      </c>
      <c r="BJ509" s="2" t="str">
        <f>HYPERLINK("http://www.ncbi.nlm.nih.gov/protein/XP_004350656.1","XP_004350656.1")</f>
        <v>XP_004350656.1</v>
      </c>
      <c r="BK509" s="2">
        <v>24</v>
      </c>
      <c r="BL509" s="2">
        <v>41</v>
      </c>
      <c r="BM509" s="2">
        <v>65</v>
      </c>
      <c r="BN509" s="2" t="s">
        <v>212</v>
      </c>
      <c r="BO509" s="9" t="str">
        <f>HYPERLINK(".\links\SWISSP\AGAP009915-PA-SWISSP.txt","Protein FAM214A")</f>
        <v>Protein FAM214A</v>
      </c>
      <c r="BP509" s="2" t="str">
        <f>HYPERLINK("http://www.uniprot.org/uniprot/Q32MH5","1E-037")</f>
        <v>1E-037</v>
      </c>
      <c r="BQ509" s="2" t="str">
        <f>HYPERLINK("http://www.uniprot.org/uniprot/Q32MH5#expression","Q32MH5")</f>
        <v>Q32MH5</v>
      </c>
      <c r="BR509" s="2">
        <v>44</v>
      </c>
      <c r="BS509" s="2">
        <v>60</v>
      </c>
      <c r="BT509" s="2">
        <v>19</v>
      </c>
      <c r="BU509" s="2" t="s">
        <v>127</v>
      </c>
      <c r="BV509" s="9" t="str">
        <f>HYPERLINK(".\links\FLYBASE\AGAP009915-PA-FLYBASE.txt","FBpp0297171")</f>
        <v>FBpp0297171</v>
      </c>
      <c r="BW509" s="2" t="str">
        <f>HYPERLINK("http://flybase.org/reports/FBgn0033638#alliance_summary_container","2E-93")</f>
        <v>2E-93</v>
      </c>
      <c r="BX509" s="2">
        <v>1297</v>
      </c>
      <c r="BY509" s="2">
        <v>49</v>
      </c>
      <c r="BZ509" s="2">
        <v>61</v>
      </c>
      <c r="CA509" s="2">
        <v>31</v>
      </c>
      <c r="CB509" s="9" t="str">
        <f>HYPERLINK(".\links\CDD\AGAP009915-PA-CDD.txt","Chromosome_seg, Chromosome segregation during meiosis")</f>
        <v>Chromosome_seg, Chromosome segregation during meiosis</v>
      </c>
      <c r="CC509" s="15">
        <v>2.9999999999999998E-14</v>
      </c>
      <c r="CD509" s="2">
        <v>120.4</v>
      </c>
      <c r="CE509" s="2" t="s">
        <v>5298</v>
      </c>
      <c r="CF509" s="2" t="s">
        <v>5299</v>
      </c>
      <c r="CG509" s="9" t="str">
        <f>HYPERLINK(".\links\KOG\AGAP009915-PA-KOG.txt","Uncharacterized conserved protein")</f>
        <v>Uncharacterized conserved protein</v>
      </c>
      <c r="CH509" s="15">
        <v>1.9999999999999999E-49</v>
      </c>
      <c r="CI509" s="2">
        <v>35.1</v>
      </c>
      <c r="CJ509" s="2" t="s">
        <v>5300</v>
      </c>
      <c r="CK509" s="2" t="s">
        <v>284</v>
      </c>
      <c r="CL509" s="9" t="str">
        <f>HYPERLINK(".\links\PFAM\AGAP009915-PA-PFAM.txt","Chromosome_seg, Chromosome segregation during meiosis")</f>
        <v>Chromosome_seg, Chromosome segregation during meiosis</v>
      </c>
      <c r="CM509" s="15">
        <v>5E-15</v>
      </c>
      <c r="CN509" s="2">
        <v>120.4</v>
      </c>
      <c r="CO509" s="2" t="s">
        <v>5298</v>
      </c>
      <c r="CP509" s="9" t="str">
        <f>HYPERLINK(".\links\SMART\AGAP009915-PA-SMART.txt","SPT2, SPT2 chromatin protein")</f>
        <v>SPT2, SPT2 chromatin protein</v>
      </c>
      <c r="CQ509" s="15">
        <v>0.2</v>
      </c>
      <c r="CR509" s="2">
        <v>100.9</v>
      </c>
      <c r="CS509" s="2" t="s">
        <v>2646</v>
      </c>
      <c r="CT509" s="2" t="s">
        <v>5295</v>
      </c>
      <c r="CU509" s="2" t="s">
        <v>5295</v>
      </c>
      <c r="CV509" s="2" t="s">
        <v>5295</v>
      </c>
      <c r="CW509" s="2" t="str">
        <f>HYPERLINK(".\links\pep\AGAP009915-PA-pep.txt","AGAP009915-PA")</f>
        <v>AGAP009915-PA</v>
      </c>
      <c r="CX509" s="2" t="s">
        <v>95</v>
      </c>
      <c r="CY509" s="2">
        <v>1753</v>
      </c>
      <c r="CZ509" s="2" t="s">
        <v>113</v>
      </c>
      <c r="DA509" s="2" t="s">
        <v>5301</v>
      </c>
      <c r="DB509" s="2">
        <v>0</v>
      </c>
      <c r="DC509" s="2">
        <v>0</v>
      </c>
      <c r="DD509" s="2" t="str">
        <f>HYPERLINK("https://www.kegg.jp/kegg-bin/search_pathway_text?map=aga&amp;keyword=AGAP009915&amp;mode=1&amp;viewImage=true","AGAP009915")</f>
        <v>AGAP009915</v>
      </c>
      <c r="DE509" s="2" t="s">
        <v>5293</v>
      </c>
      <c r="DF509" s="2" t="s">
        <v>93</v>
      </c>
      <c r="DG509" s="2" t="s">
        <v>94</v>
      </c>
      <c r="DH509" s="2" t="str">
        <f>HYPERLINK("https://vectorbase.org/vectorbase/app/record/gene/AGAP009915","AGAP009915-RA")</f>
        <v>AGAP009915-RA</v>
      </c>
      <c r="DI509" s="2" t="s">
        <v>90</v>
      </c>
      <c r="DJ509" s="2">
        <v>10178</v>
      </c>
      <c r="DK509" s="2" t="str">
        <f>HYPERLINK(".\links\netoglyc\AGAP009915-PA-netoglyc.txt","10")</f>
        <v>10</v>
      </c>
      <c r="DL509" s="2">
        <v>20</v>
      </c>
      <c r="DM509" s="2">
        <v>8.5</v>
      </c>
      <c r="DN509" s="2">
        <v>5.0999999999999996</v>
      </c>
      <c r="DO509" s="2" t="s">
        <v>104</v>
      </c>
      <c r="DP509" s="2" t="s">
        <v>5302</v>
      </c>
      <c r="DQ509" s="2" t="str">
        <f>HYPERLINK(".\links\Sigp\AGAP009915-PA-SigP.txt","CYT")</f>
        <v>CYT</v>
      </c>
      <c r="DR509" s="2" t="s">
        <v>102</v>
      </c>
      <c r="DS509" s="2">
        <v>187.57900000000001</v>
      </c>
      <c r="DT509" s="2">
        <v>8.0299999999999994</v>
      </c>
      <c r="DU509" s="2" t="s">
        <v>102</v>
      </c>
      <c r="DV509" s="2" t="s">
        <v>102</v>
      </c>
      <c r="DW509" s="2" t="s">
        <v>5297</v>
      </c>
      <c r="DX509" s="2">
        <v>1753</v>
      </c>
      <c r="DY509" s="12">
        <v>0</v>
      </c>
      <c r="DZ509" s="2" t="s">
        <v>102</v>
      </c>
      <c r="EA509" s="2" t="s">
        <v>102</v>
      </c>
      <c r="EB509" s="2" t="s">
        <v>102</v>
      </c>
      <c r="EC509" s="2" t="str">
        <f>HYPERLINK(".\links\gpi\AGAP009915-PA-gpi.txt","N")</f>
        <v>N</v>
      </c>
      <c r="ED509" s="2">
        <v>0.2</v>
      </c>
      <c r="EF509" s="2">
        <v>44</v>
      </c>
      <c r="EG509" s="2" t="str">
        <f>HYPERLINK(".\links\pep\AGAP009915-PA-sulf.txt","2")</f>
        <v>2</v>
      </c>
      <c r="EH509" s="2" t="s">
        <v>102</v>
      </c>
      <c r="EI509" s="2">
        <v>20.022818026240699</v>
      </c>
      <c r="EJ509" s="2">
        <v>5.1340559041642901</v>
      </c>
      <c r="EK509" s="2">
        <v>8.4997147746719897</v>
      </c>
      <c r="EL509" s="2">
        <v>13.633770678836299</v>
      </c>
      <c r="EM509" s="2">
        <v>3</v>
      </c>
      <c r="EN509" s="2">
        <v>2</v>
      </c>
      <c r="EO509" s="2">
        <v>2</v>
      </c>
      <c r="EP509" s="2" t="s">
        <v>102</v>
      </c>
      <c r="EQ509" s="2" t="s">
        <v>102</v>
      </c>
      <c r="ER509" s="2" t="s">
        <v>102</v>
      </c>
      <c r="ES509" s="2" t="s">
        <v>102</v>
      </c>
      <c r="ET509" s="2" t="str">
        <f>HYPERLINK(".\links\REFSEQ-INVERTEBRATE\AGAP009915-PA-REFSEQ-INVERTEBRATE.txt","uncharacterized protein LOC118509066 isoform X1")</f>
        <v>uncharacterized protein LOC118509066 isoform X1</v>
      </c>
      <c r="EU509" s="2" t="str">
        <f>HYPERLINK("http://www.ncbi.nlm.nih.gov/sutils/blink.cgi?pid=XP_035905078.1","0.0")</f>
        <v>0.0</v>
      </c>
      <c r="EV509" s="2" t="str">
        <f>HYPERLINK("http://www.ncbi.nlm.nih.gov/protein/XP_035905078.1","XP_035905078.1")</f>
        <v>XP_035905078.1</v>
      </c>
      <c r="EW509" s="2">
        <v>71</v>
      </c>
      <c r="EX509" s="2">
        <v>79</v>
      </c>
      <c r="EY509" s="2">
        <v>99</v>
      </c>
      <c r="EZ509" s="2" t="s">
        <v>370</v>
      </c>
    </row>
    <row r="510" spans="1:156" x14ac:dyDescent="0.25">
      <c r="A510" s="2" t="s">
        <v>5303</v>
      </c>
      <c r="B510" s="2">
        <v>-0.47386489542389498</v>
      </c>
      <c r="C510" s="2">
        <f t="shared" si="7"/>
        <v>0.72003308529483467</v>
      </c>
      <c r="D510" s="2">
        <v>6.5499840650378003</v>
      </c>
      <c r="E510" s="2">
        <v>12.7338134526589</v>
      </c>
      <c r="F510" s="2">
        <v>3.5910357837451001E-4</v>
      </c>
      <c r="G510" s="2">
        <v>2.1768426261281001E-2</v>
      </c>
      <c r="H510" s="2" t="s">
        <v>5304</v>
      </c>
      <c r="I510" s="2" t="s">
        <v>94</v>
      </c>
      <c r="J510" s="2" t="str">
        <f>HYPERLINK("https://vectorbase.org/vectorbase/app/record/gene/AGAP001535","AGAP001535-RA")</f>
        <v>AGAP001535-RA</v>
      </c>
      <c r="K510" s="2" t="str">
        <f>HYPERLINK(".\links\pep\AGAP001535-PA-pep.txt","AGAP001535-PA")</f>
        <v>AGAP001535-PA</v>
      </c>
      <c r="L510" s="12" t="s">
        <v>95</v>
      </c>
      <c r="M510" s="2">
        <v>3637</v>
      </c>
      <c r="N510" s="2">
        <v>0</v>
      </c>
      <c r="O510" s="2">
        <v>13</v>
      </c>
      <c r="P510" s="2" t="s">
        <v>5305</v>
      </c>
      <c r="Q510" s="9" t="s">
        <v>5306</v>
      </c>
      <c r="R510" s="2" t="s">
        <v>771</v>
      </c>
      <c r="S510" s="2" t="str">
        <f>HYPERLINK(".\links\KOG\AGAP001535-PA-KOG.txt","KOG")</f>
        <v>KOG</v>
      </c>
      <c r="T510" s="2">
        <v>5.0000000000000002E-57</v>
      </c>
      <c r="U510" s="2">
        <v>31.1</v>
      </c>
      <c r="V510" s="2" t="s">
        <v>5307</v>
      </c>
      <c r="W510" s="10" t="s">
        <v>5308</v>
      </c>
      <c r="X510" s="2" t="s">
        <v>388</v>
      </c>
      <c r="Y510" s="2" t="str">
        <f>HYPERLINK(".\links\REFSEQVERTEBRATE95\AGAP001535-PA-REFSEQVERTEBRATE95.txt","REFSEQVERTEBRATE95")</f>
        <v>REFSEQVERTEBRATE95</v>
      </c>
      <c r="Z510" s="2">
        <v>0</v>
      </c>
      <c r="AA510" s="2">
        <v>31</v>
      </c>
      <c r="AB510" s="13" t="str">
        <f>HYPERLINK(".\links\pep\AGAP001535-PA-sulf.txt","1")</f>
        <v>1</v>
      </c>
      <c r="AC510" s="13" t="str">
        <f>HYPERLINK(".\links\Sigp\AGAP001535-PA-SigP.txt","CYT")</f>
        <v>CYT</v>
      </c>
      <c r="AD510" s="2" t="s">
        <v>102</v>
      </c>
      <c r="AE510" s="2">
        <v>379.58499999999998</v>
      </c>
      <c r="AF510" s="2">
        <v>9.8000000000000007</v>
      </c>
      <c r="AG510" s="2" t="s">
        <v>102</v>
      </c>
      <c r="AH510" s="2" t="s">
        <v>102</v>
      </c>
      <c r="AI510" s="2" t="s">
        <v>555</v>
      </c>
      <c r="AJ510" s="13">
        <v>0</v>
      </c>
      <c r="AK510" s="2" t="s">
        <v>102</v>
      </c>
      <c r="AL510" s="2" t="s">
        <v>102</v>
      </c>
      <c r="AM510" s="2" t="s">
        <v>102</v>
      </c>
      <c r="AN510" s="13" t="str">
        <f>HYPERLINK(".\links\gpi\AGAP001535-PA-gpi.txt","N")</f>
        <v>N</v>
      </c>
      <c r="AO510" s="14" t="str">
        <f>HYPERLINK(".\links\netoglyc\AGAP001535-PA-netoglyc.txt","42")</f>
        <v>42</v>
      </c>
      <c r="AP510" s="13">
        <v>19.899999999999999</v>
      </c>
      <c r="AQ510" s="2">
        <v>10.8</v>
      </c>
      <c r="AR510" s="2">
        <v>7.4</v>
      </c>
      <c r="AS510" s="2">
        <v>0.1</v>
      </c>
      <c r="AT510" s="9" t="str">
        <f>HYPERLINK(".\links\NR-LIGHT\AGAP001535-PA-NR-LIGHT.txt","AGAP001535-PA")</f>
        <v>AGAP001535-PA</v>
      </c>
      <c r="AU510" s="2" t="str">
        <f>HYPERLINK("http://www.ncbi.nlm.nih.gov/sutils/blink.cgi?pid=XP_321588.5","0.0")</f>
        <v>0.0</v>
      </c>
      <c r="AV510" s="2" t="str">
        <f>HYPERLINK("http://www.ncbi.nlm.nih.gov/protein/XP_321588.5","XP_321588.5")</f>
        <v>XP_321588.5</v>
      </c>
      <c r="AW510" s="2">
        <v>99</v>
      </c>
      <c r="AX510" s="2">
        <v>99</v>
      </c>
      <c r="AY510" s="2">
        <v>101</v>
      </c>
      <c r="AZ510" s="2" t="s">
        <v>105</v>
      </c>
      <c r="BA510" s="9" t="str">
        <f>HYPERLINK(".\links\REFSEQ-INVERTEBRATE\AGAP001535-PA-REFSEQ-INVERTEBRATE.txt","AGAP001535-PA")</f>
        <v>AGAP001535-PA</v>
      </c>
      <c r="BB510" s="2" t="str">
        <f>HYPERLINK("http://www.ncbi.nlm.nih.gov/sutils/blink.cgi?pid=XP_321588.5","0.0")</f>
        <v>0.0</v>
      </c>
      <c r="BC510" s="2" t="str">
        <f>HYPERLINK("http://www.ncbi.nlm.nih.gov/protein/XP_321588.5","XP_321588.5")</f>
        <v>XP_321588.5</v>
      </c>
      <c r="BD510" s="2">
        <v>99</v>
      </c>
      <c r="BE510" s="2">
        <v>99</v>
      </c>
      <c r="BF510" s="2">
        <v>101</v>
      </c>
      <c r="BG510" s="2" t="s">
        <v>105</v>
      </c>
      <c r="BH510" s="9" t="str">
        <f>HYPERLINK(".\links\REFSEQ-PROTOZOA\AGAP001535-PA-REFSEQ-PROTOZOA.txt","proteophosphoglycan 5")</f>
        <v>proteophosphoglycan 5</v>
      </c>
      <c r="BI510" s="2" t="str">
        <f>HYPERLINK("http://www.ncbi.nlm.nih.gov/sutils/blink.cgi?pid=XP_003722449.1","5E-099")</f>
        <v>5E-099</v>
      </c>
      <c r="BJ510" s="2" t="str">
        <f>HYPERLINK("http://www.ncbi.nlm.nih.gov/protein/XP_003722449.1","XP_003722449.1")</f>
        <v>XP_003722449.1</v>
      </c>
      <c r="BK510" s="2">
        <v>19</v>
      </c>
      <c r="BL510" s="2">
        <v>35</v>
      </c>
      <c r="BM510" s="2">
        <v>15</v>
      </c>
      <c r="BN510" s="2" t="s">
        <v>3969</v>
      </c>
      <c r="BO510" s="9" t="str">
        <f>HYPERLINK(".\links\SWISSP\AGAP001535-PA-SWISSP.txt","Histone-lysine N-methyltransferase ash1")</f>
        <v>Histone-lysine N-methyltransferase ash1</v>
      </c>
      <c r="BP510" s="2" t="str">
        <f>HYPERLINK("http://www.uniprot.org/uniprot/Q9VW15","0.0")</f>
        <v>0.0</v>
      </c>
      <c r="BQ510" s="2" t="str">
        <f>HYPERLINK("http://www.uniprot.org/uniprot/Q9VW15#expression","Q9VW15")</f>
        <v>Q9VW15</v>
      </c>
      <c r="BR510" s="2">
        <v>42</v>
      </c>
      <c r="BS510" s="2">
        <v>55</v>
      </c>
      <c r="BT510" s="2">
        <v>61</v>
      </c>
      <c r="BU510" s="2" t="s">
        <v>107</v>
      </c>
      <c r="BV510" s="9" t="str">
        <f>HYPERLINK(".\links\FLYBASE\AGAP001535-PA-FLYBASE.txt","FBpp0297152")</f>
        <v>FBpp0297152</v>
      </c>
      <c r="BW510" s="2" t="str">
        <f>HYPERLINK("http://flybase.org/reports/FBgn0005386#alliance_summary_container","0.0")</f>
        <v>0.0</v>
      </c>
      <c r="BX510" s="2">
        <v>2226</v>
      </c>
      <c r="BY510" s="2">
        <v>46</v>
      </c>
      <c r="BZ510" s="2">
        <v>59</v>
      </c>
      <c r="CA510" s="2">
        <v>50</v>
      </c>
      <c r="CB510" s="9" t="str">
        <f>HYPERLINK(".\links\CDD\AGAP001535-PA-CDD.txt","BAH_polybromo, BAH, or Bromo Adjacent Homology domain, as present in polybromo and yeast RSC1/2")</f>
        <v>BAH_polybromo, BAH, or Bromo Adjacent Homology domain, as present in polybromo and yeast RSC1/2</v>
      </c>
      <c r="CC510" s="15">
        <v>2E-50</v>
      </c>
      <c r="CD510" s="2">
        <v>117.4</v>
      </c>
      <c r="CE510" s="2" t="s">
        <v>5309</v>
      </c>
      <c r="CF510" s="2" t="s">
        <v>5310</v>
      </c>
      <c r="CG510" s="9" t="str">
        <f>HYPERLINK(".\links\KOG\AGAP001535-PA-KOG.txt","involved in regulation of endocytosis")</f>
        <v>involved in regulation of endocytosis</v>
      </c>
      <c r="CH510" s="15">
        <v>5.0000000000000002E-57</v>
      </c>
      <c r="CI510" s="2">
        <v>31.1</v>
      </c>
      <c r="CJ510" s="2" t="s">
        <v>5311</v>
      </c>
      <c r="CK510" s="2" t="s">
        <v>154</v>
      </c>
      <c r="CL510" s="9" t="str">
        <f>HYPERLINK(".\links\PFAM\AGAP001535-PA-PFAM.txt","SET, SET domain")</f>
        <v>SET, SET domain</v>
      </c>
      <c r="CM510" s="15">
        <v>1E-27</v>
      </c>
      <c r="CN510" s="2">
        <v>100</v>
      </c>
      <c r="CO510" s="2" t="s">
        <v>1318</v>
      </c>
      <c r="CP510" s="9" t="str">
        <f>HYPERLINK(".\links\SMART\AGAP001535-PA-SMART.txt","SET, SET (Su(var)3-9, Enhancer-of-zeste, Trithorax) domain")</f>
        <v>SET, SET (Su(var)3-9, Enhancer-of-zeste, Trithorax) domain</v>
      </c>
      <c r="CQ510" s="15">
        <v>8E-41</v>
      </c>
      <c r="CR510" s="2">
        <v>98.4</v>
      </c>
      <c r="CS510" s="2" t="s">
        <v>487</v>
      </c>
      <c r="CT510" s="2" t="s">
        <v>5307</v>
      </c>
      <c r="CU510" s="2" t="s">
        <v>5307</v>
      </c>
      <c r="CV510" s="2" t="s">
        <v>5307</v>
      </c>
      <c r="CW510" s="2" t="str">
        <f>HYPERLINK(".\links\pep\AGAP001535-PA-pep.txt","AGAP001535-PA")</f>
        <v>AGAP001535-PA</v>
      </c>
      <c r="CX510" s="2" t="s">
        <v>95</v>
      </c>
      <c r="CY510" s="2">
        <v>3637</v>
      </c>
      <c r="CZ510" s="2" t="s">
        <v>113</v>
      </c>
      <c r="DA510" s="2" t="s">
        <v>5312</v>
      </c>
      <c r="DB510" s="2">
        <v>0</v>
      </c>
      <c r="DC510" s="2">
        <v>13</v>
      </c>
      <c r="DD510" s="2" t="str">
        <f>HYPERLINK("https://www.kegg.jp/kegg-bin/search_pathway_text?map=aga&amp;keyword=AGAP001535&amp;mode=1&amp;viewImage=true","AGAP001535")</f>
        <v>AGAP001535</v>
      </c>
      <c r="DE510" s="2" t="s">
        <v>5303</v>
      </c>
      <c r="DF510" s="2" t="s">
        <v>5304</v>
      </c>
      <c r="DG510" s="2" t="s">
        <v>94</v>
      </c>
      <c r="DH510" s="2" t="str">
        <f>HYPERLINK("https://vectorbase.org/vectorbase/app/record/gene/AGAP001535","AGAP001535-RA")</f>
        <v>AGAP001535-RA</v>
      </c>
      <c r="DI510" s="2" t="s">
        <v>118</v>
      </c>
      <c r="DJ510" s="2">
        <v>11363</v>
      </c>
      <c r="DK510" s="2" t="str">
        <f>HYPERLINK(".\links\netoglyc\AGAP001535-PA-netoglyc.txt","42")</f>
        <v>42</v>
      </c>
      <c r="DL510" s="2">
        <v>19.899999999999999</v>
      </c>
      <c r="DM510" s="2">
        <v>10.8</v>
      </c>
      <c r="DN510" s="2">
        <v>7.4</v>
      </c>
      <c r="DO510" s="2">
        <v>0.1</v>
      </c>
      <c r="DP510" s="2" t="s">
        <v>5313</v>
      </c>
      <c r="DQ510" s="2" t="str">
        <f>HYPERLINK(".\links\Sigp\AGAP001535-PA-SigP.txt","CYT")</f>
        <v>CYT</v>
      </c>
      <c r="DR510" s="2" t="s">
        <v>102</v>
      </c>
      <c r="DS510" s="2">
        <v>379.58499999999998</v>
      </c>
      <c r="DT510" s="2">
        <v>9.8000000000000007</v>
      </c>
      <c r="DU510" s="2" t="s">
        <v>102</v>
      </c>
      <c r="DV510" s="2" t="s">
        <v>102</v>
      </c>
      <c r="DW510" s="2" t="s">
        <v>555</v>
      </c>
      <c r="DX510" s="2">
        <v>3637</v>
      </c>
      <c r="DY510" s="12">
        <v>0</v>
      </c>
      <c r="DZ510" s="2" t="s">
        <v>102</v>
      </c>
      <c r="EA510" s="2" t="s">
        <v>102</v>
      </c>
      <c r="EB510" s="2" t="s">
        <v>102</v>
      </c>
      <c r="EC510" s="2" t="str">
        <f>HYPERLINK(".\links\gpi\AGAP001535-PA-gpi.txt","Y-NoSP")</f>
        <v>Y-NoSP</v>
      </c>
      <c r="ED510" s="2">
        <v>0.34</v>
      </c>
      <c r="EF510" s="2">
        <v>52</v>
      </c>
      <c r="EG510" s="2" t="str">
        <f>HYPERLINK(".\links\pep\AGAP001535-PA-sulf.txt","1")</f>
        <v>1</v>
      </c>
      <c r="EH510" s="2" t="s">
        <v>102</v>
      </c>
      <c r="EI510" s="2">
        <v>19.851525982953</v>
      </c>
      <c r="EJ510" s="2">
        <v>7.4237008523508399</v>
      </c>
      <c r="EK510" s="2">
        <v>10.750618641737701</v>
      </c>
      <c r="EL510" s="2">
        <v>18.1743194940885</v>
      </c>
      <c r="EM510" s="2">
        <v>15</v>
      </c>
      <c r="EN510" s="2">
        <v>13</v>
      </c>
      <c r="EO510" s="2">
        <v>13</v>
      </c>
      <c r="EP510" s="2" t="s">
        <v>102</v>
      </c>
      <c r="EQ510" s="2" t="s">
        <v>102</v>
      </c>
      <c r="ER510" s="2" t="s">
        <v>102</v>
      </c>
      <c r="ES510" s="2" t="s">
        <v>102</v>
      </c>
      <c r="ET510" s="2" t="str">
        <f>HYPERLINK(".\links\REFSEQ-INVERTEBRATE\AGAP001535-PA-REFSEQ-INVERTEBRATE.txt","AGAP001535-PA")</f>
        <v>AGAP001535-PA</v>
      </c>
      <c r="EU510" s="2" t="str">
        <f>HYPERLINK("http://www.ncbi.nlm.nih.gov/sutils/blink.cgi?pid=XP_321588.5","0.0")</f>
        <v>0.0</v>
      </c>
      <c r="EV510" s="2" t="str">
        <f>HYPERLINK("http://www.ncbi.nlm.nih.gov/protein/XP_321588.5","XP_321588.5")</f>
        <v>XP_321588.5</v>
      </c>
      <c r="EW510" s="2">
        <v>99</v>
      </c>
      <c r="EX510" s="2">
        <v>99</v>
      </c>
      <c r="EY510" s="2">
        <v>101</v>
      </c>
      <c r="EZ510" s="2" t="s">
        <v>105</v>
      </c>
    </row>
    <row r="511" spans="1:156" x14ac:dyDescent="0.25">
      <c r="A511" s="2" t="s">
        <v>5314</v>
      </c>
      <c r="B511" s="2">
        <v>-0.47457715267289902</v>
      </c>
      <c r="C511" s="2">
        <f t="shared" si="7"/>
        <v>0.71967769334135134</v>
      </c>
      <c r="D511" s="2">
        <v>6.6839035062567902</v>
      </c>
      <c r="E511" s="2">
        <v>10.8531939662558</v>
      </c>
      <c r="F511" s="2">
        <v>9.862550224374459E-4</v>
      </c>
      <c r="G511" s="2">
        <v>3.1972181730661298E-2</v>
      </c>
      <c r="H511" s="2" t="s">
        <v>5315</v>
      </c>
      <c r="I511" s="2" t="s">
        <v>94</v>
      </c>
      <c r="J511" s="2" t="str">
        <f>HYPERLINK("https://vectorbase.org/vectorbase/app/record/gene/AGAP006360","AGAP006360-RB")</f>
        <v>AGAP006360-RB</v>
      </c>
      <c r="K511" s="2" t="str">
        <f>HYPERLINK(".\links\pep\AGAP006360-PB-pep.txt","AGAP006360-PB")</f>
        <v>AGAP006360-PB</v>
      </c>
      <c r="L511" s="12" t="s">
        <v>95</v>
      </c>
      <c r="M511" s="2">
        <v>2090</v>
      </c>
      <c r="N511" s="2">
        <v>0</v>
      </c>
      <c r="O511" s="2">
        <v>8</v>
      </c>
      <c r="P511" s="2" t="s">
        <v>5316</v>
      </c>
      <c r="Q511" s="9" t="s">
        <v>5317</v>
      </c>
      <c r="R511" s="2" t="s">
        <v>1558</v>
      </c>
      <c r="S511" s="2" t="str">
        <f>HYPERLINK(".\links\KOG\AGAP006360-PB-KOG.txt","KOG")</f>
        <v>KOG</v>
      </c>
      <c r="T511" s="2">
        <v>0</v>
      </c>
      <c r="U511" s="2">
        <v>97.5</v>
      </c>
      <c r="V511" s="2" t="s">
        <v>5318</v>
      </c>
      <c r="W511" s="10" t="s">
        <v>183</v>
      </c>
      <c r="X511" s="2" t="s">
        <v>1558</v>
      </c>
      <c r="Y511" s="2" t="str">
        <f>HYPERLINK(".\links\COG\AGAP006360-PB-COG.txt","COG")</f>
        <v>COG</v>
      </c>
      <c r="Z511" s="15">
        <v>6.0000000000000003E-96</v>
      </c>
      <c r="AA511" s="2">
        <v>97.5</v>
      </c>
      <c r="AB511" s="13" t="str">
        <f>HYPERLINK(".\links\pep\AGAP006360-PB-sulf.txt","3")</f>
        <v>3</v>
      </c>
      <c r="AC511" s="13" t="str">
        <f>HYPERLINK(".\links\Sigp\AGAP006360-PB-SigP.txt","CYT")</f>
        <v>CYT</v>
      </c>
      <c r="AD511" s="2" t="s">
        <v>102</v>
      </c>
      <c r="AE511" s="2">
        <v>229.60599999999999</v>
      </c>
      <c r="AF511" s="2">
        <v>6.28</v>
      </c>
      <c r="AG511" s="2" t="s">
        <v>102</v>
      </c>
      <c r="AH511" s="2" t="s">
        <v>102</v>
      </c>
      <c r="AI511" s="2" t="s">
        <v>3327</v>
      </c>
      <c r="AJ511" s="13">
        <v>0</v>
      </c>
      <c r="AK511" s="2" t="s">
        <v>102</v>
      </c>
      <c r="AL511" s="2" t="s">
        <v>102</v>
      </c>
      <c r="AM511" s="2" t="s">
        <v>102</v>
      </c>
      <c r="AN511" s="13" t="str">
        <f>HYPERLINK(".\links\gpi\AGAP006360-PB-gpi.txt","N")</f>
        <v>N</v>
      </c>
      <c r="AO511" s="14" t="str">
        <f>HYPERLINK(".\links\netoglyc\AGAP006360-PB-netoglyc.txt","1")</f>
        <v>1</v>
      </c>
      <c r="AP511" s="13">
        <v>10.9</v>
      </c>
      <c r="AQ511" s="2">
        <v>9</v>
      </c>
      <c r="AR511" s="2">
        <v>4.9000000000000004</v>
      </c>
      <c r="AS511" s="2">
        <v>0.1</v>
      </c>
      <c r="AT511" s="9" t="str">
        <f>HYPERLINK(".\links\NR-LIGHT\AGAP006360-PB-NR-LIGHT.txt","AGAP006360-PA")</f>
        <v>AGAP006360-PA</v>
      </c>
      <c r="AU511" s="2" t="str">
        <f>HYPERLINK("http://www.ncbi.nlm.nih.gov/sutils/blink.cgi?pid=XP_316385.4","0.0")</f>
        <v>0.0</v>
      </c>
      <c r="AV511" s="2" t="str">
        <f>HYPERLINK("http://www.ncbi.nlm.nih.gov/protein/XP_316385.4","XP_316385.4")</f>
        <v>XP_316385.4</v>
      </c>
      <c r="AW511" s="2">
        <v>99</v>
      </c>
      <c r="AX511" s="2">
        <v>99</v>
      </c>
      <c r="AY511" s="2">
        <v>101</v>
      </c>
      <c r="AZ511" s="2" t="s">
        <v>105</v>
      </c>
      <c r="BA511" s="9" t="str">
        <f>HYPERLINK(".\links\REFSEQ-INVERTEBRATE\AGAP006360-PB-REFSEQ-INVERTEBRATE.txt","AGAP006360-PA")</f>
        <v>AGAP006360-PA</v>
      </c>
      <c r="BB511" s="2" t="str">
        <f>HYPERLINK("http://www.ncbi.nlm.nih.gov/sutils/blink.cgi?pid=XP_316385.4","0.0")</f>
        <v>0.0</v>
      </c>
      <c r="BC511" s="2" t="str">
        <f>HYPERLINK("http://www.ncbi.nlm.nih.gov/protein/XP_316385.4","XP_316385.4")</f>
        <v>XP_316385.4</v>
      </c>
      <c r="BD511" s="2">
        <v>99</v>
      </c>
      <c r="BE511" s="2">
        <v>99</v>
      </c>
      <c r="BF511" s="2">
        <v>101</v>
      </c>
      <c r="BG511" s="2" t="s">
        <v>105</v>
      </c>
      <c r="BH511" s="9" t="str">
        <f>HYPERLINK(".\links\REFSEQ-PROTOZOA\AGAP006360-PB-REFSEQ-PROTOZOA.txt","glutamate synthase")</f>
        <v>glutamate synthase</v>
      </c>
      <c r="BI511" s="2" t="str">
        <f>HYPERLINK("http://www.ncbi.nlm.nih.gov/sutils/blink.cgi?pid=XP_014155645.1","0.0")</f>
        <v>0.0</v>
      </c>
      <c r="BJ511" s="2" t="str">
        <f>HYPERLINK("http://www.ncbi.nlm.nih.gov/protein/XP_014155645.1","XP_014155645.1")</f>
        <v>XP_014155645.1</v>
      </c>
      <c r="BK511" s="2">
        <v>55</v>
      </c>
      <c r="BL511" s="2">
        <v>70</v>
      </c>
      <c r="BM511" s="2">
        <v>99</v>
      </c>
      <c r="BN511" s="2" t="s">
        <v>393</v>
      </c>
      <c r="BO511" s="9" t="str">
        <f>HYPERLINK(".\links\SWISSP\AGAP006360-PB-SWISSP.txt","Glutamate synthase 1 [NADH], chloroplastic")</f>
        <v>Glutamate synthase 1 [NADH], chloroplastic</v>
      </c>
      <c r="BP511" s="2" t="str">
        <f>HYPERLINK("http://www.uniprot.org/uniprot/Q9LV03","0.0")</f>
        <v>0.0</v>
      </c>
      <c r="BQ511" s="2" t="str">
        <f>HYPERLINK("http://www.uniprot.org/uniprot/Q9LV03#expression","Q9LV03")</f>
        <v>Q9LV03</v>
      </c>
      <c r="BR511" s="2">
        <v>55</v>
      </c>
      <c r="BS511" s="2">
        <v>69</v>
      </c>
      <c r="BT511" s="2">
        <v>94</v>
      </c>
      <c r="BU511" s="2" t="s">
        <v>280</v>
      </c>
      <c r="BV511" s="9" t="str">
        <f>HYPERLINK(".\links\FLYBASE\AGAP006360-PB-FLYBASE.txt","FBpp0075103")</f>
        <v>FBpp0075103</v>
      </c>
      <c r="BW511" s="2" t="str">
        <f>HYPERLINK("http://flybase.org/reports/FBgn0036663#alliance_summary_container","0.0")</f>
        <v>0.0</v>
      </c>
      <c r="BX511" s="2">
        <v>2114</v>
      </c>
      <c r="BY511" s="2">
        <v>76</v>
      </c>
      <c r="BZ511" s="2">
        <v>87</v>
      </c>
      <c r="CA511" s="2">
        <v>97</v>
      </c>
      <c r="CB511" s="9" t="str">
        <f>HYPERLINK(".\links\CDD\AGAP006360-PB-CDD.txt","gltB, glutamate synthase subunit alpha")</f>
        <v>gltB, glutamate synthase subunit alpha</v>
      </c>
      <c r="CC511" s="15">
        <v>0</v>
      </c>
      <c r="CD511" s="2">
        <v>101.3</v>
      </c>
      <c r="CE511" s="2" t="s">
        <v>5319</v>
      </c>
      <c r="CF511" s="2" t="s">
        <v>5320</v>
      </c>
      <c r="CG511" s="9" t="str">
        <f>HYPERLINK(".\links\KOG\AGAP006360-PB-KOG.txt","Glutamate synthase")</f>
        <v>Glutamate synthase</v>
      </c>
      <c r="CH511" s="15">
        <v>0</v>
      </c>
      <c r="CI511" s="2">
        <v>97.5</v>
      </c>
      <c r="CJ511" s="2" t="s">
        <v>5321</v>
      </c>
      <c r="CK511" s="2" t="s">
        <v>267</v>
      </c>
      <c r="CL511" s="9" t="str">
        <f>HYPERLINK(".\links\PFAM\AGAP006360-PB-PFAM.txt","GATase_2, Glutamine amidotransferases class-II")</f>
        <v>GATase_2, Glutamine amidotransferases class-II</v>
      </c>
      <c r="CM511" s="15">
        <v>0</v>
      </c>
      <c r="CN511" s="2">
        <v>100.2</v>
      </c>
      <c r="CO511" s="2" t="s">
        <v>5322</v>
      </c>
      <c r="CP511" s="9" t="str">
        <f>HYPERLINK(".\links\SMART\AGAP006360-PB-SMART.txt","AlaDh_PNT_C, Alanine dehydrogenase/PNT, C-terminal domain")</f>
        <v>AlaDh_PNT_C, Alanine dehydrogenase/PNT, C-terminal domain</v>
      </c>
      <c r="CQ511" s="15">
        <v>1E-3</v>
      </c>
      <c r="CR511" s="2">
        <v>26.2</v>
      </c>
      <c r="CS511" s="2" t="s">
        <v>5323</v>
      </c>
      <c r="CT511" s="2" t="s">
        <v>5318</v>
      </c>
      <c r="CU511" s="2" t="s">
        <v>5318</v>
      </c>
      <c r="CV511" s="2" t="s">
        <v>5318</v>
      </c>
      <c r="CW511" s="2" t="str">
        <f>HYPERLINK(".\links\pep\AGAP006360-PB-pep.txt","AGAP006360-PB")</f>
        <v>AGAP006360-PB</v>
      </c>
      <c r="CX511" s="2" t="s">
        <v>95</v>
      </c>
      <c r="CY511" s="2">
        <v>2090</v>
      </c>
      <c r="CZ511" s="2" t="s">
        <v>113</v>
      </c>
      <c r="DA511" s="2" t="s">
        <v>5324</v>
      </c>
      <c r="DB511" s="2">
        <v>0</v>
      </c>
      <c r="DC511" s="2">
        <v>8</v>
      </c>
      <c r="DD511" s="2" t="str">
        <f>HYPERLINK("https://www.kegg.jp/kegg-bin/search_pathway_text?map=aga&amp;keyword=AGAP006360&amp;mode=1&amp;viewImage=true","AGAP006360")</f>
        <v>AGAP006360</v>
      </c>
      <c r="DE511" s="2" t="s">
        <v>5314</v>
      </c>
      <c r="DF511" s="2" t="s">
        <v>5315</v>
      </c>
      <c r="DG511" s="2" t="s">
        <v>94</v>
      </c>
      <c r="DH511" s="2" t="str">
        <f>HYPERLINK("https://vectorbase.org/vectorbase/app/record/gene/AGAP006360","AGAP006360-RB")</f>
        <v>AGAP006360-RB</v>
      </c>
      <c r="DI511" s="2" t="s">
        <v>118</v>
      </c>
      <c r="DJ511" s="2">
        <v>10840</v>
      </c>
      <c r="DK511" s="2" t="str">
        <f>HYPERLINK(".\links\netoglyc\AGAP006360-PB-netoglyc.txt","1")</f>
        <v>1</v>
      </c>
      <c r="DL511" s="2">
        <v>10.9</v>
      </c>
      <c r="DM511" s="2">
        <v>9</v>
      </c>
      <c r="DN511" s="2">
        <v>4.9000000000000004</v>
      </c>
      <c r="DO511" s="2">
        <v>0.1</v>
      </c>
      <c r="DP511" s="2" t="s">
        <v>5325</v>
      </c>
      <c r="DQ511" s="2" t="str">
        <f>HYPERLINK(".\links\Sigp\AGAP006360-PB-SigP.txt","CYT")</f>
        <v>CYT</v>
      </c>
      <c r="DR511" s="2" t="s">
        <v>102</v>
      </c>
      <c r="DS511" s="2">
        <v>229.60599999999999</v>
      </c>
      <c r="DT511" s="2">
        <v>6.28</v>
      </c>
      <c r="DU511" s="2" t="s">
        <v>102</v>
      </c>
      <c r="DV511" s="2" t="s">
        <v>102</v>
      </c>
      <c r="DW511" s="2" t="s">
        <v>3327</v>
      </c>
      <c r="DX511" s="2">
        <v>2090</v>
      </c>
      <c r="DY511" s="12">
        <v>0</v>
      </c>
      <c r="DZ511" s="2" t="s">
        <v>102</v>
      </c>
      <c r="EA511" s="2" t="s">
        <v>102</v>
      </c>
      <c r="EB511" s="2" t="s">
        <v>102</v>
      </c>
      <c r="EC511" s="2" t="str">
        <f>HYPERLINK(".\links\gpi\AGAP006360-PB-gpi.txt","Y-NoSP")</f>
        <v>Y-NoSP</v>
      </c>
      <c r="ED511" s="2">
        <v>0.13</v>
      </c>
      <c r="EF511" s="2">
        <v>37</v>
      </c>
      <c r="EG511" s="2" t="str">
        <f>HYPERLINK(".\links\pep\AGAP006360-PB-sulf.txt","3")</f>
        <v>3</v>
      </c>
      <c r="EH511" s="2" t="s">
        <v>102</v>
      </c>
      <c r="EI511" s="2">
        <v>10.909090909090899</v>
      </c>
      <c r="EJ511" s="2">
        <v>4.88038277511962</v>
      </c>
      <c r="EK511" s="2">
        <v>9.0430622009569408</v>
      </c>
      <c r="EL511" s="2">
        <v>13.923444976076601</v>
      </c>
      <c r="EM511" s="2">
        <v>4</v>
      </c>
      <c r="EN511" s="2">
        <v>9</v>
      </c>
      <c r="EO511" s="2">
        <v>12</v>
      </c>
      <c r="EP511" s="2" t="s">
        <v>102</v>
      </c>
      <c r="EQ511" s="2" t="s">
        <v>102</v>
      </c>
      <c r="ER511" s="2" t="s">
        <v>102</v>
      </c>
      <c r="ES511" s="2" t="s">
        <v>102</v>
      </c>
      <c r="ET511" s="2" t="str">
        <f>HYPERLINK(".\links\REFSEQ-INVERTEBRATE\AGAP006360-PB-REFSEQ-INVERTEBRATE.txt","AGAP006360-PA")</f>
        <v>AGAP006360-PA</v>
      </c>
      <c r="EU511" s="2" t="str">
        <f>HYPERLINK("http://www.ncbi.nlm.nih.gov/sutils/blink.cgi?pid=XP_316385.4","0.0")</f>
        <v>0.0</v>
      </c>
      <c r="EV511" s="2" t="str">
        <f>HYPERLINK("http://www.ncbi.nlm.nih.gov/protein/XP_316385.4","XP_316385.4")</f>
        <v>XP_316385.4</v>
      </c>
      <c r="EW511" s="2">
        <v>99</v>
      </c>
      <c r="EX511" s="2">
        <v>99</v>
      </c>
      <c r="EY511" s="2">
        <v>101</v>
      </c>
      <c r="EZ511" s="2" t="s">
        <v>105</v>
      </c>
    </row>
    <row r="512" spans="1:156" x14ac:dyDescent="0.25">
      <c r="A512" s="2" t="s">
        <v>5326</v>
      </c>
      <c r="B512" s="2">
        <v>-0.47602219139248197</v>
      </c>
      <c r="C512" s="2">
        <f t="shared" si="7"/>
        <v>0.71895720740974234</v>
      </c>
      <c r="D512" s="2">
        <v>5.4519703147488503</v>
      </c>
      <c r="E512" s="2">
        <v>9.7267879385392693</v>
      </c>
      <c r="F512" s="2">
        <v>1.81601575686617E-3</v>
      </c>
      <c r="G512" s="2">
        <v>4.1620547171897997E-2</v>
      </c>
      <c r="H512" s="2" t="s">
        <v>93</v>
      </c>
      <c r="I512" s="2" t="s">
        <v>94</v>
      </c>
      <c r="J512" s="2" t="str">
        <f>HYPERLINK("https://vectorbase.org/vectorbase/app/record/gene/AGAP004447","AGAP004447-RA")</f>
        <v>AGAP004447-RA</v>
      </c>
      <c r="K512" s="2" t="str">
        <f>HYPERLINK(".\links\pep\AGAP004447-PA-pep.txt","AGAP004447-PA")</f>
        <v>AGAP004447-PA</v>
      </c>
      <c r="L512" s="12" t="s">
        <v>95</v>
      </c>
      <c r="M512" s="2">
        <v>1739</v>
      </c>
      <c r="N512" s="2">
        <v>0</v>
      </c>
      <c r="O512" s="2">
        <v>3</v>
      </c>
      <c r="P512" s="2" t="s">
        <v>102</v>
      </c>
      <c r="Q512" s="9" t="s">
        <v>5327</v>
      </c>
      <c r="R512" s="2" t="s">
        <v>358</v>
      </c>
      <c r="S512" s="2" t="str">
        <f>HYPERLINK(".\links\REFSEQ-INVERTEBRATE\AGAP004447-PA-REFSEQ-INVERTEBRATE.txt","REFSEQ-INVERTEBRATE")</f>
        <v>REFSEQ-INVERTEBRATE</v>
      </c>
      <c r="T512" s="2">
        <v>0</v>
      </c>
      <c r="U512" s="2">
        <v>59.3</v>
      </c>
      <c r="V512" s="2" t="s">
        <v>5328</v>
      </c>
      <c r="W512" s="10" t="s">
        <v>183</v>
      </c>
      <c r="X512" s="2" t="s">
        <v>196</v>
      </c>
      <c r="Y512" s="2" t="str">
        <f>HYPERLINK(".\links\ARTHORPODA\AGAP004447-PA-ARTHORPODA.txt","ARTHORPODA")</f>
        <v>ARTHORPODA</v>
      </c>
      <c r="Z512" s="15">
        <v>0</v>
      </c>
      <c r="AA512" s="2">
        <v>96.4</v>
      </c>
      <c r="AB512" s="13" t="str">
        <f>HYPERLINK(".\links\pep\AGAP004447-PA-sulf.txt","2")</f>
        <v>2</v>
      </c>
      <c r="AC512" s="13" t="str">
        <f>HYPERLINK(".\links\Sigp\AGAP004447-PA-SigP.txt","CYT")</f>
        <v>CYT</v>
      </c>
      <c r="AD512" s="2" t="s">
        <v>102</v>
      </c>
      <c r="AE512" s="2">
        <v>186.46899999999999</v>
      </c>
      <c r="AF512" s="2">
        <v>9.14</v>
      </c>
      <c r="AG512" s="2" t="s">
        <v>102</v>
      </c>
      <c r="AH512" s="2" t="s">
        <v>102</v>
      </c>
      <c r="AI512" s="2" t="s">
        <v>5329</v>
      </c>
      <c r="AJ512" s="13">
        <v>0</v>
      </c>
      <c r="AK512" s="2" t="s">
        <v>102</v>
      </c>
      <c r="AL512" s="2" t="s">
        <v>102</v>
      </c>
      <c r="AM512" s="2" t="s">
        <v>102</v>
      </c>
      <c r="AN512" s="13" t="str">
        <f>HYPERLINK(".\links\gpi\AGAP004447-PA-gpi.txt","N")</f>
        <v>N</v>
      </c>
      <c r="AO512" s="14" t="str">
        <f>HYPERLINK(".\links\netoglyc\AGAP004447-PA-netoglyc.txt","6")</f>
        <v>6</v>
      </c>
      <c r="AP512" s="13">
        <v>21</v>
      </c>
      <c r="AQ512" s="2">
        <v>6.3</v>
      </c>
      <c r="AR512" s="2">
        <v>5.6</v>
      </c>
      <c r="AS512" s="2" t="s">
        <v>104</v>
      </c>
      <c r="AT512" s="9" t="str">
        <f>HYPERLINK(".\links\NR-LIGHT\AGAP004447-PA-NR-LIGHT.txt","AGAP004447-PA")</f>
        <v>AGAP004447-PA</v>
      </c>
      <c r="AU512" s="2" t="str">
        <f>HYPERLINK("http://www.ncbi.nlm.nih.gov/sutils/blink.cgi?pid=XP_313738.5","0.0")</f>
        <v>0.0</v>
      </c>
      <c r="AV512" s="2" t="str">
        <f>HYPERLINK("http://www.ncbi.nlm.nih.gov/protein/XP_313738.5","XP_313738.5")</f>
        <v>XP_313738.5</v>
      </c>
      <c r="AW512" s="2">
        <v>96</v>
      </c>
      <c r="AX512" s="2">
        <v>96</v>
      </c>
      <c r="AY512" s="2">
        <v>99</v>
      </c>
      <c r="AZ512" s="2" t="s">
        <v>105</v>
      </c>
      <c r="BA512" s="9" t="str">
        <f>HYPERLINK(".\links\REFSEQ-INVERTEBRATE\AGAP004447-PA-REFSEQ-INVERTEBRATE.txt","AGAP004447-PA")</f>
        <v>AGAP004447-PA</v>
      </c>
      <c r="BB512" s="2" t="str">
        <f>HYPERLINK("http://www.ncbi.nlm.nih.gov/sutils/blink.cgi?pid=XP_313738.5","0.0")</f>
        <v>0.0</v>
      </c>
      <c r="BC512" s="2" t="str">
        <f>HYPERLINK("http://www.ncbi.nlm.nih.gov/protein/XP_313738.5","XP_313738.5")</f>
        <v>XP_313738.5</v>
      </c>
      <c r="BD512" s="2">
        <v>96</v>
      </c>
      <c r="BE512" s="2">
        <v>96</v>
      </c>
      <c r="BF512" s="2">
        <v>99</v>
      </c>
      <c r="BG512" s="2" t="s">
        <v>105</v>
      </c>
      <c r="BH512" s="9" t="str">
        <f>HYPERLINK(".\links\REFSEQ-PROTOZOA\AGAP004447-PA-REFSEQ-PROTOZOA.txt","proteophosphoglycan ppg4")</f>
        <v>proteophosphoglycan ppg4</v>
      </c>
      <c r="BI512" s="2" t="str">
        <f>HYPERLINK("http://www.ncbi.nlm.nih.gov/sutils/blink.cgi?pid=XP_003722448.1","2E-047")</f>
        <v>2E-047</v>
      </c>
      <c r="BJ512" s="2" t="str">
        <f>HYPERLINK("http://www.ncbi.nlm.nih.gov/protein/XP_003722448.1","XP_003722448.1")</f>
        <v>XP_003722448.1</v>
      </c>
      <c r="BK512" s="2">
        <v>17</v>
      </c>
      <c r="BL512" s="2">
        <v>31</v>
      </c>
      <c r="BM512" s="2">
        <v>24</v>
      </c>
      <c r="BN512" s="2" t="s">
        <v>3969</v>
      </c>
      <c r="BO512" s="9" t="str">
        <f>HYPERLINK(".\links\SWISSP\AGAP004447-PA-SWISSP.txt","Titin homolog")</f>
        <v>Titin homolog</v>
      </c>
      <c r="BP512" s="2" t="str">
        <f>HYPERLINK("http://www.uniprot.org/uniprot/G4SLH0","4E-038")</f>
        <v>4E-038</v>
      </c>
      <c r="BQ512" s="2" t="str">
        <f>HYPERLINK("http://www.uniprot.org/uniprot/G4SLH0#expression","G4SLH0")</f>
        <v>G4SLH0</v>
      </c>
      <c r="BR512" s="2">
        <v>20</v>
      </c>
      <c r="BS512" s="2">
        <v>39</v>
      </c>
      <c r="BT512" s="2">
        <v>8</v>
      </c>
      <c r="BU512" s="2" t="s">
        <v>1445</v>
      </c>
      <c r="BV512" s="9" t="str">
        <f>HYPERLINK(".\links\FLYBASE\AGAP004447-PA-FLYBASE.txt","FBpp0305208")</f>
        <v>FBpp0305208</v>
      </c>
      <c r="BW512" s="2" t="str">
        <f>HYPERLINK("http://flybase.org/reports/FBgn0052529#alliance_summary_container","1E-28")</f>
        <v>1E-28</v>
      </c>
      <c r="BX512" s="2">
        <v>2529</v>
      </c>
      <c r="BY512" s="2">
        <v>66</v>
      </c>
      <c r="BZ512" s="2">
        <v>74</v>
      </c>
      <c r="CA512" s="2">
        <v>4</v>
      </c>
      <c r="CB512" s="9" t="str">
        <f>HYPERLINK(".\links\CDD\AGAP004447-PA-CDD.txt","PTZ00121, MAEBL")</f>
        <v>PTZ00121, MAEBL</v>
      </c>
      <c r="CC512" s="15">
        <v>8.0000000000000005E-9</v>
      </c>
      <c r="CD512" s="2">
        <v>31.8</v>
      </c>
      <c r="CE512" s="2" t="s">
        <v>460</v>
      </c>
      <c r="CF512" s="2" t="s">
        <v>5330</v>
      </c>
      <c r="CG512" s="9" t="str">
        <f>HYPERLINK(".\links\KOG\AGAP004447-PA-KOG.txt","Translation initiation factor 5B (eIF-5B)")</f>
        <v>Translation initiation factor 5B (eIF-5B)</v>
      </c>
      <c r="CH512" s="15">
        <v>1E-8</v>
      </c>
      <c r="CI512" s="2">
        <v>42.1</v>
      </c>
      <c r="CJ512" s="2" t="s">
        <v>5331</v>
      </c>
      <c r="CK512" s="2" t="s">
        <v>678</v>
      </c>
      <c r="CL512" s="9" t="str">
        <f>HYPERLINK(".\links\PFAM\AGAP004447-PA-PFAM.txt","DUF2457, Protein of unknown function (DUF2457)")</f>
        <v>DUF2457, Protein of unknown function (DUF2457)</v>
      </c>
      <c r="CM512" s="15">
        <v>8.9999999999999998E-4</v>
      </c>
      <c r="CN512" s="2">
        <v>18.399999999999999</v>
      </c>
      <c r="CO512" s="2" t="s">
        <v>3156</v>
      </c>
      <c r="CP512" s="9" t="str">
        <f>HYPERLINK(".\links\SMART\AGAP004447-PA-SMART.txt","TOPEUc, DNA Topoisomerase I (eukaryota)")</f>
        <v>TOPEUc, DNA Topoisomerase I (eukaryota)</v>
      </c>
      <c r="CQ512" s="15">
        <v>3.6999999999999998E-2</v>
      </c>
      <c r="CR512" s="2">
        <v>21</v>
      </c>
      <c r="CS512" s="2" t="s">
        <v>709</v>
      </c>
      <c r="CT512" s="2" t="s">
        <v>5328</v>
      </c>
      <c r="CU512" s="2" t="s">
        <v>5328</v>
      </c>
      <c r="CV512" s="2" t="s">
        <v>5328</v>
      </c>
      <c r="CW512" s="2" t="str">
        <f>HYPERLINK(".\links\pep\AGAP004447-PA-pep.txt","AGAP004447-PA")</f>
        <v>AGAP004447-PA</v>
      </c>
      <c r="CX512" s="2" t="s">
        <v>95</v>
      </c>
      <c r="CY512" s="2">
        <v>1699</v>
      </c>
      <c r="CZ512" s="2" t="s">
        <v>113</v>
      </c>
      <c r="DA512" s="2" t="s">
        <v>5332</v>
      </c>
      <c r="DB512" s="2">
        <v>0</v>
      </c>
      <c r="DC512" s="2">
        <v>3</v>
      </c>
      <c r="DD512" s="2" t="str">
        <f>HYPERLINK("https://www.kegg.jp/kegg-bin/search_pathway_text?map=aga&amp;keyword=AGAP004447&amp;mode=1&amp;viewImage=true","AGAP004447")</f>
        <v>AGAP004447</v>
      </c>
      <c r="DE512" s="2" t="s">
        <v>5326</v>
      </c>
      <c r="DF512" s="2" t="s">
        <v>93</v>
      </c>
      <c r="DG512" s="2" t="s">
        <v>94</v>
      </c>
      <c r="DH512" s="2" t="str">
        <f>HYPERLINK("https://vectorbase.org/vectorbase/app/record/gene/AGAP004447","AGAP004447-RA")</f>
        <v>AGAP004447-RA</v>
      </c>
      <c r="DI512" s="2" t="s">
        <v>135</v>
      </c>
      <c r="DJ512" s="2">
        <v>8299</v>
      </c>
      <c r="DK512" s="2" t="str">
        <f>HYPERLINK(".\links\netoglyc\AGAP004447-PA-netoglyc.txt","6")</f>
        <v>6</v>
      </c>
      <c r="DL512" s="2">
        <v>21.1</v>
      </c>
      <c r="DM512" s="2">
        <v>6.4</v>
      </c>
      <c r="DN512" s="2">
        <v>5.7</v>
      </c>
      <c r="DO512" s="2" t="s">
        <v>104</v>
      </c>
      <c r="DP512" s="2" t="s">
        <v>5333</v>
      </c>
      <c r="DQ512" s="2" t="str">
        <f>HYPERLINK(".\links\Sigp\AGAP004447-PA-SigP.txt","CYT")</f>
        <v>CYT</v>
      </c>
      <c r="DR512" s="2" t="s">
        <v>102</v>
      </c>
      <c r="DS512" s="2">
        <v>181.87</v>
      </c>
      <c r="DT512" s="2">
        <v>9.11</v>
      </c>
      <c r="DU512" s="2" t="s">
        <v>102</v>
      </c>
      <c r="DV512" s="2" t="s">
        <v>102</v>
      </c>
      <c r="DW512" s="2" t="s">
        <v>336</v>
      </c>
      <c r="DX512" s="2">
        <v>1699</v>
      </c>
      <c r="DY512" s="12">
        <v>0</v>
      </c>
      <c r="DZ512" s="2" t="s">
        <v>102</v>
      </c>
      <c r="EA512" s="2" t="s">
        <v>102</v>
      </c>
      <c r="EB512" s="2" t="s">
        <v>102</v>
      </c>
      <c r="EC512" s="2" t="str">
        <f>HYPERLINK(".\links\gpi\AGAP004447-PA-gpi.txt","Y-NoSP")</f>
        <v>Y-NoSP</v>
      </c>
      <c r="ED512" s="2">
        <v>0.4</v>
      </c>
      <c r="EF512" s="2">
        <v>17</v>
      </c>
      <c r="EG512" s="2" t="str">
        <f>HYPERLINK(".\links\pep\AGAP004447-PA-sulf.txt","2")</f>
        <v>2</v>
      </c>
      <c r="EH512" s="2" t="s">
        <v>102</v>
      </c>
      <c r="EI512" s="2">
        <v>21.130076515597398</v>
      </c>
      <c r="EJ512" s="2">
        <v>5.6503825779870498</v>
      </c>
      <c r="EK512" s="2">
        <v>6.4155385520894601</v>
      </c>
      <c r="EL512" s="2">
        <v>12.0659211300765</v>
      </c>
      <c r="EM512" s="2">
        <v>2</v>
      </c>
      <c r="EN512" s="2">
        <v>5</v>
      </c>
      <c r="EO512" s="2">
        <v>7</v>
      </c>
      <c r="EP512" s="2" t="s">
        <v>102</v>
      </c>
      <c r="EQ512" s="2" t="s">
        <v>102</v>
      </c>
      <c r="ER512" s="2" t="s">
        <v>102</v>
      </c>
      <c r="ES512" s="2" t="s">
        <v>102</v>
      </c>
      <c r="ET512" s="2" t="str">
        <f>HYPERLINK(".\links\REFSEQ-INVERTEBRATE\AGAP004447-PA-REFSEQ-INVERTEBRATE.txt","AGAP004447-PA")</f>
        <v>AGAP004447-PA</v>
      </c>
      <c r="EU512" s="2" t="str">
        <f>HYPERLINK("http://www.ncbi.nlm.nih.gov/sutils/blink.cgi?pid=XP_313738.5","0.0")</f>
        <v>0.0</v>
      </c>
      <c r="EV512" s="2" t="str">
        <f>HYPERLINK("http://www.ncbi.nlm.nih.gov/protein/XP_313738.5","XP_313738.5")</f>
        <v>XP_313738.5</v>
      </c>
      <c r="EW512" s="2">
        <v>96</v>
      </c>
      <c r="EX512" s="2">
        <v>96</v>
      </c>
      <c r="EY512" s="2">
        <v>96</v>
      </c>
      <c r="EZ512" s="2" t="s">
        <v>105</v>
      </c>
    </row>
    <row r="513" spans="1:156" x14ac:dyDescent="0.25">
      <c r="A513" s="2" t="s">
        <v>5334</v>
      </c>
      <c r="B513" s="2">
        <v>-0.47691845471673899</v>
      </c>
      <c r="C513" s="2">
        <f t="shared" si="7"/>
        <v>0.7185106994206184</v>
      </c>
      <c r="D513" s="2">
        <v>5.5238485697187603</v>
      </c>
      <c r="E513" s="2">
        <v>12.883146886593501</v>
      </c>
      <c r="F513" s="2">
        <v>3.3155427225443603E-4</v>
      </c>
      <c r="G513" s="2">
        <v>2.0550109138789099E-2</v>
      </c>
      <c r="H513" s="2" t="s">
        <v>93</v>
      </c>
      <c r="I513" s="2" t="s">
        <v>94</v>
      </c>
      <c r="J513" s="2" t="str">
        <f>HYPERLINK("https://vectorbase.org/vectorbase/app/record/gene/AGAP002379","AGAP002379-RA")</f>
        <v>AGAP002379-RA</v>
      </c>
      <c r="K513" s="2" t="str">
        <f>HYPERLINK(".\links\pep\AGAP002379-PA-pep.txt","AGAP002379-PA")</f>
        <v>AGAP002379-PA</v>
      </c>
      <c r="L513" s="12" t="s">
        <v>95</v>
      </c>
      <c r="M513" s="2">
        <v>1636</v>
      </c>
      <c r="N513" s="2">
        <v>0</v>
      </c>
      <c r="O513" s="2">
        <v>6</v>
      </c>
      <c r="P513" s="2" t="s">
        <v>102</v>
      </c>
      <c r="Q513" s="9" t="s">
        <v>5335</v>
      </c>
      <c r="R513" s="2" t="s">
        <v>181</v>
      </c>
      <c r="S513" s="2" t="str">
        <f>HYPERLINK(".\links\KOG\AGAP002379-PA-KOG.txt","KOG")</f>
        <v>KOG</v>
      </c>
      <c r="T513" s="2">
        <v>0</v>
      </c>
      <c r="U513" s="2">
        <v>87.9</v>
      </c>
      <c r="V513" s="2" t="s">
        <v>5336</v>
      </c>
      <c r="W513" s="10" t="s">
        <v>5337</v>
      </c>
      <c r="X513" s="2" t="s">
        <v>181</v>
      </c>
      <c r="Y513" s="2" t="str">
        <f>HYPERLINK(".\links\REFSEQVERTEBRATE95\AGAP002379-PA-REFSEQVERTEBRATE95.txt","REFSEQVERTEBRATE95")</f>
        <v>REFSEQVERTEBRATE95</v>
      </c>
      <c r="Z513" s="15">
        <v>0</v>
      </c>
      <c r="AA513" s="2">
        <v>97.3</v>
      </c>
      <c r="AB513" s="13" t="str">
        <f>HYPERLINK(".\links\pep\AGAP002379-PA-sulf.txt","4")</f>
        <v>4</v>
      </c>
      <c r="AC513" s="13" t="str">
        <f>HYPERLINK(".\links\Sigp\AGAP002379-PA-SigP.txt","CYT")</f>
        <v>CYT</v>
      </c>
      <c r="AD513" s="2" t="s">
        <v>102</v>
      </c>
      <c r="AE513" s="2">
        <v>175.066</v>
      </c>
      <c r="AF513" s="2">
        <v>5.05</v>
      </c>
      <c r="AG513" s="2" t="s">
        <v>102</v>
      </c>
      <c r="AH513" s="2" t="s">
        <v>102</v>
      </c>
      <c r="AI513" s="2" t="s">
        <v>5338</v>
      </c>
      <c r="AJ513" s="13">
        <v>0</v>
      </c>
      <c r="AK513" s="2" t="s">
        <v>102</v>
      </c>
      <c r="AL513" s="2" t="s">
        <v>102</v>
      </c>
      <c r="AM513" s="2" t="s">
        <v>102</v>
      </c>
      <c r="AN513" s="13" t="str">
        <f>HYPERLINK(".\links\gpi\AGAP002379-PA-gpi.txt","N")</f>
        <v>N</v>
      </c>
      <c r="AO513" s="14" t="str">
        <f>HYPERLINK(".\links\netoglyc\AGAP002379-PA-netoglyc.txt","27")</f>
        <v>27</v>
      </c>
      <c r="AP513" s="13">
        <v>18.2</v>
      </c>
      <c r="AQ513" s="2">
        <v>6.4</v>
      </c>
      <c r="AR513" s="2">
        <v>11.2</v>
      </c>
      <c r="AS513" s="2" t="s">
        <v>104</v>
      </c>
      <c r="AT513" s="9" t="str">
        <f>HYPERLINK(".\links\NR-LIGHT\AGAP002379-PA-NR-LIGHT.txt","AGAP002379-PA")</f>
        <v>AGAP002379-PA</v>
      </c>
      <c r="AU513" s="2" t="str">
        <f>HYPERLINK("http://www.ncbi.nlm.nih.gov/sutils/blink.cgi?pid=XP_001237480.3","0.0")</f>
        <v>0.0</v>
      </c>
      <c r="AV513" s="2" t="str">
        <f>HYPERLINK("http://www.ncbi.nlm.nih.gov/protein/XP_001237480.3","XP_001237480.3")</f>
        <v>XP_001237480.3</v>
      </c>
      <c r="AW513" s="2">
        <v>100</v>
      </c>
      <c r="AX513" s="2">
        <v>100</v>
      </c>
      <c r="AY513" s="2">
        <v>100</v>
      </c>
      <c r="AZ513" s="2" t="s">
        <v>105</v>
      </c>
      <c r="BA513" s="9" t="str">
        <f>HYPERLINK(".\links\REFSEQ-INVERTEBRATE\AGAP002379-PA-REFSEQ-INVERTEBRATE.txt","AGAP002379-PA")</f>
        <v>AGAP002379-PA</v>
      </c>
      <c r="BB513" s="2" t="str">
        <f>HYPERLINK("http://www.ncbi.nlm.nih.gov/sutils/blink.cgi?pid=XP_001237480.3","0.0")</f>
        <v>0.0</v>
      </c>
      <c r="BC513" s="2" t="str">
        <f>HYPERLINK("http://www.ncbi.nlm.nih.gov/protein/XP_001237480.3","XP_001237480.3")</f>
        <v>XP_001237480.3</v>
      </c>
      <c r="BD513" s="2">
        <v>100</v>
      </c>
      <c r="BE513" s="2">
        <v>100</v>
      </c>
      <c r="BF513" s="2">
        <v>100</v>
      </c>
      <c r="BG513" s="2" t="s">
        <v>105</v>
      </c>
      <c r="BH513" s="9" t="str">
        <f>HYPERLINK(".\links\REFSEQ-PROTOZOA\AGAP002379-PA-REFSEQ-PROTOZOA.txt","DDHD domain containing 2")</f>
        <v>DDHD domain containing 2</v>
      </c>
      <c r="BI513" s="2" t="str">
        <f>HYPERLINK("http://www.ncbi.nlm.nih.gov/sutils/blink.cgi?pid=XP_004348077.1","1E-103")</f>
        <v>1E-103</v>
      </c>
      <c r="BJ513" s="2" t="str">
        <f>HYPERLINK("http://www.ncbi.nlm.nih.gov/protein/XP_004348077.1","XP_004348077.1")</f>
        <v>XP_004348077.1</v>
      </c>
      <c r="BK513" s="2">
        <v>36</v>
      </c>
      <c r="BL513" s="2">
        <v>51</v>
      </c>
      <c r="BM513" s="2">
        <v>83</v>
      </c>
      <c r="BN513" s="2" t="s">
        <v>106</v>
      </c>
      <c r="BO513" s="9" t="str">
        <f>HYPERLINK(".\links\SWISSP\AGAP002379-PA-SWISSP.txt","Phospholipase DDHD2")</f>
        <v>Phospholipase DDHD2</v>
      </c>
      <c r="BP513" s="2" t="str">
        <f>HYPERLINK("http://www.uniprot.org/uniprot/Q80Y98","1E-147")</f>
        <v>1E-147</v>
      </c>
      <c r="BQ513" s="2" t="str">
        <f>HYPERLINK("http://www.uniprot.org/uniprot/Q80Y98#expression","Q80Y98")</f>
        <v>Q80Y98</v>
      </c>
      <c r="BR513" s="2">
        <v>41</v>
      </c>
      <c r="BS513" s="2">
        <v>57</v>
      </c>
      <c r="BT513" s="2">
        <v>98</v>
      </c>
      <c r="BU513" s="2" t="s">
        <v>662</v>
      </c>
      <c r="BV513" s="9" t="str">
        <f>HYPERLINK(".\links\FLYBASE\AGAP002379-PA-FLYBASE.txt","FBpp0311178")</f>
        <v>FBpp0311178</v>
      </c>
      <c r="BW513" s="2" t="str">
        <f>HYPERLINK("http://flybase.org/reports/FBgn0031990#alliance_summary_container","0.0")</f>
        <v>0.0</v>
      </c>
      <c r="BX513" s="2">
        <v>663</v>
      </c>
      <c r="BY513" s="2">
        <v>57</v>
      </c>
      <c r="BZ513" s="2">
        <v>70</v>
      </c>
      <c r="CA513" s="2">
        <v>101</v>
      </c>
      <c r="CB513" s="9" t="str">
        <f>HYPERLINK(".\links\CDD\AGAP002379-PA-CDD.txt","DDHD, DDHD domain")</f>
        <v>DDHD, DDHD domain</v>
      </c>
      <c r="CC513" s="15">
        <v>8.9999999999999997E-54</v>
      </c>
      <c r="CD513" s="2">
        <v>99.2</v>
      </c>
      <c r="CE513" s="2" t="s">
        <v>5339</v>
      </c>
      <c r="CF513" s="2" t="s">
        <v>5340</v>
      </c>
      <c r="CG513" s="9" t="str">
        <f>HYPERLINK(".\links\KOG\AGAP002379-PA-KOG.txt","contains DDHD domain")</f>
        <v>contains DDHD domain</v>
      </c>
      <c r="CH513" s="15">
        <v>9.9999999999999999E-161</v>
      </c>
      <c r="CI513" s="2">
        <v>88</v>
      </c>
      <c r="CJ513" s="2" t="s">
        <v>5341</v>
      </c>
      <c r="CK513" s="2" t="s">
        <v>381</v>
      </c>
      <c r="CL513" s="9" t="str">
        <f>HYPERLINK(".\links\PFAM\AGAP002379-PA-PFAM.txt","DDHD, DDHD domain")</f>
        <v>DDHD, DDHD domain</v>
      </c>
      <c r="CM513" s="15">
        <v>2.0000000000000001E-54</v>
      </c>
      <c r="CN513" s="2">
        <v>99.2</v>
      </c>
      <c r="CO513" s="2" t="s">
        <v>5339</v>
      </c>
      <c r="CP513" s="9" t="str">
        <f>HYPERLINK(".\links\SMART\AGAP002379-PA-SMART.txt","POLXc, DNA polymerase X family")</f>
        <v>POLXc, DNA polymerase X family</v>
      </c>
      <c r="CQ513" s="15">
        <v>1.3</v>
      </c>
      <c r="CR513" s="2">
        <v>19.8</v>
      </c>
      <c r="CS513" s="2" t="s">
        <v>1893</v>
      </c>
      <c r="CT513" s="2" t="s">
        <v>5336</v>
      </c>
      <c r="CU513" s="2" t="s">
        <v>5336</v>
      </c>
      <c r="CV513" s="2" t="s">
        <v>5336</v>
      </c>
      <c r="CW513" s="2" t="str">
        <f>HYPERLINK(".\links\pep\AGAP002379-PA-pep.txt","AGAP002379-PA")</f>
        <v>AGAP002379-PA</v>
      </c>
      <c r="CX513" s="2" t="s">
        <v>95</v>
      </c>
      <c r="CY513" s="2">
        <v>1636</v>
      </c>
      <c r="CZ513" s="2" t="s">
        <v>113</v>
      </c>
      <c r="DA513" s="2" t="s">
        <v>5342</v>
      </c>
      <c r="DB513" s="2">
        <v>0</v>
      </c>
      <c r="DC513" s="2">
        <v>6</v>
      </c>
      <c r="DD513" s="2" t="str">
        <f>HYPERLINK("https://www.kegg.jp/kegg-bin/search_pathway_text?map=aga&amp;keyword=AGAP002379&amp;mode=1&amp;viewImage=true","AGAP002379")</f>
        <v>AGAP002379</v>
      </c>
      <c r="DE513" s="2" t="s">
        <v>5334</v>
      </c>
      <c r="DF513" s="2" t="s">
        <v>93</v>
      </c>
      <c r="DG513" s="2" t="s">
        <v>94</v>
      </c>
      <c r="DH513" s="2" t="str">
        <f>HYPERLINK("https://vectorbase.org/vectorbase/app/record/gene/AGAP002379","AGAP002379-RA")</f>
        <v>AGAP002379-RA</v>
      </c>
      <c r="DI513" s="2" t="s">
        <v>90</v>
      </c>
      <c r="DJ513" s="2">
        <v>5418</v>
      </c>
      <c r="DK513" s="2" t="str">
        <f>HYPERLINK(".\links\netoglyc\AGAP002379-PA-netoglyc.txt","27")</f>
        <v>27</v>
      </c>
      <c r="DL513" s="2">
        <v>18.2</v>
      </c>
      <c r="DM513" s="2">
        <v>6.4</v>
      </c>
      <c r="DN513" s="2">
        <v>11.2</v>
      </c>
      <c r="DO513" s="2" t="s">
        <v>104</v>
      </c>
      <c r="DP513" s="2" t="s">
        <v>102</v>
      </c>
      <c r="DQ513" s="2" t="str">
        <f>HYPERLINK(".\links\Sigp\AGAP002379-PA-SigP.txt","CYT")</f>
        <v>CYT</v>
      </c>
      <c r="DR513" s="2" t="s">
        <v>102</v>
      </c>
      <c r="DS513" s="2">
        <v>175.066</v>
      </c>
      <c r="DT513" s="2">
        <v>5.05</v>
      </c>
      <c r="DU513" s="2" t="s">
        <v>102</v>
      </c>
      <c r="DV513" s="2" t="s">
        <v>102</v>
      </c>
      <c r="DW513" s="2" t="s">
        <v>5338</v>
      </c>
      <c r="DX513" s="2">
        <v>1636</v>
      </c>
      <c r="DY513" s="12">
        <v>0</v>
      </c>
      <c r="DZ513" s="2" t="s">
        <v>102</v>
      </c>
      <c r="EA513" s="2" t="s">
        <v>102</v>
      </c>
      <c r="EB513" s="2" t="s">
        <v>102</v>
      </c>
      <c r="EC513" s="2" t="str">
        <f>HYPERLINK(".\links\gpi\AGAP002379-PA-gpi.txt","N")</f>
        <v>N</v>
      </c>
      <c r="ED513" s="2">
        <v>0.27</v>
      </c>
      <c r="EF513" s="2">
        <v>12</v>
      </c>
      <c r="EG513" s="2" t="str">
        <f>HYPERLINK(".\links\pep\AGAP002379-PA-sulf.txt","4")</f>
        <v>4</v>
      </c>
      <c r="EH513" s="2" t="s">
        <v>102</v>
      </c>
      <c r="EI513" s="2">
        <v>18.215158924205401</v>
      </c>
      <c r="EJ513" s="2">
        <v>11.2469437652812</v>
      </c>
      <c r="EK513" s="2">
        <v>6.4180929095354502</v>
      </c>
      <c r="EL513" s="2">
        <v>17.665036674816601</v>
      </c>
      <c r="EM513" s="2" t="s">
        <v>102</v>
      </c>
      <c r="EN513" s="2">
        <v>3</v>
      </c>
      <c r="EO513" s="2">
        <v>3</v>
      </c>
      <c r="EP513" s="2" t="s">
        <v>102</v>
      </c>
      <c r="EQ513" s="2" t="s">
        <v>102</v>
      </c>
      <c r="ER513" s="2" t="s">
        <v>102</v>
      </c>
      <c r="ES513" s="2" t="s">
        <v>102</v>
      </c>
      <c r="ET513" s="2" t="str">
        <f>HYPERLINK(".\links\REFSEQ-INVERTEBRATE\AGAP002379-PA-REFSEQ-INVERTEBRATE.txt","AGAP002379-PA")</f>
        <v>AGAP002379-PA</v>
      </c>
      <c r="EU513" s="2" t="str">
        <f>HYPERLINK("http://www.ncbi.nlm.nih.gov/sutils/blink.cgi?pid=XP_001237480.3","0.0")</f>
        <v>0.0</v>
      </c>
      <c r="EV513" s="2" t="str">
        <f>HYPERLINK("http://www.ncbi.nlm.nih.gov/protein/XP_001237480.3","XP_001237480.3")</f>
        <v>XP_001237480.3</v>
      </c>
      <c r="EW513" s="2">
        <v>100</v>
      </c>
      <c r="EX513" s="2">
        <v>100</v>
      </c>
      <c r="EY513" s="2">
        <v>100</v>
      </c>
      <c r="EZ513" s="2" t="s">
        <v>105</v>
      </c>
    </row>
    <row r="514" spans="1:156" x14ac:dyDescent="0.25">
      <c r="A514" s="2" t="s">
        <v>5343</v>
      </c>
      <c r="B514" s="2">
        <v>-0.478711131262537</v>
      </c>
      <c r="C514" s="2">
        <f t="shared" ref="C514:C577" si="8">2^B514</f>
        <v>0.71761844061960356</v>
      </c>
      <c r="D514" s="2">
        <v>7.8998229078705098</v>
      </c>
      <c r="E514" s="2">
        <v>13.407267024161801</v>
      </c>
      <c r="F514" s="2">
        <v>2.5065134121376699E-4</v>
      </c>
      <c r="G514" s="2">
        <v>1.78997751279831E-2</v>
      </c>
      <c r="H514" s="2" t="s">
        <v>5344</v>
      </c>
      <c r="I514" s="2" t="s">
        <v>94</v>
      </c>
      <c r="J514" s="2" t="str">
        <f>HYPERLINK("https://vectorbase.org/vectorbase/app/record/gene/AGAP006165","AGAP006165-RB")</f>
        <v>AGAP006165-RB</v>
      </c>
      <c r="K514" s="2" t="str">
        <f>HYPERLINK(".\links\pep\AGAP006165-PB-pep.txt","AGAP006165-PB")</f>
        <v>AGAP006165-PB</v>
      </c>
      <c r="L514" s="12" t="s">
        <v>95</v>
      </c>
      <c r="M514" s="2">
        <v>3668</v>
      </c>
      <c r="N514" s="2">
        <v>0</v>
      </c>
      <c r="O514" s="2">
        <v>2</v>
      </c>
      <c r="P514" s="2" t="s">
        <v>5345</v>
      </c>
      <c r="Q514" s="9" t="s">
        <v>5346</v>
      </c>
      <c r="R514" s="2" t="s">
        <v>388</v>
      </c>
      <c r="S514" s="2" t="str">
        <f>HYPERLINK(".\links\KOG\AGAP006165-PB-KOG.txt","KOG")</f>
        <v>KOG</v>
      </c>
      <c r="T514" s="2">
        <v>3.0000000000000001E-96</v>
      </c>
      <c r="U514" s="2">
        <v>37.299999999999997</v>
      </c>
      <c r="V514" s="2" t="s">
        <v>5347</v>
      </c>
      <c r="W514" s="10" t="s">
        <v>5348</v>
      </c>
      <c r="X514" s="2" t="s">
        <v>420</v>
      </c>
      <c r="Y514" s="2" t="str">
        <f>HYPERLINK(".\links\COG\AGAP006165-PB-COG.txt","COG")</f>
        <v>COG</v>
      </c>
      <c r="Z514" s="15">
        <v>2E-52</v>
      </c>
      <c r="AA514" s="2">
        <v>39.1</v>
      </c>
      <c r="AB514" s="13" t="str">
        <f>HYPERLINK(".\links\pep\AGAP006165-PB-sulf.txt","3")</f>
        <v>3</v>
      </c>
      <c r="AC514" s="13" t="str">
        <f>HYPERLINK(".\links\Sigp\AGAP006165-PB-SigP.txt","CYT")</f>
        <v>CYT</v>
      </c>
      <c r="AD514" s="2" t="s">
        <v>102</v>
      </c>
      <c r="AE514" s="2">
        <v>391.59300000000002</v>
      </c>
      <c r="AF514" s="2">
        <v>7.74</v>
      </c>
      <c r="AG514" s="2" t="s">
        <v>102</v>
      </c>
      <c r="AH514" s="2" t="s">
        <v>102</v>
      </c>
      <c r="AI514" s="2" t="s">
        <v>555</v>
      </c>
      <c r="AJ514" s="13">
        <v>0</v>
      </c>
      <c r="AK514" s="2" t="s">
        <v>102</v>
      </c>
      <c r="AL514" s="2" t="s">
        <v>102</v>
      </c>
      <c r="AM514" s="2" t="s">
        <v>102</v>
      </c>
      <c r="AN514" s="13" t="str">
        <f>HYPERLINK(".\links\gpi\AGAP006165-PB-gpi.txt","N")</f>
        <v>N</v>
      </c>
      <c r="AO514" s="14" t="str">
        <f>HYPERLINK(".\links\netoglyc\AGAP006165-PB-netoglyc.txt","11")</f>
        <v>11</v>
      </c>
      <c r="AP514" s="13">
        <v>16.899999999999999</v>
      </c>
      <c r="AQ514" s="2">
        <v>8.6999999999999993</v>
      </c>
      <c r="AR514" s="2">
        <v>5.2</v>
      </c>
      <c r="AS514" s="2" t="s">
        <v>104</v>
      </c>
      <c r="AT514" s="9" t="str">
        <f>HYPERLINK(".\links\NR-LIGHT\AGAP006165-PB-NR-LIGHT.txt","AGAP006165-PA")</f>
        <v>AGAP006165-PA</v>
      </c>
      <c r="AU514" s="2" t="str">
        <f>HYPERLINK("http://www.ncbi.nlm.nih.gov/sutils/blink.cgi?pid=XP_316223.4","0.0")</f>
        <v>0.0</v>
      </c>
      <c r="AV514" s="2" t="str">
        <f>HYPERLINK("http://www.ncbi.nlm.nih.gov/protein/XP_316223.4","XP_316223.4")</f>
        <v>XP_316223.4</v>
      </c>
      <c r="AW514" s="2">
        <v>89</v>
      </c>
      <c r="AX514" s="2">
        <v>90</v>
      </c>
      <c r="AY514" s="2">
        <v>102</v>
      </c>
      <c r="AZ514" s="2" t="s">
        <v>105</v>
      </c>
      <c r="BA514" s="9" t="str">
        <f>HYPERLINK(".\links\REFSEQ-INVERTEBRATE\AGAP006165-PB-REFSEQ-INVERTEBRATE.txt","AGAP006165-PA")</f>
        <v>AGAP006165-PA</v>
      </c>
      <c r="BB514" s="2" t="str">
        <f>HYPERLINK("http://www.ncbi.nlm.nih.gov/sutils/blink.cgi?pid=XP_316223.4","0.0")</f>
        <v>0.0</v>
      </c>
      <c r="BC514" s="2" t="str">
        <f>HYPERLINK("http://www.ncbi.nlm.nih.gov/protein/XP_316223.4","XP_316223.4")</f>
        <v>XP_316223.4</v>
      </c>
      <c r="BD514" s="2">
        <v>89</v>
      </c>
      <c r="BE514" s="2">
        <v>90</v>
      </c>
      <c r="BF514" s="2">
        <v>102</v>
      </c>
      <c r="BG514" s="2" t="s">
        <v>105</v>
      </c>
      <c r="BH514" s="9" t="str">
        <f>HYPERLINK(".\links\REFSEQ-PROTOZOA\AGAP006165-PB-REFSEQ-PROTOZOA.txt","snf family helicase")</f>
        <v>snf family helicase</v>
      </c>
      <c r="BI514" s="2" t="str">
        <f>HYPERLINK("http://www.ncbi.nlm.nih.gov/sutils/blink.cgi?pid=XP_004992050.1","0.0")</f>
        <v>0.0</v>
      </c>
      <c r="BJ514" s="2" t="str">
        <f>HYPERLINK("http://www.ncbi.nlm.nih.gov/protein/XP_004992050.1","XP_004992050.1")</f>
        <v>XP_004992050.1</v>
      </c>
      <c r="BK514" s="2">
        <v>34</v>
      </c>
      <c r="BL514" s="2">
        <v>50</v>
      </c>
      <c r="BM514" s="2">
        <v>43</v>
      </c>
      <c r="BN514" s="2" t="s">
        <v>435</v>
      </c>
      <c r="BO514" s="9" t="str">
        <f>HYPERLINK(".\links\SWISSP\AGAP006165-PB-SWISSP.txt","Helicase domino")</f>
        <v>Helicase domino</v>
      </c>
      <c r="BP514" s="2" t="str">
        <f>HYPERLINK("http://www.uniprot.org/uniprot/Q9NDJ2","0.0")</f>
        <v>0.0</v>
      </c>
      <c r="BQ514" s="2" t="str">
        <f>HYPERLINK("http://www.uniprot.org/uniprot/Q9NDJ2#expression","Q9NDJ2")</f>
        <v>Q9NDJ2</v>
      </c>
      <c r="BR514" s="2">
        <v>50</v>
      </c>
      <c r="BS514" s="2">
        <v>63</v>
      </c>
      <c r="BT514" s="2">
        <v>46</v>
      </c>
      <c r="BU514" s="2" t="s">
        <v>107</v>
      </c>
      <c r="BV514" s="9" t="str">
        <f>HYPERLINK(".\links\FLYBASE\AGAP006165-PB-FLYBASE.txt","FBpp0309691")</f>
        <v>FBpp0309691</v>
      </c>
      <c r="BW514" s="2" t="str">
        <f>HYPERLINK("http://flybase.org/reports/FBgn0020306#alliance_summary_container","0.0")</f>
        <v>0.0</v>
      </c>
      <c r="BX514" s="2">
        <v>3233</v>
      </c>
      <c r="BY514" s="2">
        <v>53</v>
      </c>
      <c r="BZ514" s="2">
        <v>66</v>
      </c>
      <c r="CA514" s="2">
        <v>42</v>
      </c>
      <c r="CB514" s="9" t="str">
        <f>HYPERLINK(".\links\CDD\AGAP006165-PB-CDD.txt","PLN03142, Probable chromatin-remodeling complex ATPase chain")</f>
        <v>PLN03142, Probable chromatin-remodeling complex ATPase chain</v>
      </c>
      <c r="CC514" s="15">
        <v>1E-87</v>
      </c>
      <c r="CD514" s="2">
        <v>45.3</v>
      </c>
      <c r="CE514" s="2" t="s">
        <v>3349</v>
      </c>
      <c r="CF514" s="2" t="s">
        <v>5349</v>
      </c>
      <c r="CG514" s="9" t="str">
        <f>HYPERLINK(".\links\KOG\AGAP006165-PB-KOG.txt","SNF2 family DNA-dependent ATPase")</f>
        <v>SNF2 family DNA-dependent ATPase</v>
      </c>
      <c r="CH514" s="15">
        <v>0</v>
      </c>
      <c r="CI514" s="2">
        <v>38.6</v>
      </c>
      <c r="CJ514" s="2" t="s">
        <v>5350</v>
      </c>
      <c r="CK514" s="2" t="s">
        <v>191</v>
      </c>
      <c r="CL514" s="9" t="str">
        <f>HYPERLINK(".\links\PFAM\AGAP006165-PB-PFAM.txt","SNF2_N, SNF2 family N-terminal domain")</f>
        <v>SNF2_N, SNF2 family N-terminal domain</v>
      </c>
      <c r="CM514" s="15">
        <v>3.0000000000000001E-84</v>
      </c>
      <c r="CN514" s="2">
        <v>102.6</v>
      </c>
      <c r="CO514" s="2" t="s">
        <v>3351</v>
      </c>
      <c r="CP514" s="9" t="str">
        <f>HYPERLINK(".\links\SMART\AGAP006165-PB-SMART.txt","DEXDc, DEAD-like helicases superfamily")</f>
        <v>DEXDc, DEAD-like helicases superfamily</v>
      </c>
      <c r="CQ514" s="15">
        <v>4.0000000000000002E-27</v>
      </c>
      <c r="CR514" s="2">
        <v>95</v>
      </c>
      <c r="CS514" s="2" t="s">
        <v>429</v>
      </c>
      <c r="CT514" s="2" t="s">
        <v>5347</v>
      </c>
      <c r="CU514" s="2" t="s">
        <v>5347</v>
      </c>
      <c r="CV514" s="2" t="s">
        <v>5347</v>
      </c>
      <c r="CW514" s="2" t="str">
        <f>HYPERLINK(".\links\pep\AGAP006165-PB-pep.txt","AGAP006165-PB")</f>
        <v>AGAP006165-PB</v>
      </c>
      <c r="CX514" s="2" t="s">
        <v>95</v>
      </c>
      <c r="CY514" s="2">
        <v>3668</v>
      </c>
      <c r="CZ514" s="2" t="s">
        <v>113</v>
      </c>
      <c r="DA514" s="2" t="s">
        <v>5351</v>
      </c>
      <c r="DB514" s="2">
        <v>0</v>
      </c>
      <c r="DC514" s="2">
        <v>2</v>
      </c>
      <c r="DD514" s="2" t="str">
        <f>HYPERLINK("https://www.kegg.jp/kegg-bin/search_pathway_text?map=aga&amp;keyword=AGAP006165&amp;mode=1&amp;viewImage=true","AGAP006165")</f>
        <v>AGAP006165</v>
      </c>
      <c r="DE514" s="2" t="s">
        <v>5343</v>
      </c>
      <c r="DF514" s="2" t="s">
        <v>5344</v>
      </c>
      <c r="DG514" s="2" t="s">
        <v>94</v>
      </c>
      <c r="DH514" s="2" t="str">
        <f>HYPERLINK("https://vectorbase.org/vectorbase/app/record/gene/AGAP006165","AGAP006165-RB")</f>
        <v>AGAP006165-RB</v>
      </c>
      <c r="DI514" s="2" t="s">
        <v>118</v>
      </c>
      <c r="DJ514" s="2">
        <v>13657</v>
      </c>
      <c r="DK514" s="2" t="str">
        <f>HYPERLINK(".\links\netoglyc\AGAP006165-PB-netoglyc.txt","11")</f>
        <v>11</v>
      </c>
      <c r="DL514" s="2">
        <v>16.899999999999999</v>
      </c>
      <c r="DM514" s="2">
        <v>8.6999999999999993</v>
      </c>
      <c r="DN514" s="2">
        <v>5.2</v>
      </c>
      <c r="DO514" s="2" t="s">
        <v>104</v>
      </c>
      <c r="DP514" s="2" t="s">
        <v>5352</v>
      </c>
      <c r="DQ514" s="2" t="str">
        <f>HYPERLINK(".\links\Sigp\AGAP006165-PB-SigP.txt","CYT")</f>
        <v>CYT</v>
      </c>
      <c r="DR514" s="2" t="s">
        <v>102</v>
      </c>
      <c r="DS514" s="2">
        <v>391.59300000000002</v>
      </c>
      <c r="DT514" s="2">
        <v>7.74</v>
      </c>
      <c r="DU514" s="2" t="s">
        <v>102</v>
      </c>
      <c r="DV514" s="2" t="s">
        <v>102</v>
      </c>
      <c r="DW514" s="2" t="s">
        <v>555</v>
      </c>
      <c r="DX514" s="2">
        <v>3668</v>
      </c>
      <c r="DY514" s="12">
        <v>0</v>
      </c>
      <c r="DZ514" s="2" t="s">
        <v>102</v>
      </c>
      <c r="EA514" s="2" t="s">
        <v>102</v>
      </c>
      <c r="EB514" s="2" t="s">
        <v>102</v>
      </c>
      <c r="EC514" s="2" t="str">
        <f>HYPERLINK(".\links\gpi\AGAP006165-PB-gpi.txt","Y-NoSP")</f>
        <v>Y-NoSP</v>
      </c>
      <c r="ED514" s="2">
        <v>0.26</v>
      </c>
      <c r="EF514" s="2">
        <v>22</v>
      </c>
      <c r="EG514" s="2" t="str">
        <f>HYPERLINK(".\links\pep\AGAP006165-PB-sulf.txt","3")</f>
        <v>3</v>
      </c>
      <c r="EH514" s="2" t="s">
        <v>102</v>
      </c>
      <c r="EI514" s="2">
        <v>16.875681570338099</v>
      </c>
      <c r="EJ514" s="2">
        <v>5.1526717557251898</v>
      </c>
      <c r="EK514" s="2">
        <v>8.6695747001090506</v>
      </c>
      <c r="EL514" s="2">
        <v>13.8222464558342</v>
      </c>
      <c r="EM514" s="2">
        <v>2</v>
      </c>
      <c r="EN514" s="2">
        <v>4</v>
      </c>
      <c r="EO514" s="2">
        <v>7</v>
      </c>
      <c r="EP514" s="2" t="s">
        <v>102</v>
      </c>
      <c r="EQ514" s="2" t="s">
        <v>102</v>
      </c>
      <c r="ER514" s="2" t="s">
        <v>102</v>
      </c>
      <c r="ES514" s="2" t="s">
        <v>102</v>
      </c>
      <c r="ET514" s="2" t="str">
        <f>HYPERLINK(".\links\REFSEQ-INVERTEBRATE\AGAP006165-PB-REFSEQ-INVERTEBRATE.txt","helicase domino isoform X1")</f>
        <v>helicase domino isoform X1</v>
      </c>
      <c r="EU514" s="2" t="str">
        <f>HYPERLINK("http://www.ncbi.nlm.nih.gov/sutils/blink.cgi?pid=XP_035910176.1","0.0")</f>
        <v>0.0</v>
      </c>
      <c r="EV514" s="2" t="str">
        <f>HYPERLINK("http://www.ncbi.nlm.nih.gov/protein/XP_035910176.1","XP_035910176.1")</f>
        <v>XP_035910176.1</v>
      </c>
      <c r="EW514" s="2">
        <v>72</v>
      </c>
      <c r="EX514" s="2">
        <v>79</v>
      </c>
      <c r="EY514" s="2">
        <v>67</v>
      </c>
      <c r="EZ514" s="2" t="s">
        <v>370</v>
      </c>
    </row>
    <row r="515" spans="1:156" x14ac:dyDescent="0.25">
      <c r="A515" s="2" t="s">
        <v>5353</v>
      </c>
      <c r="B515" s="2">
        <v>-0.47937712869835902</v>
      </c>
      <c r="C515" s="2">
        <f t="shared" si="8"/>
        <v>0.71728723982533771</v>
      </c>
      <c r="D515" s="2">
        <v>5.1357861817330797</v>
      </c>
      <c r="E515" s="2">
        <v>12.559293277288701</v>
      </c>
      <c r="F515" s="2">
        <v>3.94240814306785E-4</v>
      </c>
      <c r="G515" s="2">
        <v>2.2075245596553199E-2</v>
      </c>
      <c r="H515" s="2" t="s">
        <v>93</v>
      </c>
      <c r="I515" s="2" t="s">
        <v>94</v>
      </c>
      <c r="J515" s="2" t="str">
        <f>HYPERLINK("https://vectorbase.org/vectorbase/app/record/gene/AGAP008515","AGAP008515-RB")</f>
        <v>AGAP008515-RB</v>
      </c>
      <c r="K515" s="2" t="str">
        <f>HYPERLINK(".\links\pep\AGAP008515-PB-pep.txt","AGAP008515-PB")</f>
        <v>AGAP008515-PB</v>
      </c>
      <c r="L515" s="12" t="s">
        <v>95</v>
      </c>
      <c r="M515" s="2">
        <v>778</v>
      </c>
      <c r="N515" s="2">
        <v>0</v>
      </c>
      <c r="O515" s="2">
        <v>2</v>
      </c>
      <c r="P515" s="2" t="s">
        <v>102</v>
      </c>
      <c r="Q515" s="9" t="s">
        <v>5354</v>
      </c>
      <c r="R515" s="2" t="s">
        <v>196</v>
      </c>
      <c r="S515" s="2" t="str">
        <f>HYPERLINK(".\links\REFSEQ-INVERTEBRATE\AGAP008515-PB-REFSEQ-INVERTEBRATE.txt","REFSEQ-INVERTEBRATE")</f>
        <v>REFSEQ-INVERTEBRATE</v>
      </c>
      <c r="T515" s="2">
        <v>0</v>
      </c>
      <c r="U515" s="2">
        <v>108.7</v>
      </c>
      <c r="V515" s="2" t="s">
        <v>5355</v>
      </c>
      <c r="W515" s="10" t="s">
        <v>5356</v>
      </c>
      <c r="X515" s="2" t="s">
        <v>564</v>
      </c>
      <c r="Y515" s="2" t="str">
        <f>HYPERLINK(".\links\KOG\AGAP008515-PB-KOG.txt","KOG")</f>
        <v>KOG</v>
      </c>
      <c r="Z515" s="2">
        <v>5.9999999999999995E-8</v>
      </c>
      <c r="AA515" s="2">
        <v>33</v>
      </c>
      <c r="AB515" s="13" t="str">
        <f>HYPERLINK(".\links\pep\AGAP008515-PB-sulf.txt","2")</f>
        <v>2</v>
      </c>
      <c r="AC515" s="13" t="str">
        <f>HYPERLINK(".\links\Sigp\AGAP008515-PB-SigP.txt","CYT")</f>
        <v>CYT</v>
      </c>
      <c r="AD515" s="2" t="s">
        <v>102</v>
      </c>
      <c r="AE515" s="2">
        <v>85.105000000000004</v>
      </c>
      <c r="AF515" s="2">
        <v>9.84</v>
      </c>
      <c r="AG515" s="2" t="s">
        <v>102</v>
      </c>
      <c r="AH515" s="2" t="s">
        <v>102</v>
      </c>
      <c r="AI515" s="2" t="s">
        <v>823</v>
      </c>
      <c r="AJ515" s="13">
        <v>0</v>
      </c>
      <c r="AK515" s="2" t="s">
        <v>102</v>
      </c>
      <c r="AL515" s="2" t="s">
        <v>102</v>
      </c>
      <c r="AM515" s="2" t="s">
        <v>102</v>
      </c>
      <c r="AN515" s="13" t="str">
        <f>HYPERLINK(".\links\gpi\AGAP008515-PB-gpi.txt","N")</f>
        <v>N</v>
      </c>
      <c r="AO515" s="14" t="str">
        <f>HYPERLINK(".\links\netoglyc\AGAP008515-PB-netoglyc.txt","31")</f>
        <v>31</v>
      </c>
      <c r="AP515" s="13">
        <v>17.5</v>
      </c>
      <c r="AQ515" s="2">
        <v>4.4000000000000004</v>
      </c>
      <c r="AR515" s="2">
        <v>8.6999999999999993</v>
      </c>
      <c r="AS515" s="2" t="s">
        <v>104</v>
      </c>
      <c r="AT515" s="9" t="str">
        <f>HYPERLINK(".\links\NR-LIGHT\AGAP008515-PB-NR-LIGHT.txt","AGAP008515-PA")</f>
        <v>AGAP008515-PA</v>
      </c>
      <c r="AU515" s="2" t="str">
        <f>HYPERLINK("http://www.ncbi.nlm.nih.gov/sutils/blink.cgi?pid=XP_316925.4","0.0")</f>
        <v>0.0</v>
      </c>
      <c r="AV515" s="2" t="str">
        <f>HYPERLINK("http://www.ncbi.nlm.nih.gov/protein/XP_316925.4","XP_316925.4")</f>
        <v>XP_316925.4</v>
      </c>
      <c r="AW515" s="2">
        <v>86</v>
      </c>
      <c r="AX515" s="2">
        <v>87</v>
      </c>
      <c r="AY515" s="2">
        <v>109</v>
      </c>
      <c r="AZ515" s="2" t="s">
        <v>105</v>
      </c>
      <c r="BA515" s="9" t="str">
        <f>HYPERLINK(".\links\REFSEQ-INVERTEBRATE\AGAP008515-PB-REFSEQ-INVERTEBRATE.txt","AGAP008515-PA")</f>
        <v>AGAP008515-PA</v>
      </c>
      <c r="BB515" s="2" t="str">
        <f>HYPERLINK("http://www.ncbi.nlm.nih.gov/sutils/blink.cgi?pid=XP_316925.4","0.0")</f>
        <v>0.0</v>
      </c>
      <c r="BC515" s="2" t="str">
        <f>HYPERLINK("http://www.ncbi.nlm.nih.gov/protein/XP_316925.4","XP_316925.4")</f>
        <v>XP_316925.4</v>
      </c>
      <c r="BD515" s="2">
        <v>86</v>
      </c>
      <c r="BE515" s="2">
        <v>87</v>
      </c>
      <c r="BF515" s="2">
        <v>109</v>
      </c>
      <c r="BG515" s="2" t="s">
        <v>105</v>
      </c>
      <c r="BH515" s="9" t="str">
        <f>HYPERLINK(".\links\REFSEQ-PROTOZOA\AGAP008515-PB-REFSEQ-PROTOZOA.txt","diaphanous")</f>
        <v>diaphanous</v>
      </c>
      <c r="BI515" s="2" t="str">
        <f>HYPERLINK("http://www.ncbi.nlm.nih.gov/sutils/blink.cgi?pid=XP_001579434.1","2E-009")</f>
        <v>2E-009</v>
      </c>
      <c r="BJ515" s="2" t="str">
        <f>HYPERLINK("http://www.ncbi.nlm.nih.gov/protein/XP_001579434.1","XP_001579434.1")</f>
        <v>XP_001579434.1</v>
      </c>
      <c r="BK515" s="2">
        <v>29</v>
      </c>
      <c r="BL515" s="2">
        <v>38</v>
      </c>
      <c r="BM515" s="2">
        <v>32</v>
      </c>
      <c r="BN515" s="2" t="s">
        <v>292</v>
      </c>
      <c r="BO515" s="9" t="str">
        <f>HYPERLINK(".\links\SWISSP\AGAP008515-PB-SWISSP.txt","Zinc finger protein 628")</f>
        <v>Zinc finger protein 628</v>
      </c>
      <c r="BP515" s="2" t="str">
        <f>HYPERLINK("http://www.uniprot.org/uniprot/Q8CJ78","1E-011")</f>
        <v>1E-011</v>
      </c>
      <c r="BQ515" s="2" t="str">
        <f>HYPERLINK("http://www.uniprot.org/uniprot/Q8CJ78#expression","Q8CJ78")</f>
        <v>Q8CJ78</v>
      </c>
      <c r="BR515" s="2">
        <v>25</v>
      </c>
      <c r="BS515" s="2">
        <v>36</v>
      </c>
      <c r="BT515" s="2">
        <v>35</v>
      </c>
      <c r="BU515" s="2" t="s">
        <v>662</v>
      </c>
      <c r="BV515" s="9" t="str">
        <f>HYPERLINK(".\links\FLYBASE\AGAP008515-PB-FLYBASE.txt","FBpp0297497")</f>
        <v>FBpp0297497</v>
      </c>
      <c r="BW515" s="2" t="str">
        <f>HYPERLINK("http://flybase.org/reports/FBgn0067779#alliance_summary_container","5E-10")</f>
        <v>5E-10</v>
      </c>
      <c r="BX515" s="2">
        <v>1007</v>
      </c>
      <c r="BY515" s="2">
        <v>47</v>
      </c>
      <c r="BZ515" s="2">
        <v>60</v>
      </c>
      <c r="CA515" s="2">
        <v>9</v>
      </c>
      <c r="CB515" s="9" t="str">
        <f>HYPERLINK(".\links\CDD\AGAP008515-PB-CDD.txt","zf-AD, Zinc-finger associated domain (zf-AD)")</f>
        <v>zf-AD, Zinc-finger associated domain (zf-AD)</v>
      </c>
      <c r="CC515" s="15">
        <v>3.9999999999999998E-11</v>
      </c>
      <c r="CD515" s="2">
        <v>98.6</v>
      </c>
      <c r="CE515" s="2" t="s">
        <v>684</v>
      </c>
      <c r="CF515" s="2" t="s">
        <v>5357</v>
      </c>
      <c r="CG515" s="9" t="str">
        <f>HYPERLINK(".\links\KOG\AGAP008515-PB-KOG.txt","Zn finger proteins")</f>
        <v>Zn finger proteins</v>
      </c>
      <c r="CH515" s="15">
        <v>9.9999999999999995E-8</v>
      </c>
      <c r="CI515" s="2">
        <v>24.6</v>
      </c>
      <c r="CJ515" s="2" t="s">
        <v>686</v>
      </c>
      <c r="CK515" s="2" t="s">
        <v>191</v>
      </c>
      <c r="CL515" s="9" t="str">
        <f>HYPERLINK(".\links\PFAM\AGAP008515-PB-PFAM.txt","zf-AD, Zinc-finger associated domain (zf-AD)")</f>
        <v>zf-AD, Zinc-finger associated domain (zf-AD)</v>
      </c>
      <c r="CM515" s="15">
        <v>8.9999999999999999E-10</v>
      </c>
      <c r="CN515" s="2">
        <v>97.3</v>
      </c>
      <c r="CO515" s="2" t="s">
        <v>687</v>
      </c>
      <c r="CP515" s="9" t="str">
        <f>HYPERLINK(".\links\SMART\AGAP008515-PB-SMART.txt","zf-AD, Zinc-finger associated domain (zf-AD)")</f>
        <v>zf-AD, Zinc-finger associated domain (zf-AD)</v>
      </c>
      <c r="CQ515" s="15">
        <v>2.9999999999999998E-13</v>
      </c>
      <c r="CR515" s="2">
        <v>98.6</v>
      </c>
      <c r="CS515" s="2" t="s">
        <v>684</v>
      </c>
      <c r="CT515" s="2" t="s">
        <v>5355</v>
      </c>
      <c r="CU515" s="2" t="s">
        <v>5355</v>
      </c>
      <c r="CV515" s="2" t="s">
        <v>5355</v>
      </c>
      <c r="CW515" s="2" t="str">
        <f>HYPERLINK(".\links\pep\AGAP008515-PB-pep.txt","AGAP008515-PB")</f>
        <v>AGAP008515-PB</v>
      </c>
      <c r="CX515" s="2" t="s">
        <v>95</v>
      </c>
      <c r="CY515" s="2">
        <v>778</v>
      </c>
      <c r="CZ515" s="2" t="s">
        <v>113</v>
      </c>
      <c r="DA515" s="2" t="s">
        <v>5358</v>
      </c>
      <c r="DB515" s="2">
        <v>0</v>
      </c>
      <c r="DC515" s="2">
        <v>2</v>
      </c>
      <c r="DD515" s="2" t="str">
        <f>HYPERLINK("https://www.kegg.jp/kegg-bin/search_pathway_text?map=aga&amp;keyword=AGAP008515&amp;mode=1&amp;viewImage=true","AGAP008515")</f>
        <v>AGAP008515</v>
      </c>
      <c r="DE515" s="2" t="s">
        <v>5353</v>
      </c>
      <c r="DF515" s="2" t="s">
        <v>93</v>
      </c>
      <c r="DG515" s="2" t="s">
        <v>94</v>
      </c>
      <c r="DH515" s="2" t="str">
        <f>HYPERLINK("https://vectorbase.org/vectorbase/app/record/gene/AGAP008515","AGAP008515-RB")</f>
        <v>AGAP008515-RB</v>
      </c>
      <c r="DI515" s="2" t="s">
        <v>115</v>
      </c>
      <c r="DJ515" s="2">
        <v>3398</v>
      </c>
      <c r="DK515" s="2" t="str">
        <f>HYPERLINK(".\links\netoglyc\AGAP008515-PB-netoglyc.txt","31")</f>
        <v>31</v>
      </c>
      <c r="DL515" s="2">
        <v>17.5</v>
      </c>
      <c r="DM515" s="2">
        <v>4.4000000000000004</v>
      </c>
      <c r="DN515" s="2">
        <v>8.6999999999999993</v>
      </c>
      <c r="DO515" s="2" t="s">
        <v>104</v>
      </c>
      <c r="DP515" s="2" t="s">
        <v>102</v>
      </c>
      <c r="DQ515" s="2" t="str">
        <f>HYPERLINK(".\links\Sigp\AGAP008515-PB-SigP.txt","CYT")</f>
        <v>CYT</v>
      </c>
      <c r="DR515" s="2" t="s">
        <v>102</v>
      </c>
      <c r="DS515" s="2">
        <v>85.105000000000004</v>
      </c>
      <c r="DT515" s="2">
        <v>9.84</v>
      </c>
      <c r="DU515" s="2" t="s">
        <v>102</v>
      </c>
      <c r="DV515" s="2" t="s">
        <v>102</v>
      </c>
      <c r="DW515" s="2" t="s">
        <v>823</v>
      </c>
      <c r="DX515" s="2">
        <v>778</v>
      </c>
      <c r="DY515" s="12">
        <v>0</v>
      </c>
      <c r="DZ515" s="2" t="s">
        <v>102</v>
      </c>
      <c r="EA515" s="2" t="s">
        <v>102</v>
      </c>
      <c r="EB515" s="2" t="s">
        <v>102</v>
      </c>
      <c r="EC515" s="2" t="str">
        <f>HYPERLINK(".\links\gpi\AGAP008515-PB-gpi.txt","Y-NoSP")</f>
        <v>Y-NoSP</v>
      </c>
      <c r="ED515" s="2">
        <v>0.22</v>
      </c>
      <c r="EF515" s="2">
        <v>16</v>
      </c>
      <c r="EG515" s="2" t="str">
        <f>HYPERLINK(".\links\pep\AGAP008515-PB-sulf.txt","2")</f>
        <v>2</v>
      </c>
      <c r="EH515" s="2" t="s">
        <v>102</v>
      </c>
      <c r="EI515" s="2">
        <v>17.480719794344498</v>
      </c>
      <c r="EJ515" s="2">
        <v>8.7403598971722403</v>
      </c>
      <c r="EK515" s="2">
        <v>4.3701799485861201</v>
      </c>
      <c r="EL515" s="2">
        <v>13.110539845758399</v>
      </c>
      <c r="EM515" s="2" t="s">
        <v>102</v>
      </c>
      <c r="EN515" s="2">
        <v>4</v>
      </c>
      <c r="EO515" s="2">
        <v>4</v>
      </c>
      <c r="EP515" s="2" t="s">
        <v>102</v>
      </c>
      <c r="EQ515" s="2" t="s">
        <v>102</v>
      </c>
      <c r="ER515" s="2" t="s">
        <v>102</v>
      </c>
      <c r="ES515" s="2" t="s">
        <v>102</v>
      </c>
      <c r="ET515" s="2" t="str">
        <f>HYPERLINK(".\links\REFSEQ-INVERTEBRATE\AGAP008515-PB-REFSEQ-INVERTEBRATE.txt","AGAP008515-PA")</f>
        <v>AGAP008515-PA</v>
      </c>
      <c r="EU515" s="2" t="str">
        <f>HYPERLINK("http://www.ncbi.nlm.nih.gov/sutils/blink.cgi?pid=XP_316925.4","0.0")</f>
        <v>0.0</v>
      </c>
      <c r="EV515" s="2" t="str">
        <f>HYPERLINK("http://www.ncbi.nlm.nih.gov/protein/XP_316925.4","XP_316925.4")</f>
        <v>XP_316925.4</v>
      </c>
      <c r="EW515" s="2">
        <v>89</v>
      </c>
      <c r="EX515" s="2">
        <v>89</v>
      </c>
      <c r="EY515" s="2">
        <v>109</v>
      </c>
      <c r="EZ515" s="2" t="s">
        <v>105</v>
      </c>
    </row>
    <row r="516" spans="1:156" x14ac:dyDescent="0.25">
      <c r="A516" s="2" t="s">
        <v>5359</v>
      </c>
      <c r="B516" s="2">
        <v>-0.47973544489335401</v>
      </c>
      <c r="C516" s="2">
        <f t="shared" si="8"/>
        <v>0.71710911228424501</v>
      </c>
      <c r="D516" s="2">
        <v>6.3647461517715698</v>
      </c>
      <c r="E516" s="2">
        <v>16.354417969944201</v>
      </c>
      <c r="F516" s="2">
        <v>5.2533557578573902E-5</v>
      </c>
      <c r="G516" s="2">
        <v>8.4422456354920298E-3</v>
      </c>
      <c r="H516" s="2" t="s">
        <v>5360</v>
      </c>
      <c r="I516" s="2" t="s">
        <v>94</v>
      </c>
      <c r="J516" s="2" t="str">
        <f>HYPERLINK("https://vectorbase.org/vectorbase/app/record/gene/AGAP006083","AGAP006083-RA")</f>
        <v>AGAP006083-RA</v>
      </c>
      <c r="K516" s="2" t="str">
        <f>HYPERLINK(".\links\pep\AGAP006083-PA-pep.txt","AGAP006083-PA")</f>
        <v>AGAP006083-PA</v>
      </c>
      <c r="L516" s="12" t="s">
        <v>95</v>
      </c>
      <c r="M516" s="2">
        <v>1458</v>
      </c>
      <c r="N516" s="2">
        <v>0</v>
      </c>
      <c r="O516" s="2">
        <v>5</v>
      </c>
      <c r="P516" s="2" t="s">
        <v>5361</v>
      </c>
      <c r="Q516" s="9" t="s">
        <v>5054</v>
      </c>
      <c r="R516" s="2" t="s">
        <v>355</v>
      </c>
      <c r="S516" s="2" t="str">
        <f>HYPERLINK(".\links\KOG\AGAP006083-PA-KOG.txt","KOG")</f>
        <v>KOG</v>
      </c>
      <c r="T516" s="2">
        <v>4.9999999999999997E-37</v>
      </c>
      <c r="U516" s="2">
        <v>36.200000000000003</v>
      </c>
      <c r="V516" s="2" t="s">
        <v>5362</v>
      </c>
      <c r="W516" s="10" t="s">
        <v>5363</v>
      </c>
      <c r="X516" s="2" t="s">
        <v>931</v>
      </c>
      <c r="Y516" s="2" t="str">
        <f>HYPERLINK(".\links\MEROPS\AGAP006083-PA-MEROPS.txt","MEROPS")</f>
        <v>MEROPS</v>
      </c>
      <c r="Z516" s="15">
        <v>3.0000000000000001E-80</v>
      </c>
      <c r="AA516" s="2">
        <v>100</v>
      </c>
      <c r="AB516" s="13" t="str">
        <f>HYPERLINK(".\links\pep\AGAP006083-PA-sulf.txt","3")</f>
        <v>3</v>
      </c>
      <c r="AC516" s="13" t="str">
        <f>HYPERLINK(".\links\Sigp\AGAP006083-PA-SigP.txt","CYT")</f>
        <v>CYT</v>
      </c>
      <c r="AD516" s="2" t="s">
        <v>102</v>
      </c>
      <c r="AE516" s="2">
        <v>161.489</v>
      </c>
      <c r="AF516" s="2">
        <v>5.65</v>
      </c>
      <c r="AG516" s="2" t="s">
        <v>102</v>
      </c>
      <c r="AH516" s="2" t="s">
        <v>102</v>
      </c>
      <c r="AI516" s="2" t="s">
        <v>5364</v>
      </c>
      <c r="AJ516" s="13" t="str">
        <f>HYPERLINK(".\links\tmhmm\AGAP006083-PA-tmhmm.txt","1")</f>
        <v>1</v>
      </c>
      <c r="AK516" s="2">
        <v>1.5</v>
      </c>
      <c r="AL516" s="2">
        <v>78.400000000000006</v>
      </c>
      <c r="AM516" s="2">
        <v>20.100000000000001</v>
      </c>
      <c r="AN516" s="13" t="str">
        <f>HYPERLINK(".\links\gpi\AGAP006083-PA-gpi.txt","N")</f>
        <v>N</v>
      </c>
      <c r="AO516" s="14" t="str">
        <f>HYPERLINK(".\links\netoglyc\AGAP006083-PA-netoglyc.txt","6")</f>
        <v>6</v>
      </c>
      <c r="AP516" s="13">
        <v>16.8</v>
      </c>
      <c r="AQ516" s="2">
        <v>7</v>
      </c>
      <c r="AR516" s="2">
        <v>7.6</v>
      </c>
      <c r="AS516" s="2" t="s">
        <v>104</v>
      </c>
      <c r="AT516" s="9" t="str">
        <f>HYPERLINK(".\links\NR-LIGHT\AGAP006083-PA-NR-LIGHT.txt","AGAP006083-PB")</f>
        <v>AGAP006083-PB</v>
      </c>
      <c r="AU516" s="2" t="str">
        <f>HYPERLINK("http://www.ncbi.nlm.nih.gov/sutils/blink.cgi?pid=XP_001688782.1","0.0")</f>
        <v>0.0</v>
      </c>
      <c r="AV516" s="2" t="str">
        <f>HYPERLINK("http://www.ncbi.nlm.nih.gov/protein/XP_001688782.1","XP_001688782.1")</f>
        <v>XP_001688782.1</v>
      </c>
      <c r="AW516" s="2">
        <v>100</v>
      </c>
      <c r="AX516" s="2">
        <v>100</v>
      </c>
      <c r="AY516" s="2">
        <v>98</v>
      </c>
      <c r="AZ516" s="2" t="s">
        <v>105</v>
      </c>
      <c r="BA516" s="9" t="str">
        <f>HYPERLINK(".\links\REFSEQ-INVERTEBRATE\AGAP006083-PA-REFSEQ-INVERTEBRATE.txt","AGAP006083-PB")</f>
        <v>AGAP006083-PB</v>
      </c>
      <c r="BB516" s="2" t="str">
        <f>HYPERLINK("http://www.ncbi.nlm.nih.gov/sutils/blink.cgi?pid=XP_001688782.1","0.0")</f>
        <v>0.0</v>
      </c>
      <c r="BC516" s="2" t="str">
        <f>HYPERLINK("http://www.ncbi.nlm.nih.gov/protein/XP_001688782.1","XP_001688782.1")</f>
        <v>XP_001688782.1</v>
      </c>
      <c r="BD516" s="2">
        <v>100</v>
      </c>
      <c r="BE516" s="2">
        <v>100</v>
      </c>
      <c r="BF516" s="2">
        <v>98</v>
      </c>
      <c r="BG516" s="2" t="s">
        <v>105</v>
      </c>
      <c r="BH516" s="9" t="str">
        <f>HYPERLINK(".\links\REFSEQ-PROTOZOA\AGAP006083-PA-REFSEQ-PROTOZOA.txt","hypothetical protein GUITHDRAFT_139499")</f>
        <v>hypothetical protein GUITHDRAFT_139499</v>
      </c>
      <c r="BI516" s="2" t="str">
        <f>HYPERLINK("http://www.ncbi.nlm.nih.gov/sutils/blink.cgi?pid=XP_005831882.1","5E-019")</f>
        <v>5E-019</v>
      </c>
      <c r="BJ516" s="2" t="str">
        <f>HYPERLINK("http://www.ncbi.nlm.nih.gov/protein/XP_005831882.1","XP_005831882.1")</f>
        <v>XP_005831882.1</v>
      </c>
      <c r="BK516" s="2">
        <v>24</v>
      </c>
      <c r="BL516" s="2">
        <v>41</v>
      </c>
      <c r="BM516" s="2">
        <v>39</v>
      </c>
      <c r="BN516" s="2" t="s">
        <v>279</v>
      </c>
      <c r="BO516" s="9" t="str">
        <f>HYPERLINK(".\links\SWISSP\AGAP006083-PA-SWISSP.txt","Neogenin (Fragment)")</f>
        <v>Neogenin (Fragment)</v>
      </c>
      <c r="BP516" s="2" t="str">
        <f>HYPERLINK("http://www.uniprot.org/uniprot/P97603","1E-148")</f>
        <v>1E-148</v>
      </c>
      <c r="BQ516" s="2" t="str">
        <f>HYPERLINK("http://www.uniprot.org/uniprot/P97603#expression","P97603")</f>
        <v>P97603</v>
      </c>
      <c r="BR516" s="2">
        <v>33</v>
      </c>
      <c r="BS516" s="2">
        <v>49</v>
      </c>
      <c r="BT516" s="2">
        <v>73</v>
      </c>
      <c r="BU516" s="2" t="s">
        <v>305</v>
      </c>
      <c r="BV516" s="9" t="str">
        <f>HYPERLINK(".\links\FLYBASE\AGAP006083-PA-FLYBASE.txt","FBpp0086935")</f>
        <v>FBpp0086935</v>
      </c>
      <c r="BW516" s="2" t="str">
        <f>HYPERLINK("http://flybase.org/reports/FBgn0011592#alliance_summary_container","0.0")</f>
        <v>0.0</v>
      </c>
      <c r="BX516" s="2">
        <v>1526</v>
      </c>
      <c r="BY516" s="2">
        <v>60</v>
      </c>
      <c r="BZ516" s="2">
        <v>73</v>
      </c>
      <c r="CA516" s="2">
        <v>62</v>
      </c>
      <c r="CB516" s="9" t="str">
        <f>HYPERLINK(".\links\CDD\AGAP006083-PA-CDD.txt","Neogenin_C, Neogenin C-terminus")</f>
        <v>Neogenin_C, Neogenin C-terminus</v>
      </c>
      <c r="CC516" s="15">
        <v>1.9999999999999999E-28</v>
      </c>
      <c r="CD516" s="2">
        <v>103.4</v>
      </c>
      <c r="CE516" s="2" t="s">
        <v>5365</v>
      </c>
      <c r="CF516" s="2" t="s">
        <v>5366</v>
      </c>
      <c r="CG516" s="9" t="str">
        <f>HYPERLINK(".\links\KOG\AGAP006083-PA-KOG.txt","Receptor mediating netrin-dependent axon guidance")</f>
        <v>Receptor mediating netrin-dependent axon guidance</v>
      </c>
      <c r="CH516" s="15">
        <v>0</v>
      </c>
      <c r="CI516" s="2">
        <v>71.099999999999994</v>
      </c>
      <c r="CJ516" s="2" t="s">
        <v>5367</v>
      </c>
      <c r="CK516" s="2" t="s">
        <v>173</v>
      </c>
      <c r="CL516" s="9" t="str">
        <f>HYPERLINK(".\links\PFAM\AGAP006083-PA-PFAM.txt","Neogenin_C, Neogenin C-terminus")</f>
        <v>Neogenin_C, Neogenin C-terminus</v>
      </c>
      <c r="CM516" s="15">
        <v>3.9999999999999998E-29</v>
      </c>
      <c r="CN516" s="2">
        <v>103.4</v>
      </c>
      <c r="CO516" s="2" t="s">
        <v>5365</v>
      </c>
      <c r="CP516" s="9" t="str">
        <f>HYPERLINK(".\links\SMART\AGAP006083-PA-SMART.txt","IG_like, Immunoglobulin like")</f>
        <v>IG_like, Immunoglobulin like</v>
      </c>
      <c r="CQ516" s="15">
        <v>2E-16</v>
      </c>
      <c r="CR516" s="2">
        <v>102.4</v>
      </c>
      <c r="CS516" s="2" t="s">
        <v>439</v>
      </c>
      <c r="CT516" s="2" t="s">
        <v>5362</v>
      </c>
      <c r="CU516" s="2" t="s">
        <v>5362</v>
      </c>
      <c r="CV516" s="2" t="s">
        <v>5362</v>
      </c>
      <c r="CW516" s="2" t="str">
        <f>HYPERLINK(".\links\pep\AGAP006083-PA-pep.txt","AGAP006083-PA")</f>
        <v>AGAP006083-PA</v>
      </c>
      <c r="CX516" s="2" t="s">
        <v>95</v>
      </c>
      <c r="CY516" s="2">
        <v>1458</v>
      </c>
      <c r="CZ516" s="2" t="s">
        <v>113</v>
      </c>
      <c r="DA516" s="2" t="s">
        <v>5368</v>
      </c>
      <c r="DB516" s="2">
        <v>0</v>
      </c>
      <c r="DC516" s="2">
        <v>5</v>
      </c>
      <c r="DD516" s="2" t="str">
        <f>HYPERLINK("https://www.kegg.jp/kegg-bin/search_pathway_text?map=aga&amp;keyword=AGAP006083&amp;mode=1&amp;viewImage=true","AGAP006083")</f>
        <v>AGAP006083</v>
      </c>
      <c r="DE516" s="2" t="s">
        <v>5359</v>
      </c>
      <c r="DF516" s="2" t="s">
        <v>5360</v>
      </c>
      <c r="DG516" s="2" t="s">
        <v>94</v>
      </c>
      <c r="DH516" s="2" t="str">
        <f>HYPERLINK("https://vectorbase.org/vectorbase/app/record/gene/AGAP006083","AGAP006083-RA")</f>
        <v>AGAP006083-RA</v>
      </c>
      <c r="DI516" s="2" t="s">
        <v>115</v>
      </c>
      <c r="DJ516" s="2">
        <v>7433</v>
      </c>
      <c r="DK516" s="2" t="str">
        <f>HYPERLINK(".\links\netoglyc\AGAP006083-PA-netoglyc.txt","6")</f>
        <v>6</v>
      </c>
      <c r="DL516" s="2">
        <v>16.8</v>
      </c>
      <c r="DM516" s="2">
        <v>7</v>
      </c>
      <c r="DN516" s="2">
        <v>7.6</v>
      </c>
      <c r="DO516" s="2" t="s">
        <v>104</v>
      </c>
      <c r="DP516" s="2" t="s">
        <v>5369</v>
      </c>
      <c r="DQ516" s="2" t="str">
        <f>HYPERLINK(".\links\Sigp\AGAP006083-PA-SigP.txt","CYT")</f>
        <v>CYT</v>
      </c>
      <c r="DR516" s="2" t="s">
        <v>102</v>
      </c>
      <c r="DS516" s="2">
        <v>161.489</v>
      </c>
      <c r="DT516" s="2">
        <v>5.65</v>
      </c>
      <c r="DU516" s="2" t="s">
        <v>102</v>
      </c>
      <c r="DV516" s="2" t="s">
        <v>102</v>
      </c>
      <c r="DW516" s="2" t="s">
        <v>5364</v>
      </c>
      <c r="DX516" s="2">
        <v>1458</v>
      </c>
      <c r="DY516" s="12" t="str">
        <f>HYPERLINK(".\links\tmhmm\AGAP006083-PA-tmhmm.txt","1")</f>
        <v>1</v>
      </c>
      <c r="DZ516" s="2">
        <v>1.5</v>
      </c>
      <c r="EA516" s="2">
        <v>78.400000000000006</v>
      </c>
      <c r="EB516" s="2">
        <v>20.100000000000001</v>
      </c>
      <c r="EC516" s="2" t="str">
        <f>HYPERLINK(".\links\gpi\AGAP006083-PA-gpi.txt","Y-NoSP")</f>
        <v>Y-NoSP</v>
      </c>
      <c r="ED516" s="2">
        <v>0.17</v>
      </c>
      <c r="EF516" s="2">
        <v>11</v>
      </c>
      <c r="EG516" s="2" t="str">
        <f>HYPERLINK(".\links\pep\AGAP006083-PA-sulf.txt","3")</f>
        <v>3</v>
      </c>
      <c r="EH516" s="2" t="s">
        <v>102</v>
      </c>
      <c r="EI516" s="2">
        <v>16.803840877915</v>
      </c>
      <c r="EJ516" s="2">
        <v>7.6131687242798396</v>
      </c>
      <c r="EK516" s="2">
        <v>6.9958847736625502</v>
      </c>
      <c r="EL516" s="2">
        <v>14.6090534979424</v>
      </c>
      <c r="EM516" s="2">
        <v>2</v>
      </c>
      <c r="EN516" s="2">
        <v>5</v>
      </c>
      <c r="EO516" s="2">
        <v>7</v>
      </c>
      <c r="EP516" s="2" t="s">
        <v>102</v>
      </c>
      <c r="EQ516" s="2" t="s">
        <v>102</v>
      </c>
      <c r="ER516" s="2" t="s">
        <v>102</v>
      </c>
      <c r="ES516" s="2" t="s">
        <v>102</v>
      </c>
      <c r="ET516" s="2" t="str">
        <f>HYPERLINK(".\links\REFSEQ-INVERTEBRATE\AGAP006083-PA-REFSEQ-INVERTEBRATE.txt","AGAP006083-PB")</f>
        <v>AGAP006083-PB</v>
      </c>
      <c r="EU516" s="2" t="str">
        <f>HYPERLINK("http://www.ncbi.nlm.nih.gov/sutils/blink.cgi?pid=XP_001688782.1","0.0")</f>
        <v>0.0</v>
      </c>
      <c r="EV516" s="2" t="str">
        <f>HYPERLINK("http://www.ncbi.nlm.nih.gov/protein/XP_001688782.1","XP_001688782.1")</f>
        <v>XP_001688782.1</v>
      </c>
      <c r="EW516" s="2">
        <v>100</v>
      </c>
      <c r="EX516" s="2">
        <v>100</v>
      </c>
      <c r="EY516" s="2">
        <v>98</v>
      </c>
      <c r="EZ516" s="2" t="s">
        <v>105</v>
      </c>
    </row>
    <row r="517" spans="1:156" x14ac:dyDescent="0.25">
      <c r="A517" s="2" t="s">
        <v>5370</v>
      </c>
      <c r="B517" s="2">
        <v>-0.48071384938543099</v>
      </c>
      <c r="C517" s="2">
        <f t="shared" si="8"/>
        <v>0.71662294930593939</v>
      </c>
      <c r="D517" s="2">
        <v>6.3602998417066203</v>
      </c>
      <c r="E517" s="2">
        <v>9.3608201405775997</v>
      </c>
      <c r="F517" s="2">
        <v>2.2167293453649898E-3</v>
      </c>
      <c r="G517" s="2">
        <v>4.5136090286305802E-2</v>
      </c>
      <c r="H517" s="2" t="s">
        <v>5371</v>
      </c>
      <c r="I517" s="2" t="s">
        <v>94</v>
      </c>
      <c r="J517" s="2" t="str">
        <f>HYPERLINK("https://vectorbase.org/vectorbase/app/record/gene/AGAP001895","AGAP001895-RB")</f>
        <v>AGAP001895-RB</v>
      </c>
      <c r="K517" s="2" t="str">
        <f>HYPERLINK(".\links\pep\AGAP001895-PB-pep.txt","AGAP001895-PB")</f>
        <v>AGAP001895-PB</v>
      </c>
      <c r="L517" s="12" t="s">
        <v>95</v>
      </c>
      <c r="M517" s="2">
        <v>1366</v>
      </c>
      <c r="N517" s="2">
        <v>0</v>
      </c>
      <c r="O517" s="2">
        <v>3</v>
      </c>
      <c r="P517" s="2" t="s">
        <v>5372</v>
      </c>
      <c r="Q517" s="9" t="s">
        <v>5373</v>
      </c>
      <c r="R517" s="2" t="s">
        <v>388</v>
      </c>
      <c r="S517" s="2" t="str">
        <f>HYPERLINK(".\links\KOG\AGAP001895-PB-KOG.txt","KOG")</f>
        <v>KOG</v>
      </c>
      <c r="T517" s="2">
        <v>0</v>
      </c>
      <c r="U517" s="2">
        <v>99.4</v>
      </c>
      <c r="V517" s="2" t="s">
        <v>5374</v>
      </c>
      <c r="W517" s="10" t="s">
        <v>5375</v>
      </c>
      <c r="X517" s="2" t="s">
        <v>420</v>
      </c>
      <c r="Y517" s="2" t="str">
        <f>HYPERLINK(".\links\REFSEQVERTEBRATE95\AGAP001895-PB-REFSEQVERTEBRATE95.txt","REFSEQVERTEBRATE95")</f>
        <v>REFSEQVERTEBRATE95</v>
      </c>
      <c r="Z517" s="2">
        <v>0</v>
      </c>
      <c r="AA517" s="2">
        <v>91.7</v>
      </c>
      <c r="AB517" s="13" t="str">
        <f>HYPERLINK(".\links\pep\AGAP001895-PB-sulf.txt","3")</f>
        <v>3</v>
      </c>
      <c r="AC517" s="13" t="str">
        <f>HYPERLINK(".\links\Sigp\AGAP001895-PB-SigP.txt","CYT")</f>
        <v>CYT</v>
      </c>
      <c r="AD517" s="2" t="s">
        <v>102</v>
      </c>
      <c r="AE517" s="2">
        <v>151.499</v>
      </c>
      <c r="AF517" s="2">
        <v>8.27</v>
      </c>
      <c r="AG517" s="2" t="s">
        <v>102</v>
      </c>
      <c r="AH517" s="2" t="s">
        <v>102</v>
      </c>
      <c r="AI517" s="2" t="s">
        <v>5376</v>
      </c>
      <c r="AJ517" s="13">
        <v>0</v>
      </c>
      <c r="AK517" s="2" t="s">
        <v>102</v>
      </c>
      <c r="AL517" s="2" t="s">
        <v>102</v>
      </c>
      <c r="AM517" s="2" t="s">
        <v>102</v>
      </c>
      <c r="AN517" s="13" t="str">
        <f>HYPERLINK(".\links\gpi\AGAP001895-PB-gpi.txt","N")</f>
        <v>N</v>
      </c>
      <c r="AO517" s="14" t="str">
        <f>HYPERLINK(".\links\netoglyc\AGAP001895-PB-netoglyc.txt","1")</f>
        <v>1</v>
      </c>
      <c r="AP517" s="13">
        <v>12.9</v>
      </c>
      <c r="AQ517" s="2">
        <v>8.3000000000000007</v>
      </c>
      <c r="AR517" s="2">
        <v>5.6</v>
      </c>
      <c r="AS517" s="2" t="s">
        <v>104</v>
      </c>
      <c r="AT517" s="9" t="str">
        <f>HYPERLINK(".\links\NR-LIGHT\AGAP001895-PB-NR-LIGHT.txt","AGAP001895-PA")</f>
        <v>AGAP001895-PA</v>
      </c>
      <c r="AU517" s="2" t="str">
        <f>HYPERLINK("http://www.ncbi.nlm.nih.gov/sutils/blink.cgi?pid=XP_321169.5","0.0")</f>
        <v>0.0</v>
      </c>
      <c r="AV517" s="2" t="str">
        <f>HYPERLINK("http://www.ncbi.nlm.nih.gov/protein/XP_321169.5","XP_321169.5")</f>
        <v>XP_321169.5</v>
      </c>
      <c r="AW517" s="2">
        <v>100</v>
      </c>
      <c r="AX517" s="2">
        <v>100</v>
      </c>
      <c r="AY517" s="2">
        <v>100</v>
      </c>
      <c r="AZ517" s="2" t="s">
        <v>105</v>
      </c>
      <c r="BA517" s="9" t="str">
        <f>HYPERLINK(".\links\REFSEQ-INVERTEBRATE\AGAP001895-PB-REFSEQ-INVERTEBRATE.txt","AGAP001895-PA")</f>
        <v>AGAP001895-PA</v>
      </c>
      <c r="BB517" s="2" t="str">
        <f>HYPERLINK("http://www.ncbi.nlm.nih.gov/sutils/blink.cgi?pid=XP_321169.5","0.0")</f>
        <v>0.0</v>
      </c>
      <c r="BC517" s="2" t="str">
        <f>HYPERLINK("http://www.ncbi.nlm.nih.gov/protein/XP_321169.5","XP_321169.5")</f>
        <v>XP_321169.5</v>
      </c>
      <c r="BD517" s="2">
        <v>100</v>
      </c>
      <c r="BE517" s="2">
        <v>100</v>
      </c>
      <c r="BF517" s="2">
        <v>100</v>
      </c>
      <c r="BG517" s="2" t="s">
        <v>105</v>
      </c>
      <c r="BH517" s="9" t="str">
        <f>HYPERLINK(".\links\REFSEQ-PROTOZOA\AGAP001895-PB-REFSEQ-PROTOZOA.txt","hypothetical protein PTSG_08718")</f>
        <v>hypothetical protein PTSG_08718</v>
      </c>
      <c r="BI517" s="2" t="str">
        <f>HYPERLINK("http://www.ncbi.nlm.nih.gov/sutils/blink.cgi?pid=XP_004990511.1","5E-086")</f>
        <v>5E-086</v>
      </c>
      <c r="BJ517" s="2" t="str">
        <f>HYPERLINK("http://www.ncbi.nlm.nih.gov/protein/XP_004990511.1","XP_004990511.1")</f>
        <v>XP_004990511.1</v>
      </c>
      <c r="BK517" s="2">
        <v>46</v>
      </c>
      <c r="BL517" s="2">
        <v>65</v>
      </c>
      <c r="BM517" s="2">
        <v>24</v>
      </c>
      <c r="BN517" s="2" t="s">
        <v>435</v>
      </c>
      <c r="BO517" s="9" t="str">
        <f>HYPERLINK(".\links\SWISSP\AGAP001895-PB-SWISSP.txt","JmjC domain-containing histone demethylation protein 1")</f>
        <v>JmjC domain-containing histone demethylation protein 1</v>
      </c>
      <c r="BP517" s="2" t="str">
        <f>HYPERLINK("http://www.uniprot.org/uniprot/Q9VHH9","0.0")</f>
        <v>0.0</v>
      </c>
      <c r="BQ517" s="2" t="str">
        <f>HYPERLINK("http://www.uniprot.org/uniprot/Q9VHH9#expression","Q9VHH9")</f>
        <v>Q9VHH9</v>
      </c>
      <c r="BR517" s="2">
        <v>52</v>
      </c>
      <c r="BS517" s="2">
        <v>63</v>
      </c>
      <c r="BT517" s="2">
        <v>106</v>
      </c>
      <c r="BU517" s="2" t="s">
        <v>107</v>
      </c>
      <c r="BV517" s="9" t="str">
        <f>HYPERLINK(".\links\FLYBASE\AGAP001895-PB-FLYBASE.txt","FBpp0307736")</f>
        <v>FBpp0307736</v>
      </c>
      <c r="BW517" s="2" t="str">
        <f>HYPERLINK("http://flybase.org/reports/FBgn0037659#alliance_summary_container","1E-82")</f>
        <v>1E-82</v>
      </c>
      <c r="BX517" s="2">
        <v>1345</v>
      </c>
      <c r="BY517" s="2">
        <v>49</v>
      </c>
      <c r="BZ517" s="2">
        <v>60</v>
      </c>
      <c r="CA517" s="2">
        <v>24</v>
      </c>
      <c r="CB517" s="9" t="str">
        <f>HYPERLINK(".\links\CDD\AGAP001895-PB-CDD.txt","PHD_4, PHD-finger")</f>
        <v>PHD_4, PHD-finger</v>
      </c>
      <c r="CC517" s="15">
        <v>8.0000000000000003E-25</v>
      </c>
      <c r="CD517" s="2">
        <v>121.9</v>
      </c>
      <c r="CE517" s="2" t="s">
        <v>5377</v>
      </c>
      <c r="CF517" s="2" t="s">
        <v>5378</v>
      </c>
      <c r="CG517" s="9" t="str">
        <f>HYPERLINK(".\links\KOG\AGAP001895-PB-KOG.txt","PHD, F-box and LRR domains")</f>
        <v>PHD, F-box and LRR domains</v>
      </c>
      <c r="CH517" s="15">
        <v>9.9999999999999992E-164</v>
      </c>
      <c r="CI517" s="2">
        <v>99.5</v>
      </c>
      <c r="CJ517" s="2" t="s">
        <v>5379</v>
      </c>
      <c r="CK517" s="2" t="s">
        <v>398</v>
      </c>
      <c r="CL517" s="9" t="str">
        <f>HYPERLINK(".\links\PFAM\AGAP001895-PB-PFAM.txt","PHD_4, PHD-finger")</f>
        <v>PHD_4, PHD-finger</v>
      </c>
      <c r="CM517" s="15">
        <v>2.0000000000000001E-25</v>
      </c>
      <c r="CN517" s="2">
        <v>121.9</v>
      </c>
      <c r="CO517" s="2" t="s">
        <v>5377</v>
      </c>
      <c r="CP517" s="9" t="str">
        <f>HYPERLINK(".\links\SMART\AGAP001895-PB-SMART.txt","JmjC, A domain family that is part of the cupin metalloenzyme superfamily")</f>
        <v>JmjC, A domain family that is part of the cupin metalloenzyme superfamily</v>
      </c>
      <c r="CQ517" s="15">
        <v>9.9999999999999995E-8</v>
      </c>
      <c r="CR517" s="2">
        <v>79.3</v>
      </c>
      <c r="CS517" s="2" t="s">
        <v>5380</v>
      </c>
      <c r="CT517" s="2" t="s">
        <v>5374</v>
      </c>
      <c r="CU517" s="2" t="s">
        <v>5374</v>
      </c>
      <c r="CV517" s="2" t="s">
        <v>5374</v>
      </c>
      <c r="CW517" s="2" t="str">
        <f>HYPERLINK(".\links\pep\AGAP001895-PB-pep.txt","AGAP001895-PB")</f>
        <v>AGAP001895-PB</v>
      </c>
      <c r="CX517" s="2" t="s">
        <v>95</v>
      </c>
      <c r="CY517" s="2">
        <v>1366</v>
      </c>
      <c r="CZ517" s="2" t="s">
        <v>113</v>
      </c>
      <c r="DA517" s="2" t="s">
        <v>5381</v>
      </c>
      <c r="DB517" s="2">
        <v>0</v>
      </c>
      <c r="DC517" s="2">
        <v>3</v>
      </c>
      <c r="DD517" s="2" t="str">
        <f>HYPERLINK("https://www.kegg.jp/kegg-bin/search_pathway_text?map=aga&amp;keyword=AGAP001895&amp;mode=1&amp;viewImage=true","AGAP001895")</f>
        <v>AGAP001895</v>
      </c>
      <c r="DE517" s="2" t="s">
        <v>5370</v>
      </c>
      <c r="DF517" s="2" t="s">
        <v>5371</v>
      </c>
      <c r="DG517" s="2" t="s">
        <v>94</v>
      </c>
      <c r="DH517" s="2" t="str">
        <f>HYPERLINK("https://vectorbase.org/vectorbase/app/record/gene/AGAP001895","AGAP001895-RB")</f>
        <v>AGAP001895-RB</v>
      </c>
      <c r="DI517" s="2" t="s">
        <v>90</v>
      </c>
      <c r="DJ517" s="2">
        <v>6916</v>
      </c>
      <c r="DK517" s="2" t="str">
        <f>HYPERLINK(".\links\netoglyc\AGAP001895-PB-netoglyc.txt","1")</f>
        <v>1</v>
      </c>
      <c r="DL517" s="2">
        <v>12.9</v>
      </c>
      <c r="DM517" s="2">
        <v>8.3000000000000007</v>
      </c>
      <c r="DN517" s="2">
        <v>5.6</v>
      </c>
      <c r="DO517" s="2" t="s">
        <v>104</v>
      </c>
      <c r="DP517" s="2" t="s">
        <v>5382</v>
      </c>
      <c r="DQ517" s="2" t="str">
        <f>HYPERLINK(".\links\Sigp\AGAP001895-PB-SigP.txt","CYT")</f>
        <v>CYT</v>
      </c>
      <c r="DR517" s="2" t="s">
        <v>102</v>
      </c>
      <c r="DS517" s="2">
        <v>151.499</v>
      </c>
      <c r="DT517" s="2">
        <v>8.27</v>
      </c>
      <c r="DU517" s="2" t="s">
        <v>102</v>
      </c>
      <c r="DV517" s="2" t="s">
        <v>102</v>
      </c>
      <c r="DW517" s="2" t="s">
        <v>5376</v>
      </c>
      <c r="DX517" s="2">
        <v>1366</v>
      </c>
      <c r="DY517" s="12">
        <v>0</v>
      </c>
      <c r="DZ517" s="2" t="s">
        <v>102</v>
      </c>
      <c r="EA517" s="2" t="s">
        <v>102</v>
      </c>
      <c r="EB517" s="2" t="s">
        <v>102</v>
      </c>
      <c r="EC517" s="2" t="str">
        <f>HYPERLINK(".\links\gpi\AGAP001895-PB-gpi.txt","N")</f>
        <v>N</v>
      </c>
      <c r="ED517" s="2">
        <v>0.15</v>
      </c>
      <c r="EF517" s="2">
        <v>33</v>
      </c>
      <c r="EG517" s="2" t="str">
        <f>HYPERLINK(".\links\pep\AGAP001895-PB-sulf.txt","3")</f>
        <v>3</v>
      </c>
      <c r="EH517" s="2" t="s">
        <v>102</v>
      </c>
      <c r="EI517" s="2">
        <v>12.8843338213763</v>
      </c>
      <c r="EJ517" s="2">
        <v>5.5636896046852096</v>
      </c>
      <c r="EK517" s="2">
        <v>8.3455344070278201</v>
      </c>
      <c r="EL517" s="2">
        <v>13.909224011713</v>
      </c>
      <c r="EM517" s="2">
        <v>1</v>
      </c>
      <c r="EN517" s="2">
        <v>2</v>
      </c>
      <c r="EO517" s="2">
        <v>5</v>
      </c>
      <c r="EP517" s="2" t="s">
        <v>102</v>
      </c>
      <c r="EQ517" s="2" t="s">
        <v>102</v>
      </c>
      <c r="ER517" s="2" t="s">
        <v>102</v>
      </c>
      <c r="ES517" s="2" t="s">
        <v>102</v>
      </c>
      <c r="ET517" s="2" t="str">
        <f>HYPERLINK(".\links\REFSEQ-INVERTEBRATE\AGAP001895-PB-REFSEQ-INVERTEBRATE.txt","AGAP001895-PA")</f>
        <v>AGAP001895-PA</v>
      </c>
      <c r="EU517" s="2" t="str">
        <f>HYPERLINK("http://www.ncbi.nlm.nih.gov/sutils/blink.cgi?pid=XP_321169.5","0.0")</f>
        <v>0.0</v>
      </c>
      <c r="EV517" s="2" t="str">
        <f>HYPERLINK("http://www.ncbi.nlm.nih.gov/protein/XP_321169.5","XP_321169.5")</f>
        <v>XP_321169.5</v>
      </c>
      <c r="EW517" s="2">
        <v>100</v>
      </c>
      <c r="EX517" s="2">
        <v>100</v>
      </c>
      <c r="EY517" s="2">
        <v>100</v>
      </c>
      <c r="EZ517" s="2" t="s">
        <v>105</v>
      </c>
    </row>
    <row r="518" spans="1:156" x14ac:dyDescent="0.25">
      <c r="A518" s="2" t="s">
        <v>5383</v>
      </c>
      <c r="B518" s="2">
        <v>-0.48190445532609799</v>
      </c>
      <c r="C518" s="2">
        <f t="shared" si="8"/>
        <v>0.71603178932493661</v>
      </c>
      <c r="D518" s="2">
        <v>7.0837792403242101</v>
      </c>
      <c r="E518" s="2">
        <v>11.015205380141399</v>
      </c>
      <c r="F518" s="2">
        <v>9.0367512878949995E-4</v>
      </c>
      <c r="G518" s="2">
        <v>3.06863845079768E-2</v>
      </c>
      <c r="H518" s="2" t="s">
        <v>5384</v>
      </c>
      <c r="I518" s="2" t="s">
        <v>94</v>
      </c>
      <c r="J518" s="2" t="str">
        <f>HYPERLINK("https://vectorbase.org/vectorbase/app/record/gene/AGAP005541","AGAP005541-RA")</f>
        <v>AGAP005541-RA</v>
      </c>
      <c r="K518" s="2" t="str">
        <f>HYPERLINK(".\links\pep\AGAP005541-PA-pep.txt","AGAP005541-PA")</f>
        <v>AGAP005541-PA</v>
      </c>
      <c r="L518" s="12" t="s">
        <v>95</v>
      </c>
      <c r="M518" s="2">
        <v>2535</v>
      </c>
      <c r="N518" s="2">
        <v>0</v>
      </c>
      <c r="O518" s="2">
        <v>6</v>
      </c>
      <c r="P518" s="2" t="s">
        <v>5385</v>
      </c>
      <c r="Q518" s="9" t="s">
        <v>5386</v>
      </c>
      <c r="R518" s="2" t="s">
        <v>358</v>
      </c>
      <c r="S518" s="2" t="str">
        <f>HYPERLINK(".\links\REFSEQ-INVERTEBRATE\AGAP005541-PA-REFSEQ-INVERTEBRATE.txt","REFSEQ-INVERTEBRATE")</f>
        <v>REFSEQ-INVERTEBRATE</v>
      </c>
      <c r="T518" s="2">
        <v>0</v>
      </c>
      <c r="U518" s="2">
        <v>117.3</v>
      </c>
      <c r="V518" s="2" t="s">
        <v>5387</v>
      </c>
      <c r="W518" s="10" t="s">
        <v>5388</v>
      </c>
      <c r="X518" s="2" t="s">
        <v>388</v>
      </c>
      <c r="Y518" s="2" t="str">
        <f>HYPERLINK(".\links\UNIPROTKB\AGAP005541-PA-UNIPROTKB.txt","UNIPROTKB")</f>
        <v>UNIPROTKB</v>
      </c>
      <c r="Z518" s="2">
        <v>0</v>
      </c>
      <c r="AA518" s="2">
        <v>54.1</v>
      </c>
      <c r="AB518" s="13" t="str">
        <f>HYPERLINK(".\links\pep\AGAP005541-PA-sulf.txt","1")</f>
        <v>1</v>
      </c>
      <c r="AC518" s="13" t="str">
        <f>HYPERLINK(".\links\Sigp\AGAP005541-PA-SigP.txt","CYT")</f>
        <v>CYT</v>
      </c>
      <c r="AD518" s="2" t="s">
        <v>102</v>
      </c>
      <c r="AE518" s="2">
        <v>267.87900000000002</v>
      </c>
      <c r="AF518" s="2">
        <v>8.7799999999999994</v>
      </c>
      <c r="AG518" s="2" t="s">
        <v>102</v>
      </c>
      <c r="AH518" s="2" t="s">
        <v>102</v>
      </c>
      <c r="AI518" s="2" t="s">
        <v>2739</v>
      </c>
      <c r="AJ518" s="13">
        <v>0</v>
      </c>
      <c r="AK518" s="2" t="s">
        <v>102</v>
      </c>
      <c r="AL518" s="2" t="s">
        <v>102</v>
      </c>
      <c r="AM518" s="2" t="s">
        <v>102</v>
      </c>
      <c r="AN518" s="13" t="str">
        <f>HYPERLINK(".\links\gpi\AGAP005541-PA-gpi.txt","N")</f>
        <v>N</v>
      </c>
      <c r="AO518" s="14" t="str">
        <f>HYPERLINK(".\links\netoglyc\AGAP005541-PA-netoglyc.txt","40")</f>
        <v>40</v>
      </c>
      <c r="AP518" s="13">
        <v>19.100000000000001</v>
      </c>
      <c r="AQ518" s="2">
        <v>8.1999999999999993</v>
      </c>
      <c r="AR518" s="2">
        <v>8</v>
      </c>
      <c r="AS518" s="2" t="s">
        <v>104</v>
      </c>
      <c r="AT518" s="9" t="str">
        <f>HYPERLINK(".\links\NR-LIGHT\AGAP005541-PA-NR-LIGHT.txt","AGAP005541-PA")</f>
        <v>AGAP005541-PA</v>
      </c>
      <c r="AU518" s="2" t="str">
        <f>HYPERLINK("http://www.ncbi.nlm.nih.gov/sutils/blink.cgi?pid=XP_315541.4","0.0")</f>
        <v>0.0</v>
      </c>
      <c r="AV518" s="2" t="str">
        <f>HYPERLINK("http://www.ncbi.nlm.nih.gov/protein/XP_315541.4","XP_315541.4")</f>
        <v>XP_315541.4</v>
      </c>
      <c r="AW518" s="2">
        <v>100</v>
      </c>
      <c r="AX518" s="2">
        <v>100</v>
      </c>
      <c r="AY518" s="2">
        <v>100</v>
      </c>
      <c r="AZ518" s="2" t="s">
        <v>105</v>
      </c>
      <c r="BA518" s="9" t="str">
        <f>HYPERLINK(".\links\REFSEQ-INVERTEBRATE\AGAP005541-PA-REFSEQ-INVERTEBRATE.txt","AGAP005541-PA")</f>
        <v>AGAP005541-PA</v>
      </c>
      <c r="BB518" s="2" t="str">
        <f>HYPERLINK("http://www.ncbi.nlm.nih.gov/sutils/blink.cgi?pid=XP_315541.4","0.0")</f>
        <v>0.0</v>
      </c>
      <c r="BC518" s="2" t="str">
        <f>HYPERLINK("http://www.ncbi.nlm.nih.gov/protein/XP_315541.4","XP_315541.4")</f>
        <v>XP_315541.4</v>
      </c>
      <c r="BD518" s="2">
        <v>100</v>
      </c>
      <c r="BE518" s="2">
        <v>100</v>
      </c>
      <c r="BF518" s="2">
        <v>100</v>
      </c>
      <c r="BG518" s="2" t="s">
        <v>105</v>
      </c>
      <c r="BH518" s="9" t="str">
        <f>HYPERLINK(".\links\REFSEQ-PROTOZOA\AGAP005541-PA-REFSEQ-PROTOZOA.txt","proteophosphoglycan 5")</f>
        <v>proteophosphoglycan 5</v>
      </c>
      <c r="BI518" s="2" t="str">
        <f>HYPERLINK("http://www.ncbi.nlm.nih.gov/sutils/blink.cgi?pid=XP_003722449.1","5E-070")</f>
        <v>5E-070</v>
      </c>
      <c r="BJ518" s="2" t="str">
        <f>HYPERLINK("http://www.ncbi.nlm.nih.gov/protein/XP_003722449.1","XP_003722449.1")</f>
        <v>XP_003722449.1</v>
      </c>
      <c r="BK518" s="2">
        <v>18</v>
      </c>
      <c r="BL518" s="2">
        <v>36</v>
      </c>
      <c r="BM518" s="2">
        <v>11</v>
      </c>
      <c r="BN518" s="2" t="s">
        <v>3969</v>
      </c>
      <c r="BO518" s="9" t="str">
        <f>HYPERLINK(".\links\SWISSP\AGAP005541-PA-SWISSP.txt","Protein Jumonji")</f>
        <v>Protein Jumonji</v>
      </c>
      <c r="BP518" s="2" t="str">
        <f>HYPERLINK("http://www.uniprot.org/uniprot/Q92833","1E-114")</f>
        <v>1E-114</v>
      </c>
      <c r="BQ518" s="2" t="str">
        <f>HYPERLINK("http://www.uniprot.org/uniprot/Q92833#expression","Q92833")</f>
        <v>Q92833</v>
      </c>
      <c r="BR518" s="2">
        <v>28</v>
      </c>
      <c r="BS518" s="2">
        <v>44</v>
      </c>
      <c r="BT518" s="2">
        <v>91</v>
      </c>
      <c r="BU518" s="2" t="s">
        <v>127</v>
      </c>
      <c r="BV518" s="9" t="str">
        <f>HYPERLINK(".\links\FLYBASE\AGAP005541-PA-FLYBASE.txt","FBpp0311492")</f>
        <v>FBpp0311492</v>
      </c>
      <c r="BW518" s="2" t="str">
        <f>HYPERLINK("http://flybase.org/reports/FBgn0031759#alliance_summary_container","1E-36")</f>
        <v>1E-36</v>
      </c>
      <c r="BX518" s="2">
        <v>1838</v>
      </c>
      <c r="BY518" s="2">
        <v>28</v>
      </c>
      <c r="BZ518" s="2">
        <v>44</v>
      </c>
      <c r="CA518" s="2">
        <v>22</v>
      </c>
      <c r="CB518" s="9" t="str">
        <f>HYPERLINK(".\links\CDD\AGAP005541-PA-CDD.txt","ARID, ARID/BRIGHT DNA binding domain")</f>
        <v>ARID, ARID/BRIGHT DNA binding domain</v>
      </c>
      <c r="CC518" s="15">
        <v>9.9999999999999991E-22</v>
      </c>
      <c r="CD518" s="2">
        <v>97.6</v>
      </c>
      <c r="CE518" s="2" t="s">
        <v>5389</v>
      </c>
      <c r="CF518" s="2" t="s">
        <v>5390</v>
      </c>
      <c r="CG518" s="9" t="str">
        <f>HYPERLINK(".\links\KOG\AGAP005541-PA-KOG.txt","contains JmjC domain")</f>
        <v>contains JmjC domain</v>
      </c>
      <c r="CH518" s="15">
        <v>9.9999999999999993E-35</v>
      </c>
      <c r="CI518" s="2">
        <v>42.1</v>
      </c>
      <c r="CJ518" s="2" t="s">
        <v>5391</v>
      </c>
      <c r="CK518" s="2" t="s">
        <v>191</v>
      </c>
      <c r="CL518" s="9" t="str">
        <f>HYPERLINK(".\links\PFAM\AGAP005541-PA-PFAM.txt","ARID, ARID/BRIGHT DNA binding domain")</f>
        <v>ARID, ARID/BRIGHT DNA binding domain</v>
      </c>
      <c r="CM518" s="15">
        <v>2.0000000000000001E-22</v>
      </c>
      <c r="CN518" s="2">
        <v>97.6</v>
      </c>
      <c r="CO518" s="2" t="s">
        <v>5389</v>
      </c>
      <c r="CP518" s="9" t="str">
        <f>HYPERLINK(".\links\SMART\AGAP005541-PA-SMART.txt","ARID, ARID/BRIGHT DNA binding domain")</f>
        <v>ARID, ARID/BRIGHT DNA binding domain</v>
      </c>
      <c r="CQ518" s="15">
        <v>2.0000000000000001E-22</v>
      </c>
      <c r="CR518" s="2">
        <v>93.2</v>
      </c>
      <c r="CS518" s="2" t="s">
        <v>5230</v>
      </c>
      <c r="CT518" s="2" t="s">
        <v>5387</v>
      </c>
      <c r="CU518" s="2" t="s">
        <v>5387</v>
      </c>
      <c r="CV518" s="2" t="s">
        <v>5387</v>
      </c>
      <c r="CW518" s="2" t="str">
        <f>HYPERLINK(".\links\pep\AGAP005541-PA-pep.txt","AGAP005541-PA")</f>
        <v>AGAP005541-PA</v>
      </c>
      <c r="CX518" s="2" t="s">
        <v>95</v>
      </c>
      <c r="CY518" s="2">
        <v>2535</v>
      </c>
      <c r="CZ518" s="2" t="s">
        <v>113</v>
      </c>
      <c r="DA518" s="2" t="s">
        <v>5392</v>
      </c>
      <c r="DB518" s="2">
        <v>0</v>
      </c>
      <c r="DC518" s="2">
        <v>6</v>
      </c>
      <c r="DD518" s="2" t="str">
        <f>HYPERLINK("https://www.kegg.jp/kegg-bin/search_pathway_text?map=aga&amp;keyword=AGAP005541&amp;mode=1&amp;viewImage=true","AGAP005541")</f>
        <v>AGAP005541</v>
      </c>
      <c r="DE518" s="2" t="s">
        <v>5383</v>
      </c>
      <c r="DF518" s="2" t="s">
        <v>5384</v>
      </c>
      <c r="DG518" s="2" t="s">
        <v>94</v>
      </c>
      <c r="DH518" s="2" t="str">
        <f>HYPERLINK("https://vectorbase.org/vectorbase/app/record/gene/AGAP005541","AGAP005541-RA")</f>
        <v>AGAP005541-RA</v>
      </c>
      <c r="DI518" s="2" t="s">
        <v>115</v>
      </c>
      <c r="DJ518" s="2">
        <v>8499</v>
      </c>
      <c r="DK518" s="2" t="str">
        <f>HYPERLINK(".\links\netoglyc\AGAP005541-PA-netoglyc.txt","40")</f>
        <v>40</v>
      </c>
      <c r="DL518" s="2">
        <v>19.100000000000001</v>
      </c>
      <c r="DM518" s="2">
        <v>8.1999999999999993</v>
      </c>
      <c r="DN518" s="2">
        <v>8</v>
      </c>
      <c r="DO518" s="2" t="s">
        <v>104</v>
      </c>
      <c r="DP518" s="2" t="s">
        <v>5393</v>
      </c>
      <c r="DQ518" s="2" t="str">
        <f>HYPERLINK(".\links\Sigp\AGAP005541-PA-SigP.txt","CYT")</f>
        <v>CYT</v>
      </c>
      <c r="DR518" s="2" t="s">
        <v>102</v>
      </c>
      <c r="DS518" s="2">
        <v>267.87900000000002</v>
      </c>
      <c r="DT518" s="2">
        <v>8.7799999999999994</v>
      </c>
      <c r="DU518" s="2" t="s">
        <v>102</v>
      </c>
      <c r="DV518" s="2" t="s">
        <v>102</v>
      </c>
      <c r="DW518" s="2" t="s">
        <v>2739</v>
      </c>
      <c r="DX518" s="2">
        <v>2535</v>
      </c>
      <c r="DY518" s="12">
        <v>0</v>
      </c>
      <c r="DZ518" s="2" t="s">
        <v>102</v>
      </c>
      <c r="EA518" s="2" t="s">
        <v>102</v>
      </c>
      <c r="EB518" s="2" t="s">
        <v>102</v>
      </c>
      <c r="EC518" s="2" t="str">
        <f>HYPERLINK(".\links\gpi\AGAP005541-PA-gpi.txt","Y-NoSP")</f>
        <v>Y-NoSP</v>
      </c>
      <c r="ED518" s="2">
        <v>0.33</v>
      </c>
      <c r="EF518" s="2">
        <v>25</v>
      </c>
      <c r="EG518" s="2" t="str">
        <f>HYPERLINK(".\links\pep\AGAP005541-PA-sulf.txt","1")</f>
        <v>1</v>
      </c>
      <c r="EH518" s="2" t="s">
        <v>102</v>
      </c>
      <c r="EI518" s="2">
        <v>19.1321499013807</v>
      </c>
      <c r="EJ518" s="2">
        <v>8.0473372781065091</v>
      </c>
      <c r="EK518" s="2">
        <v>8.1656804733727792</v>
      </c>
      <c r="EL518" s="2">
        <v>16.213017751479299</v>
      </c>
      <c r="EM518" s="2">
        <v>3</v>
      </c>
      <c r="EN518" s="2">
        <v>11</v>
      </c>
      <c r="EO518" s="2">
        <v>12</v>
      </c>
      <c r="EP518" s="2" t="s">
        <v>102</v>
      </c>
      <c r="EQ518" s="2" t="s">
        <v>102</v>
      </c>
      <c r="ER518" s="2" t="s">
        <v>102</v>
      </c>
      <c r="ES518" s="2" t="s">
        <v>102</v>
      </c>
      <c r="ET518" s="2" t="str">
        <f>HYPERLINK(".\links\REFSEQ-INVERTEBRATE\AGAP005541-PA-REFSEQ-INVERTEBRATE.txt","AGAP005541-PA")</f>
        <v>AGAP005541-PA</v>
      </c>
      <c r="EU518" s="2" t="str">
        <f>HYPERLINK("http://www.ncbi.nlm.nih.gov/sutils/blink.cgi?pid=XP_315541.4","0.0")</f>
        <v>0.0</v>
      </c>
      <c r="EV518" s="2" t="str">
        <f>HYPERLINK("http://www.ncbi.nlm.nih.gov/protein/XP_315541.4","XP_315541.4")</f>
        <v>XP_315541.4</v>
      </c>
      <c r="EW518" s="2">
        <v>100</v>
      </c>
      <c r="EX518" s="2">
        <v>100</v>
      </c>
      <c r="EY518" s="2">
        <v>100</v>
      </c>
      <c r="EZ518" s="2" t="s">
        <v>105</v>
      </c>
    </row>
    <row r="519" spans="1:156" x14ac:dyDescent="0.25">
      <c r="A519" s="2" t="s">
        <v>5394</v>
      </c>
      <c r="B519" s="2">
        <v>-0.48451028521843598</v>
      </c>
      <c r="C519" s="2">
        <f t="shared" si="8"/>
        <v>0.71473964308183824</v>
      </c>
      <c r="D519" s="2">
        <v>7.9083767835477996</v>
      </c>
      <c r="E519" s="2">
        <v>9.1662911872155206</v>
      </c>
      <c r="F519" s="2">
        <v>2.46513645571745E-3</v>
      </c>
      <c r="G519" s="2">
        <v>4.6629404551046902E-2</v>
      </c>
      <c r="H519" s="2" t="s">
        <v>5395</v>
      </c>
      <c r="I519" s="2" t="s">
        <v>94</v>
      </c>
      <c r="J519" s="2" t="str">
        <f>HYPERLINK("https://vectorbase.org/vectorbase/app/record/gene/AGAP002735","AGAP002735-RA")</f>
        <v>AGAP002735-RA</v>
      </c>
      <c r="K519" s="2" t="str">
        <f>HYPERLINK(".\links\pep\AGAP002735-PA-pep.txt","AGAP002735-PA")</f>
        <v>AGAP002735-PA</v>
      </c>
      <c r="L519" s="12" t="s">
        <v>95</v>
      </c>
      <c r="M519" s="2">
        <v>3260</v>
      </c>
      <c r="N519" s="2">
        <v>0</v>
      </c>
      <c r="O519" s="2">
        <v>7</v>
      </c>
      <c r="P519" s="2" t="s">
        <v>5396</v>
      </c>
      <c r="Q519" s="9" t="s">
        <v>5397</v>
      </c>
      <c r="R519" s="2" t="s">
        <v>388</v>
      </c>
      <c r="S519" s="2" t="str">
        <f>HYPERLINK(".\links\KOG\AGAP002735-PA-KOG.txt","KOG")</f>
        <v>KOG</v>
      </c>
      <c r="T519" s="2">
        <v>0</v>
      </c>
      <c r="U519" s="2">
        <v>75</v>
      </c>
      <c r="V519" s="2" t="s">
        <v>5398</v>
      </c>
      <c r="W519" s="10" t="s">
        <v>5399</v>
      </c>
      <c r="X519" s="2" t="s">
        <v>388</v>
      </c>
      <c r="Y519" s="2" t="str">
        <f>HYPERLINK(".\links\COG\AGAP002735-PA-COG.txt","COG")</f>
        <v>COG</v>
      </c>
      <c r="Z519" s="15">
        <v>7.0000000000000002E-87</v>
      </c>
      <c r="AA519" s="2">
        <v>62</v>
      </c>
      <c r="AB519" s="13" t="str">
        <f>HYPERLINK(".\links\pep\AGAP002735-PA-sulf.txt","2")</f>
        <v>2</v>
      </c>
      <c r="AC519" s="13" t="str">
        <f>HYPERLINK(".\links\Sigp\AGAP002735-PA-SigP.txt","CYT")</f>
        <v>CYT</v>
      </c>
      <c r="AD519" s="2" t="s">
        <v>102</v>
      </c>
      <c r="AE519" s="2">
        <v>344.99900000000002</v>
      </c>
      <c r="AF519" s="2">
        <v>9.02</v>
      </c>
      <c r="AG519" s="2" t="s">
        <v>102</v>
      </c>
      <c r="AH519" s="2" t="s">
        <v>102</v>
      </c>
      <c r="AI519" s="2" t="s">
        <v>611</v>
      </c>
      <c r="AJ519" s="13">
        <v>0</v>
      </c>
      <c r="AK519" s="2" t="s">
        <v>102</v>
      </c>
      <c r="AL519" s="2" t="s">
        <v>102</v>
      </c>
      <c r="AM519" s="2" t="s">
        <v>102</v>
      </c>
      <c r="AN519" s="13" t="str">
        <f>HYPERLINK(".\links\gpi\AGAP002735-PA-gpi.txt","N")</f>
        <v>N</v>
      </c>
      <c r="AO519" s="14" t="str">
        <f>HYPERLINK(".\links\netoglyc\AGAP002735-PA-netoglyc.txt","20")</f>
        <v>20</v>
      </c>
      <c r="AP519" s="13">
        <v>18.2</v>
      </c>
      <c r="AQ519" s="2">
        <v>9</v>
      </c>
      <c r="AR519" s="2">
        <v>7</v>
      </c>
      <c r="AS519" s="2">
        <v>0.2</v>
      </c>
      <c r="AT519" s="9" t="str">
        <f>HYPERLINK(".\links\NR-LIGHT\AGAP002735-PA-NR-LIGHT.txt","AGAP002735-PA")</f>
        <v>AGAP002735-PA</v>
      </c>
      <c r="AU519" s="2" t="str">
        <f>HYPERLINK("http://www.ncbi.nlm.nih.gov/sutils/blink.cgi?pid=XP_001237443.3","0.0")</f>
        <v>0.0</v>
      </c>
      <c r="AV519" s="2" t="str">
        <f>HYPERLINK("http://www.ncbi.nlm.nih.gov/protein/XP_001237443.3","XP_001237443.3")</f>
        <v>XP_001237443.3</v>
      </c>
      <c r="AW519" s="2">
        <v>100</v>
      </c>
      <c r="AX519" s="2">
        <v>100</v>
      </c>
      <c r="AY519" s="2">
        <v>100</v>
      </c>
      <c r="AZ519" s="2" t="s">
        <v>105</v>
      </c>
      <c r="BA519" s="9" t="str">
        <f>HYPERLINK(".\links\REFSEQ-INVERTEBRATE\AGAP002735-PA-REFSEQ-INVERTEBRATE.txt","AGAP002735-PA")</f>
        <v>AGAP002735-PA</v>
      </c>
      <c r="BB519" s="2" t="str">
        <f>HYPERLINK("http://www.ncbi.nlm.nih.gov/sutils/blink.cgi?pid=XP_001237443.3","0.0")</f>
        <v>0.0</v>
      </c>
      <c r="BC519" s="2" t="str">
        <f>HYPERLINK("http://www.ncbi.nlm.nih.gov/protein/XP_001237443.3","XP_001237443.3")</f>
        <v>XP_001237443.3</v>
      </c>
      <c r="BD519" s="2">
        <v>100</v>
      </c>
      <c r="BE519" s="2">
        <v>100</v>
      </c>
      <c r="BF519" s="2">
        <v>100</v>
      </c>
      <c r="BG519" s="2" t="s">
        <v>105</v>
      </c>
      <c r="BH519" s="9" t="str">
        <f>HYPERLINK(".\links\REFSEQ-PROTOZOA\AGAP002735-PA-REFSEQ-PROTOZOA.txt","MYST histone acetyltransferase 2")</f>
        <v>MYST histone acetyltransferase 2</v>
      </c>
      <c r="BI519" s="2" t="str">
        <f>HYPERLINK("http://www.ncbi.nlm.nih.gov/sutils/blink.cgi?pid=XP_004349346.2","1E-101")</f>
        <v>1E-101</v>
      </c>
      <c r="BJ519" s="2" t="str">
        <f>HYPERLINK("http://www.ncbi.nlm.nih.gov/protein/XP_004349346.2","XP_004349346.2")</f>
        <v>XP_004349346.2</v>
      </c>
      <c r="BK519" s="2">
        <v>38</v>
      </c>
      <c r="BL519" s="2">
        <v>51</v>
      </c>
      <c r="BM519" s="2">
        <v>96</v>
      </c>
      <c r="BN519" s="2" t="s">
        <v>106</v>
      </c>
      <c r="BO519" s="9" t="str">
        <f>HYPERLINK(".\links\SWISSP\AGAP002735-PA-SWISSP.txt","Histone acetyltransferase KAT6B")</f>
        <v>Histone acetyltransferase KAT6B</v>
      </c>
      <c r="BP519" s="2" t="str">
        <f>HYPERLINK("http://www.uniprot.org/uniprot/Q8WML3","1E-138")</f>
        <v>1E-138</v>
      </c>
      <c r="BQ519" s="2" t="str">
        <f>HYPERLINK("http://www.uniprot.org/uniprot/Q8WML3#expression","Q8WML3")</f>
        <v>Q8WML3</v>
      </c>
      <c r="BR519" s="2">
        <v>36</v>
      </c>
      <c r="BS519" s="2">
        <v>48</v>
      </c>
      <c r="BT519" s="2">
        <v>51</v>
      </c>
      <c r="BU519" s="2" t="s">
        <v>683</v>
      </c>
      <c r="BV519" s="9" t="str">
        <f>HYPERLINK(".\links\FLYBASE\AGAP002735-PA-FLYBASE.txt","FBpp0309997")</f>
        <v>FBpp0309997</v>
      </c>
      <c r="BW519" s="2" t="str">
        <f>HYPERLINK("http://flybase.org/reports/FBgn0034975#alliance_summary_container","1E-132")</f>
        <v>1E-132</v>
      </c>
      <c r="BX519" s="2">
        <v>2291</v>
      </c>
      <c r="BY519" s="2">
        <v>53</v>
      </c>
      <c r="BZ519" s="2">
        <v>64</v>
      </c>
      <c r="CA519" s="2">
        <v>18</v>
      </c>
      <c r="CB519" s="9" t="str">
        <f>HYPERLINK(".\links\CDD\AGAP002735-PA-CDD.txt","PLN00104, MYST -like histone acetyltransferase")</f>
        <v>PLN00104, MYST -like histone acetyltransferase</v>
      </c>
      <c r="CC519" s="15">
        <v>1E-108</v>
      </c>
      <c r="CD519" s="2">
        <v>66.2</v>
      </c>
      <c r="CE519" s="2" t="s">
        <v>5400</v>
      </c>
      <c r="CF519" s="2" t="s">
        <v>5401</v>
      </c>
      <c r="CG519" s="9" t="str">
        <f>HYPERLINK(".\links\KOG\AGAP002735-PA-KOG.txt","Histone acetyltransferase (MYST family)")</f>
        <v>Histone acetyltransferase (MYST family)</v>
      </c>
      <c r="CH519" s="15">
        <v>1.0000000000000001E-122</v>
      </c>
      <c r="CI519" s="2">
        <v>75</v>
      </c>
      <c r="CJ519" s="2" t="s">
        <v>5402</v>
      </c>
      <c r="CK519" s="2" t="s">
        <v>398</v>
      </c>
      <c r="CL519" s="9" t="str">
        <f>HYPERLINK(".\links\PFAM\AGAP002735-PA-PFAM.txt","MOZ_SAS, MOZ/SAS family")</f>
        <v>MOZ_SAS, MOZ/SAS family</v>
      </c>
      <c r="CM519" s="15">
        <v>9.9999999999999997E-106</v>
      </c>
      <c r="CN519" s="2">
        <v>107.3</v>
      </c>
      <c r="CO519" s="2" t="s">
        <v>5403</v>
      </c>
      <c r="CP519" s="9" t="str">
        <f>HYPERLINK(".\links\SMART\AGAP002735-PA-SMART.txt","Amelogenin, Amelogenins, cell adhesion proteins, play a role in the biomineralisation of teeth")</f>
        <v>Amelogenin, Amelogenins, cell adhesion proteins, play a role in the biomineralisation of teeth</v>
      </c>
      <c r="CQ519" s="15">
        <v>5.9999999999999997E-7</v>
      </c>
      <c r="CR519" s="2">
        <v>59.4</v>
      </c>
      <c r="CS519" s="2" t="s">
        <v>311</v>
      </c>
      <c r="CT519" s="2" t="s">
        <v>5398</v>
      </c>
      <c r="CU519" s="2" t="s">
        <v>5398</v>
      </c>
      <c r="CV519" s="2" t="s">
        <v>5398</v>
      </c>
      <c r="CW519" s="2" t="str">
        <f>HYPERLINK(".\links\pep\AGAP002735-PA-pep.txt","AGAP002735-PA")</f>
        <v>AGAP002735-PA</v>
      </c>
      <c r="CX519" s="2" t="s">
        <v>95</v>
      </c>
      <c r="CY519" s="2">
        <v>3260</v>
      </c>
      <c r="CZ519" s="2" t="s">
        <v>113</v>
      </c>
      <c r="DA519" s="2" t="s">
        <v>5404</v>
      </c>
      <c r="DB519" s="2">
        <v>0</v>
      </c>
      <c r="DC519" s="2">
        <v>7</v>
      </c>
      <c r="DD519" s="2" t="str">
        <f>HYPERLINK("https://www.kegg.jp/kegg-bin/search_pathway_text?map=aga&amp;keyword=AGAP002735&amp;mode=1&amp;viewImage=true","AGAP002735")</f>
        <v>AGAP002735</v>
      </c>
      <c r="DE519" s="2" t="s">
        <v>5394</v>
      </c>
      <c r="DF519" s="2" t="s">
        <v>5395</v>
      </c>
      <c r="DG519" s="2" t="s">
        <v>94</v>
      </c>
      <c r="DH519" s="2" t="str">
        <f>HYPERLINK("https://vectorbase.org/vectorbase/app/record/gene/AGAP002735","AGAP002735-RA")</f>
        <v>AGAP002735-RA</v>
      </c>
      <c r="DI519" s="2" t="s">
        <v>115</v>
      </c>
      <c r="DJ519" s="2">
        <v>12905</v>
      </c>
      <c r="DK519" s="2" t="str">
        <f>HYPERLINK(".\links\netoglyc\AGAP002735-PA-netoglyc.txt","20")</f>
        <v>20</v>
      </c>
      <c r="DL519" s="2">
        <v>18.2</v>
      </c>
      <c r="DM519" s="2">
        <v>9</v>
      </c>
      <c r="DN519" s="2">
        <v>7</v>
      </c>
      <c r="DO519" s="2">
        <v>0.2</v>
      </c>
      <c r="DP519" s="2" t="s">
        <v>5405</v>
      </c>
      <c r="DQ519" s="2" t="str">
        <f>HYPERLINK(".\links\Sigp\AGAP002735-PA-SigP.txt","CYT")</f>
        <v>CYT</v>
      </c>
      <c r="DR519" s="2" t="s">
        <v>102</v>
      </c>
      <c r="DS519" s="2">
        <v>344.99900000000002</v>
      </c>
      <c r="DT519" s="2">
        <v>9.02</v>
      </c>
      <c r="DU519" s="2" t="s">
        <v>102</v>
      </c>
      <c r="DV519" s="2" t="s">
        <v>102</v>
      </c>
      <c r="DW519" s="2" t="s">
        <v>611</v>
      </c>
      <c r="DX519" s="2">
        <v>3260</v>
      </c>
      <c r="DY519" s="12">
        <v>0</v>
      </c>
      <c r="DZ519" s="2" t="s">
        <v>102</v>
      </c>
      <c r="EA519" s="2" t="s">
        <v>102</v>
      </c>
      <c r="EB519" s="2" t="s">
        <v>102</v>
      </c>
      <c r="EC519" s="2" t="str">
        <f>HYPERLINK(".\links\gpi\AGAP002735-PA-gpi.txt","Y-NoSP")</f>
        <v>Y-NoSP</v>
      </c>
      <c r="ED519" s="2">
        <v>0.36</v>
      </c>
      <c r="EF519" s="2">
        <v>44</v>
      </c>
      <c r="EG519" s="2" t="str">
        <f>HYPERLINK(".\links\pep\AGAP002735-PA-sulf.txt","2")</f>
        <v>2</v>
      </c>
      <c r="EH519" s="2" t="s">
        <v>102</v>
      </c>
      <c r="EI519" s="2">
        <v>18.159509202454</v>
      </c>
      <c r="EJ519" s="2">
        <v>6.9938650306748498</v>
      </c>
      <c r="EK519" s="2">
        <v>9.0490797546012303</v>
      </c>
      <c r="EL519" s="2">
        <v>16.042944785276099</v>
      </c>
      <c r="EM519" s="2">
        <v>8</v>
      </c>
      <c r="EN519" s="2">
        <v>14</v>
      </c>
      <c r="EO519" s="2">
        <v>24</v>
      </c>
      <c r="EP519" s="2" t="s">
        <v>102</v>
      </c>
      <c r="EQ519" s="2" t="s">
        <v>102</v>
      </c>
      <c r="ER519" s="2" t="s">
        <v>102</v>
      </c>
      <c r="ES519" s="2" t="s">
        <v>102</v>
      </c>
      <c r="ET519" s="2" t="str">
        <f>HYPERLINK(".\links\REFSEQ-INVERTEBRATE\AGAP002735-PA-REFSEQ-INVERTEBRATE.txt","AGAP002735-PA")</f>
        <v>AGAP002735-PA</v>
      </c>
      <c r="EU519" s="2" t="str">
        <f>HYPERLINK("http://www.ncbi.nlm.nih.gov/sutils/blink.cgi?pid=XP_001237443.3","0.0")</f>
        <v>0.0</v>
      </c>
      <c r="EV519" s="2" t="str">
        <f>HYPERLINK("http://www.ncbi.nlm.nih.gov/protein/XP_001237443.3","XP_001237443.3")</f>
        <v>XP_001237443.3</v>
      </c>
      <c r="EW519" s="2">
        <v>100</v>
      </c>
      <c r="EX519" s="2">
        <v>100</v>
      </c>
      <c r="EY519" s="2">
        <v>100</v>
      </c>
      <c r="EZ519" s="2" t="s">
        <v>105</v>
      </c>
    </row>
    <row r="520" spans="1:156" x14ac:dyDescent="0.25">
      <c r="A520" s="2" t="s">
        <v>5406</v>
      </c>
      <c r="B520" s="2">
        <v>-0.48576983851536798</v>
      </c>
      <c r="C520" s="2">
        <f t="shared" si="8"/>
        <v>0.71411590779661704</v>
      </c>
      <c r="D520" s="2">
        <v>8.2795785782062197</v>
      </c>
      <c r="E520" s="2">
        <v>12.6433357750341</v>
      </c>
      <c r="F520" s="2">
        <v>3.7690684445555901E-4</v>
      </c>
      <c r="G520" s="2">
        <v>2.1768426261281001E-2</v>
      </c>
      <c r="H520" s="2" t="s">
        <v>5407</v>
      </c>
      <c r="I520" s="2" t="s">
        <v>94</v>
      </c>
      <c r="J520" s="2" t="str">
        <f>HYPERLINK("https://vectorbase.org/vectorbase/app/record/gene/AGAP008482","AGAP008482-RB")</f>
        <v>AGAP008482-RB</v>
      </c>
      <c r="K520" s="2" t="str">
        <f>HYPERLINK(".\links\pep\AGAP008482-PB-pep.txt","AGAP008482-PB")</f>
        <v>AGAP008482-PB</v>
      </c>
      <c r="L520" s="12" t="s">
        <v>95</v>
      </c>
      <c r="M520" s="2">
        <v>6876</v>
      </c>
      <c r="N520" s="2">
        <v>0</v>
      </c>
      <c r="O520" s="2">
        <v>19</v>
      </c>
      <c r="P520" s="2" t="s">
        <v>5408</v>
      </c>
      <c r="Q520" s="9" t="s">
        <v>5409</v>
      </c>
      <c r="R520" s="2" t="s">
        <v>388</v>
      </c>
      <c r="S520" s="2" t="str">
        <f>HYPERLINK(".\links\KOG\AGAP008482-PB-KOG.txt","KOG")</f>
        <v>KOG</v>
      </c>
      <c r="T520" s="2">
        <v>0</v>
      </c>
      <c r="U520" s="2">
        <v>100.9</v>
      </c>
      <c r="V520" s="2" t="s">
        <v>5410</v>
      </c>
      <c r="W520" s="10" t="s">
        <v>5411</v>
      </c>
      <c r="X520" s="2" t="s">
        <v>420</v>
      </c>
      <c r="Y520" s="2" t="str">
        <f>HYPERLINK(".\links\COG\AGAP008482-PB-COG.txt","COG")</f>
        <v>COG</v>
      </c>
      <c r="Z520" s="15">
        <v>2.9999999999999999E-78</v>
      </c>
      <c r="AA520" s="2">
        <v>63.3</v>
      </c>
      <c r="AB520" s="13" t="str">
        <f>HYPERLINK(".\links\pep\AGAP008482-PB-sulf.txt","5")</f>
        <v>5</v>
      </c>
      <c r="AC520" s="13" t="s">
        <v>5412</v>
      </c>
      <c r="AD520" s="2" t="s">
        <v>102</v>
      </c>
      <c r="AE520" s="2">
        <v>726.35599999999999</v>
      </c>
      <c r="AF520" s="2">
        <v>5.38</v>
      </c>
      <c r="AG520" s="2" t="s">
        <v>102</v>
      </c>
      <c r="AH520" s="2" t="s">
        <v>102</v>
      </c>
      <c r="AI520" s="2" t="s">
        <v>5413</v>
      </c>
      <c r="AJ520" s="13">
        <v>0</v>
      </c>
      <c r="AK520" s="2" t="s">
        <v>102</v>
      </c>
      <c r="AL520" s="2" t="s">
        <v>102</v>
      </c>
      <c r="AM520" s="2" t="s">
        <v>102</v>
      </c>
      <c r="AN520" s="13" t="str">
        <f>HYPERLINK(".\links\gpi\AGAP008482-PB-gpi.txt","N")</f>
        <v>N</v>
      </c>
      <c r="AO520" s="14" t="str">
        <f>HYPERLINK(".\links\netoglyc\AGAP008482-PB-netoglyc.txt","33")</f>
        <v>33</v>
      </c>
      <c r="AP520" s="13">
        <v>16.5</v>
      </c>
      <c r="AQ520" s="2">
        <v>8.8000000000000007</v>
      </c>
      <c r="AR520" s="2">
        <v>7</v>
      </c>
      <c r="AS520" s="2">
        <v>0.2</v>
      </c>
      <c r="AT520" s="9" t="str">
        <f>HYPERLINK(".\links\NR-LIGHT\AGAP008482-PB-NR-LIGHT.txt","hypothetical protein AND_010332")</f>
        <v>hypothetical protein AND_010332</v>
      </c>
      <c r="AU520" s="2" t="str">
        <f>HYPERLINK("http://www.ncbi.nlm.nih.gov/sutils/blink.cgi?pid=ETN58080.1","0.0")</f>
        <v>0.0</v>
      </c>
      <c r="AV520" s="2" t="str">
        <f>HYPERLINK("http://www.ncbi.nlm.nih.gov/protein/ETN58080.1","ETN58080.1")</f>
        <v>ETN58080.1</v>
      </c>
      <c r="AW520" s="2">
        <v>64</v>
      </c>
      <c r="AX520" s="2">
        <v>71</v>
      </c>
      <c r="AY520" s="2">
        <v>106</v>
      </c>
      <c r="AZ520" s="2" t="s">
        <v>360</v>
      </c>
      <c r="BA520" s="9" t="str">
        <f>HYPERLINK(".\links\REFSEQ-INVERTEBRATE\AGAP008482-PB-REFSEQ-INVERTEBRATE.txt","AGAP008482-PA, partial")</f>
        <v>AGAP008482-PA, partial</v>
      </c>
      <c r="BB520" s="2" t="str">
        <f>HYPERLINK("http://www.ncbi.nlm.nih.gov/sutils/blink.cgi?pid=XP_316961.4","0.0")</f>
        <v>0.0</v>
      </c>
      <c r="BC520" s="2" t="str">
        <f>HYPERLINK("http://www.ncbi.nlm.nih.gov/protein/XP_316961.4","XP_316961.4")</f>
        <v>XP_316961.4</v>
      </c>
      <c r="BD520" s="2">
        <v>48</v>
      </c>
      <c r="BE520" s="2">
        <v>55</v>
      </c>
      <c r="BF520" s="2">
        <v>113</v>
      </c>
      <c r="BG520" s="2" t="s">
        <v>105</v>
      </c>
      <c r="BH520" s="9" t="str">
        <f>HYPERLINK(".\links\REFSEQ-PROTOZOA\AGAP008482-PB-REFSEQ-PROTOZOA.txt","myb domain-containing protein")</f>
        <v>myb domain-containing protein</v>
      </c>
      <c r="BI520" s="2" t="str">
        <f>HYPERLINK("http://www.ncbi.nlm.nih.gov/sutils/blink.cgi?pid=XP_641133.1","0.0")</f>
        <v>0.0</v>
      </c>
      <c r="BJ520" s="2" t="str">
        <f>HYPERLINK("http://www.ncbi.nlm.nih.gov/protein/XP_641133.1","XP_641133.1")</f>
        <v>XP_641133.1</v>
      </c>
      <c r="BK520" s="2">
        <v>36</v>
      </c>
      <c r="BL520" s="2">
        <v>51</v>
      </c>
      <c r="BM520" s="2">
        <v>67</v>
      </c>
      <c r="BN520" s="2" t="s">
        <v>612</v>
      </c>
      <c r="BO520" s="9" t="str">
        <f>HYPERLINK(".\links\SWISSP\AGAP008482-PB-SWISSP.txt","Chromodomain-helicase-DNA-binding protein 7")</f>
        <v>Chromodomain-helicase-DNA-binding protein 7</v>
      </c>
      <c r="BP520" s="2" t="str">
        <f>HYPERLINK("http://www.uniprot.org/uniprot/Q9P2D1","0.0")</f>
        <v>0.0</v>
      </c>
      <c r="BQ520" s="2" t="str">
        <f>HYPERLINK("http://www.uniprot.org/uniprot/Q9P2D1#expression","Q9P2D1")</f>
        <v>Q9P2D1</v>
      </c>
      <c r="BR520" s="2">
        <v>50</v>
      </c>
      <c r="BS520" s="2">
        <v>66</v>
      </c>
      <c r="BT520" s="2">
        <v>42</v>
      </c>
      <c r="BU520" s="2" t="s">
        <v>127</v>
      </c>
      <c r="BV520" s="9" t="str">
        <f>HYPERLINK(".\links\FLYBASE\AGAP008482-PB-FLYBASE.txt","FBpp0077803")</f>
        <v>FBpp0077803</v>
      </c>
      <c r="BW520" s="2" t="str">
        <f>HYPERLINK("http://flybase.org/reports/FBgn0266557#alliance_summary_container","0.0")</f>
        <v>0.0</v>
      </c>
      <c r="BX520" s="2">
        <v>5322</v>
      </c>
      <c r="BY520" s="2">
        <v>58</v>
      </c>
      <c r="BZ520" s="2">
        <v>69</v>
      </c>
      <c r="CA520" s="2">
        <v>36</v>
      </c>
      <c r="CB520" s="9" t="str">
        <f>HYPERLINK(".\links\CDD\AGAP008482-PB-CDD.txt","PLN03142, Probable chromatin-remodeling complex ATPase chain")</f>
        <v>PLN03142, Probable chromatin-remodeling complex ATPase chain</v>
      </c>
      <c r="CC520" s="15">
        <v>1E-141</v>
      </c>
      <c r="CD520" s="2">
        <v>55</v>
      </c>
      <c r="CE520" s="2" t="s">
        <v>3349</v>
      </c>
      <c r="CF520" s="2" t="s">
        <v>5414</v>
      </c>
      <c r="CG520" s="9" t="str">
        <f>HYPERLINK(".\links\KOG\AGAP008482-PB-KOG.txt","Chromodomain-helicase DNA-binding protein")</f>
        <v>Chromodomain-helicase DNA-binding protein</v>
      </c>
      <c r="CH520" s="15">
        <v>0</v>
      </c>
      <c r="CI520" s="2">
        <v>85.3</v>
      </c>
      <c r="CJ520" s="2" t="s">
        <v>5415</v>
      </c>
      <c r="CK520" s="2" t="s">
        <v>309</v>
      </c>
      <c r="CL520" s="9" t="str">
        <f>HYPERLINK(".\links\PFAM\AGAP008482-PB-PFAM.txt","SNF2_N, SNF2 family N-terminal domain")</f>
        <v>SNF2_N, SNF2 family N-terminal domain</v>
      </c>
      <c r="CM520" s="15">
        <v>1.9999999999999999E-80</v>
      </c>
      <c r="CN520" s="2">
        <v>102.6</v>
      </c>
      <c r="CO520" s="2" t="s">
        <v>3351</v>
      </c>
      <c r="CP520" s="9" t="str">
        <f>HYPERLINK(".\links\SMART\AGAP008482-PB-SMART.txt","DEXDc, DEAD-like helicases superfamily")</f>
        <v>DEXDc, DEAD-like helicases superfamily</v>
      </c>
      <c r="CQ520" s="15">
        <v>5.0000000000000002E-27</v>
      </c>
      <c r="CR520" s="2">
        <v>101.5</v>
      </c>
      <c r="CS520" s="2" t="s">
        <v>429</v>
      </c>
      <c r="CT520" s="2" t="s">
        <v>5410</v>
      </c>
      <c r="CU520" s="2" t="s">
        <v>5410</v>
      </c>
      <c r="CV520" s="2" t="s">
        <v>5410</v>
      </c>
      <c r="CW520" s="2" t="str">
        <f>HYPERLINK(".\links\pep\AGAP008482-PB-pep.txt","AGAP008482-PB")</f>
        <v>AGAP008482-PB</v>
      </c>
      <c r="CX520" s="2" t="s">
        <v>95</v>
      </c>
      <c r="CY520" s="2">
        <v>6876</v>
      </c>
      <c r="CZ520" s="2" t="s">
        <v>113</v>
      </c>
      <c r="DA520" s="2" t="s">
        <v>5416</v>
      </c>
      <c r="DB520" s="2">
        <v>0</v>
      </c>
      <c r="DC520" s="2">
        <v>19</v>
      </c>
      <c r="DD520" s="2" t="str">
        <f>HYPERLINK("https://www.kegg.jp/kegg-bin/search_pathway_text?map=aga&amp;keyword=AGAP008482&amp;mode=1&amp;viewImage=true","AGAP008482")</f>
        <v>AGAP008482</v>
      </c>
      <c r="DE520" s="2" t="s">
        <v>5406</v>
      </c>
      <c r="DF520" s="2" t="s">
        <v>5407</v>
      </c>
      <c r="DG520" s="2" t="s">
        <v>94</v>
      </c>
      <c r="DH520" s="2" t="str">
        <f>HYPERLINK("https://vectorbase.org/vectorbase/app/record/gene/AGAP008482","AGAP008482-RB")</f>
        <v>AGAP008482-RB</v>
      </c>
      <c r="DI520" s="2" t="s">
        <v>135</v>
      </c>
      <c r="DJ520" s="2">
        <v>23872</v>
      </c>
      <c r="DK520" s="2" t="str">
        <f>HYPERLINK(".\links\netoglyc\AGAP008482-PB-netoglyc.txt","33")</f>
        <v>33</v>
      </c>
      <c r="DL520" s="2">
        <v>16.5</v>
      </c>
      <c r="DM520" s="2">
        <v>8.8000000000000007</v>
      </c>
      <c r="DN520" s="2">
        <v>7</v>
      </c>
      <c r="DO520" s="2">
        <v>0.2</v>
      </c>
      <c r="DP520" s="2" t="s">
        <v>102</v>
      </c>
      <c r="DQ520" s="2" t="s">
        <v>5412</v>
      </c>
      <c r="DR520" s="2" t="s">
        <v>102</v>
      </c>
      <c r="DS520" s="2">
        <v>726.35599999999999</v>
      </c>
      <c r="DT520" s="2">
        <v>5.38</v>
      </c>
      <c r="DU520" s="2" t="s">
        <v>102</v>
      </c>
      <c r="DV520" s="2" t="s">
        <v>102</v>
      </c>
      <c r="DW520" s="2" t="s">
        <v>5413</v>
      </c>
      <c r="DX520" s="2">
        <v>6876</v>
      </c>
      <c r="DY520" s="12">
        <v>0</v>
      </c>
      <c r="DZ520" s="2" t="s">
        <v>102</v>
      </c>
      <c r="EA520" s="2" t="s">
        <v>102</v>
      </c>
      <c r="EB520" s="2" t="s">
        <v>102</v>
      </c>
      <c r="EC520" s="2" t="str">
        <f>HYPERLINK(".\links\gpi\AGAP008482-PB-gpi.txt","N")</f>
        <v>N</v>
      </c>
      <c r="ED520" s="2">
        <v>0.33</v>
      </c>
      <c r="EF520" s="2">
        <v>34</v>
      </c>
      <c r="EG520" s="2" t="str">
        <f>HYPERLINK(".\links\pep\AGAP008482-PB-sulf.txt","5")</f>
        <v>5</v>
      </c>
      <c r="EH520" s="2" t="s">
        <v>102</v>
      </c>
      <c r="EI520" s="2">
        <v>16.506689936009298</v>
      </c>
      <c r="EJ520" s="2">
        <v>6.9808027923211204</v>
      </c>
      <c r="EK520" s="2">
        <v>8.8132635253054108</v>
      </c>
      <c r="EL520" s="2">
        <v>15.7940663176265</v>
      </c>
      <c r="EM520" s="2">
        <v>13</v>
      </c>
      <c r="EN520" s="2">
        <v>21</v>
      </c>
      <c r="EO520" s="2">
        <v>23</v>
      </c>
      <c r="EP520" s="2" t="s">
        <v>102</v>
      </c>
      <c r="EQ520" s="2" t="s">
        <v>102</v>
      </c>
      <c r="ER520" s="2" t="s">
        <v>102</v>
      </c>
      <c r="ES520" s="2" t="s">
        <v>102</v>
      </c>
      <c r="ET520" s="2" t="str">
        <f>HYPERLINK(".\links\REFSEQ-INVERTEBRATE\AGAP008482-PB-REFSEQ-INVERTEBRATE.txt","uncharacterized protein LOC118513467 isoform X2")</f>
        <v>uncharacterized protein LOC118513467 isoform X2</v>
      </c>
      <c r="EU520" s="2" t="str">
        <f>HYPERLINK("http://www.ncbi.nlm.nih.gov/sutils/blink.cgi?pid=XP_035915146.1","0.0")</f>
        <v>0.0</v>
      </c>
      <c r="EV520" s="2" t="str">
        <f>HYPERLINK("http://www.ncbi.nlm.nih.gov/protein/XP_035915146.1","XP_035915146.1")</f>
        <v>XP_035915146.1</v>
      </c>
      <c r="EW520" s="2">
        <v>77</v>
      </c>
      <c r="EX520" s="2">
        <v>81</v>
      </c>
      <c r="EY520" s="2">
        <v>78</v>
      </c>
      <c r="EZ520" s="2" t="s">
        <v>370</v>
      </c>
    </row>
    <row r="521" spans="1:156" x14ac:dyDescent="0.25">
      <c r="A521" s="2" t="s">
        <v>5417</v>
      </c>
      <c r="B521" s="2">
        <v>-0.486017859011592</v>
      </c>
      <c r="C521" s="2">
        <f t="shared" si="8"/>
        <v>0.71399315132120345</v>
      </c>
      <c r="D521" s="2">
        <v>6.96877046692991</v>
      </c>
      <c r="E521" s="2">
        <v>11.716173169088799</v>
      </c>
      <c r="F521" s="2">
        <v>6.1959237750905502E-4</v>
      </c>
      <c r="G521" s="2">
        <v>2.77845500904421E-2</v>
      </c>
      <c r="H521" s="2" t="s">
        <v>93</v>
      </c>
      <c r="I521" s="2" t="s">
        <v>94</v>
      </c>
      <c r="J521" s="2" t="str">
        <f>HYPERLINK("https://vectorbase.org/vectorbase/app/record/gene/AGAP005765","AGAP005765-RA")</f>
        <v>AGAP005765-RA</v>
      </c>
      <c r="K521" s="2" t="str">
        <f>HYPERLINK(".\links\pep\AGAP005765-PA-pep.txt","AGAP005765-PA")</f>
        <v>AGAP005765-PA</v>
      </c>
      <c r="L521" s="12" t="s">
        <v>95</v>
      </c>
      <c r="M521" s="2">
        <v>2331</v>
      </c>
      <c r="N521" s="2">
        <v>0</v>
      </c>
      <c r="O521" s="2">
        <v>0</v>
      </c>
      <c r="P521" s="2" t="s">
        <v>102</v>
      </c>
      <c r="Q521" s="9" t="s">
        <v>5418</v>
      </c>
      <c r="R521" s="2" t="s">
        <v>355</v>
      </c>
      <c r="S521" s="2" t="str">
        <f>HYPERLINK(".\links\KOG\AGAP005765-PA-KOG.txt","KOG")</f>
        <v>KOG</v>
      </c>
      <c r="T521" s="2">
        <v>1E-10</v>
      </c>
      <c r="U521" s="2">
        <v>29</v>
      </c>
      <c r="V521" s="2" t="s">
        <v>5419</v>
      </c>
      <c r="W521" s="10" t="s">
        <v>5420</v>
      </c>
      <c r="X521" s="2" t="s">
        <v>420</v>
      </c>
      <c r="Y521" s="2" t="str">
        <f>HYPERLINK(".\links\CDD\AGAP005765-PA-CDD.txt","CDD")</f>
        <v>CDD</v>
      </c>
      <c r="Z521" s="15">
        <v>1.9999999999999999E-34</v>
      </c>
      <c r="AA521" s="2">
        <v>98.3</v>
      </c>
      <c r="AB521" s="13" t="str">
        <f>HYPERLINK(".\links\pep\AGAP005765-PA-sulf.txt","4")</f>
        <v>4</v>
      </c>
      <c r="AC521" s="13" t="str">
        <f>HYPERLINK(".\links\Sigp\AGAP005765-PA-SigP.txt","CYT")</f>
        <v>CYT</v>
      </c>
      <c r="AD521" s="2" t="s">
        <v>102</v>
      </c>
      <c r="AE521" s="2">
        <v>249.684</v>
      </c>
      <c r="AF521" s="2">
        <v>6.28</v>
      </c>
      <c r="AG521" s="2" t="s">
        <v>102</v>
      </c>
      <c r="AH521" s="2" t="s">
        <v>102</v>
      </c>
      <c r="AI521" s="2" t="s">
        <v>211</v>
      </c>
      <c r="AJ521" s="13">
        <v>0</v>
      </c>
      <c r="AK521" s="2" t="s">
        <v>102</v>
      </c>
      <c r="AL521" s="2" t="s">
        <v>102</v>
      </c>
      <c r="AM521" s="2" t="s">
        <v>102</v>
      </c>
      <c r="AN521" s="13" t="str">
        <f>HYPERLINK(".\links\gpi\AGAP005765-PA-gpi.txt","N")</f>
        <v>N</v>
      </c>
      <c r="AO521" s="14" t="str">
        <f>HYPERLINK(".\links\netoglyc\AGAP005765-PA-netoglyc.txt","0")</f>
        <v>0</v>
      </c>
      <c r="AP521" s="13">
        <v>20.6</v>
      </c>
      <c r="AQ521" s="2">
        <v>7.2</v>
      </c>
      <c r="AR521" s="2">
        <v>5.0999999999999996</v>
      </c>
      <c r="AS521" s="2" t="s">
        <v>104</v>
      </c>
      <c r="AT521" s="9" t="str">
        <f>HYPERLINK(".\links\NR-LIGHT\AGAP005765-PA-NR-LIGHT.txt","AGAP005765-PA")</f>
        <v>AGAP005765-PA</v>
      </c>
      <c r="AU521" s="2" t="str">
        <f>HYPERLINK("http://www.ncbi.nlm.nih.gov/sutils/blink.cgi?pid=XP_315779.4","0.0")</f>
        <v>0.0</v>
      </c>
      <c r="AV521" s="2" t="str">
        <f>HYPERLINK("http://www.ncbi.nlm.nih.gov/protein/XP_315779.4","XP_315779.4")</f>
        <v>XP_315779.4</v>
      </c>
      <c r="AW521" s="2">
        <v>100</v>
      </c>
      <c r="AX521" s="2">
        <v>100</v>
      </c>
      <c r="AY521" s="2">
        <v>100</v>
      </c>
      <c r="AZ521" s="2" t="s">
        <v>105</v>
      </c>
      <c r="BA521" s="9" t="str">
        <f>HYPERLINK(".\links\REFSEQ-INVERTEBRATE\AGAP005765-PA-REFSEQ-INVERTEBRATE.txt","AGAP005765-PA")</f>
        <v>AGAP005765-PA</v>
      </c>
      <c r="BB521" s="2" t="str">
        <f>HYPERLINK("http://www.ncbi.nlm.nih.gov/sutils/blink.cgi?pid=XP_315779.4","0.0")</f>
        <v>0.0</v>
      </c>
      <c r="BC521" s="2" t="str">
        <f>HYPERLINK("http://www.ncbi.nlm.nih.gov/protein/XP_315779.4","XP_315779.4")</f>
        <v>XP_315779.4</v>
      </c>
      <c r="BD521" s="2">
        <v>100</v>
      </c>
      <c r="BE521" s="2">
        <v>100</v>
      </c>
      <c r="BF521" s="2">
        <v>100</v>
      </c>
      <c r="BG521" s="2" t="s">
        <v>105</v>
      </c>
      <c r="BH521" s="9" t="str">
        <f>HYPERLINK(".\links\REFSEQ-PROTOZOA\AGAP005765-PA-REFSEQ-PROTOZOA.txt","proteophosphoglycan 5")</f>
        <v>proteophosphoglycan 5</v>
      </c>
      <c r="BI521" s="2" t="str">
        <f>HYPERLINK("http://www.ncbi.nlm.nih.gov/sutils/blink.cgi?pid=XP_003722449.1","1E-027")</f>
        <v>1E-027</v>
      </c>
      <c r="BJ521" s="2" t="str">
        <f>HYPERLINK("http://www.ncbi.nlm.nih.gov/protein/XP_003722449.1","XP_003722449.1")</f>
        <v>XP_003722449.1</v>
      </c>
      <c r="BK521" s="2">
        <v>18</v>
      </c>
      <c r="BL521" s="2">
        <v>33</v>
      </c>
      <c r="BM521" s="2">
        <v>8</v>
      </c>
      <c r="BN521" s="2" t="s">
        <v>3969</v>
      </c>
      <c r="BO521" s="9" t="str">
        <f>HYPERLINK(".\links\SWISSP\AGAP005765-PA-SWISSP.txt","BTB/POZ domain-containing protein 8")</f>
        <v>BTB/POZ domain-containing protein 8</v>
      </c>
      <c r="BP521" s="2" t="str">
        <f>HYPERLINK("http://www.uniprot.org/uniprot/Q5XKL5","7E-033")</f>
        <v>7E-033</v>
      </c>
      <c r="BQ521" s="2" t="str">
        <f>HYPERLINK("http://www.uniprot.org/uniprot/Q5XKL5#expression","Q5XKL5")</f>
        <v>Q5XKL5</v>
      </c>
      <c r="BR521" s="2">
        <v>32</v>
      </c>
      <c r="BS521" s="2">
        <v>61</v>
      </c>
      <c r="BT521" s="2">
        <v>49</v>
      </c>
      <c r="BU521" s="2" t="s">
        <v>127</v>
      </c>
      <c r="BV521" s="9" t="str">
        <f>HYPERLINK(".\links\FLYBASE\AGAP005765-PA-FLYBASE.txt","FBpp0312460")</f>
        <v>FBpp0312460</v>
      </c>
      <c r="BW521" s="2" t="str">
        <f>HYPERLINK("http://flybase.org/reports/FBgn0035237#alliance_summary_container","0.0")</f>
        <v>0.0</v>
      </c>
      <c r="BX521" s="2">
        <v>2019</v>
      </c>
      <c r="BY521" s="2">
        <v>38</v>
      </c>
      <c r="BZ521" s="2">
        <v>52</v>
      </c>
      <c r="CA521" s="2">
        <v>76</v>
      </c>
      <c r="CB521" s="9" t="str">
        <f>HYPERLINK(".\links\CDD\AGAP005765-PA-CDD.txt","BTB, Broad-Complex, Tramtrack and Bric a brac")</f>
        <v>BTB, Broad-Complex, Tramtrack and Bric a brac</v>
      </c>
      <c r="CC521" s="15">
        <v>6E-10</v>
      </c>
      <c r="CD521" s="2">
        <v>100</v>
      </c>
      <c r="CE521" s="2" t="s">
        <v>368</v>
      </c>
      <c r="CF521" s="2" t="s">
        <v>5421</v>
      </c>
      <c r="CG521" s="9" t="str">
        <f>HYPERLINK(".\links\KOG\AGAP005765-PA-KOG.txt","involved in regulatory/signal transduction processes")</f>
        <v>involved in regulatory/signal transduction processes</v>
      </c>
      <c r="CH521" s="15">
        <v>1E-10</v>
      </c>
      <c r="CI521" s="2">
        <v>29.6</v>
      </c>
      <c r="CJ521" s="2" t="s">
        <v>366</v>
      </c>
      <c r="CK521" s="2" t="s">
        <v>367</v>
      </c>
      <c r="CL521" s="9" t="str">
        <f>HYPERLINK(".\links\PFAM\AGAP005765-PA-PFAM.txt","BTB, BTB/POZ domain")</f>
        <v>BTB, BTB/POZ domain</v>
      </c>
      <c r="CM521" s="15">
        <v>1E-10</v>
      </c>
      <c r="CN521" s="2">
        <v>100.9</v>
      </c>
      <c r="CO521" s="2" t="s">
        <v>364</v>
      </c>
      <c r="CP521" s="9" t="str">
        <f>HYPERLINK(".\links\SMART\AGAP005765-PA-SMART.txt","predicts BTB/POZ domains without the beta1- and alpha1-secondary structures")</f>
        <v>predicts BTB/POZ domains without the beta1- and alpha1-secondary structures</v>
      </c>
      <c r="CQ521" s="15">
        <v>3.9999999999999999E-12</v>
      </c>
      <c r="CR521" s="2">
        <v>100</v>
      </c>
      <c r="CS521" s="2" t="s">
        <v>368</v>
      </c>
      <c r="CT521" s="2" t="s">
        <v>5419</v>
      </c>
      <c r="CU521" s="2" t="s">
        <v>5419</v>
      </c>
      <c r="CV521" s="2" t="s">
        <v>5419</v>
      </c>
      <c r="CW521" s="2" t="str">
        <f>HYPERLINK(".\links\pep\AGAP005765-PA-pep.txt","AGAP005765-PA")</f>
        <v>AGAP005765-PA</v>
      </c>
      <c r="CX521" s="2" t="s">
        <v>95</v>
      </c>
      <c r="CY521" s="2">
        <v>2331</v>
      </c>
      <c r="CZ521" s="2" t="s">
        <v>113</v>
      </c>
      <c r="DA521" s="2" t="s">
        <v>5422</v>
      </c>
      <c r="DB521" s="2">
        <v>0</v>
      </c>
      <c r="DC521" s="2">
        <v>0</v>
      </c>
      <c r="DD521" s="2" t="str">
        <f>HYPERLINK("https://www.kegg.jp/kegg-bin/search_pathway_text?map=aga&amp;keyword=AGAP005765&amp;mode=1&amp;viewImage=true","AGAP005765")</f>
        <v>AGAP005765</v>
      </c>
      <c r="DE521" s="2" t="s">
        <v>5417</v>
      </c>
      <c r="DF521" s="2" t="s">
        <v>93</v>
      </c>
      <c r="DG521" s="2" t="s">
        <v>94</v>
      </c>
      <c r="DH521" s="2" t="str">
        <f>HYPERLINK("https://vectorbase.org/vectorbase/app/record/gene/AGAP005765","AGAP005765-RA")</f>
        <v>AGAP005765-RA</v>
      </c>
      <c r="DI521" s="2" t="s">
        <v>135</v>
      </c>
      <c r="DJ521" s="2">
        <v>10963</v>
      </c>
      <c r="DK521" s="2" t="str">
        <f>HYPERLINK(".\links\netoglyc\AGAP005765-PA-netoglyc.txt","0")</f>
        <v>0</v>
      </c>
      <c r="DL521" s="2">
        <v>20.6</v>
      </c>
      <c r="DM521" s="2">
        <v>7.2</v>
      </c>
      <c r="DN521" s="2">
        <v>5.0999999999999996</v>
      </c>
      <c r="DO521" s="2" t="s">
        <v>104</v>
      </c>
      <c r="DP521" s="2" t="s">
        <v>5423</v>
      </c>
      <c r="DQ521" s="2" t="str">
        <f>HYPERLINK(".\links\Sigp\AGAP005765-PA-SigP.txt","CYT")</f>
        <v>CYT</v>
      </c>
      <c r="DR521" s="2" t="s">
        <v>102</v>
      </c>
      <c r="DS521" s="2">
        <v>249.684</v>
      </c>
      <c r="DT521" s="2">
        <v>6.28</v>
      </c>
      <c r="DU521" s="2" t="s">
        <v>102</v>
      </c>
      <c r="DV521" s="2" t="s">
        <v>102</v>
      </c>
      <c r="DW521" s="2" t="s">
        <v>211</v>
      </c>
      <c r="DX521" s="2">
        <v>2331</v>
      </c>
      <c r="DY521" s="12">
        <v>0</v>
      </c>
      <c r="DZ521" s="2" t="s">
        <v>102</v>
      </c>
      <c r="EA521" s="2" t="s">
        <v>102</v>
      </c>
      <c r="EB521" s="2" t="s">
        <v>102</v>
      </c>
      <c r="EC521" s="2" t="str">
        <f>HYPERLINK(".\links\gpi\AGAP005765-PA-gpi.txt","Y-NoSP")</f>
        <v>Y-NoSP</v>
      </c>
      <c r="ED521" s="2">
        <v>0.19</v>
      </c>
      <c r="EF521" s="2">
        <v>30</v>
      </c>
      <c r="EG521" s="2" t="str">
        <f>HYPERLINK(".\links\pep\AGAP005765-PA-sulf.txt","4")</f>
        <v>4</v>
      </c>
      <c r="EH521" s="2" t="s">
        <v>102</v>
      </c>
      <c r="EI521" s="2">
        <v>20.592020592020599</v>
      </c>
      <c r="EJ521" s="2">
        <v>5.1480051480051499</v>
      </c>
      <c r="EK521" s="2">
        <v>7.20720720720721</v>
      </c>
      <c r="EL521" s="2">
        <v>12.3552123552124</v>
      </c>
      <c r="EM521" s="2">
        <v>2</v>
      </c>
      <c r="EN521" s="2">
        <v>5</v>
      </c>
      <c r="EO521" s="2">
        <v>5</v>
      </c>
      <c r="EP521" s="2" t="s">
        <v>102</v>
      </c>
      <c r="EQ521" s="2" t="s">
        <v>102</v>
      </c>
      <c r="ER521" s="2" t="s">
        <v>102</v>
      </c>
      <c r="ES521" s="2" t="s">
        <v>102</v>
      </c>
      <c r="ET521" s="2" t="str">
        <f>HYPERLINK(".\links\REFSEQ-INVERTEBRATE\AGAP005765-PA-REFSEQ-INVERTEBRATE.txt","AGAP005765-PA")</f>
        <v>AGAP005765-PA</v>
      </c>
      <c r="EU521" s="2" t="str">
        <f>HYPERLINK("http://www.ncbi.nlm.nih.gov/sutils/blink.cgi?pid=XP_315779.4","0.0")</f>
        <v>0.0</v>
      </c>
      <c r="EV521" s="2" t="str">
        <f>HYPERLINK("http://www.ncbi.nlm.nih.gov/protein/XP_315779.4","XP_315779.4")</f>
        <v>XP_315779.4</v>
      </c>
      <c r="EW521" s="2">
        <v>100</v>
      </c>
      <c r="EX521" s="2">
        <v>100</v>
      </c>
      <c r="EY521" s="2">
        <v>100</v>
      </c>
      <c r="EZ521" s="2" t="s">
        <v>105</v>
      </c>
    </row>
    <row r="522" spans="1:156" x14ac:dyDescent="0.25">
      <c r="A522" s="2" t="s">
        <v>5424</v>
      </c>
      <c r="B522" s="2">
        <v>-0.493478873085403</v>
      </c>
      <c r="C522" s="2">
        <f t="shared" si="8"/>
        <v>0.71031020952306467</v>
      </c>
      <c r="D522" s="2">
        <v>5.6811169229673197</v>
      </c>
      <c r="E522" s="2">
        <v>13.103240968718801</v>
      </c>
      <c r="F522" s="2">
        <v>2.9478534147678998E-4</v>
      </c>
      <c r="G522" s="2">
        <v>1.92003530491149E-2</v>
      </c>
      <c r="H522" s="2" t="s">
        <v>5425</v>
      </c>
      <c r="I522" s="2" t="s">
        <v>94</v>
      </c>
      <c r="J522" s="2" t="str">
        <f>HYPERLINK("https://vectorbase.org/vectorbase/app/record/gene/AGAP010800","AGAP010800-RB")</f>
        <v>AGAP010800-RB</v>
      </c>
      <c r="K522" s="2" t="str">
        <f>HYPERLINK(".\links\pep\AGAP010800-PB-pep.txt","AGAP010800-PB")</f>
        <v>AGAP010800-PB</v>
      </c>
      <c r="L522" s="12" t="s">
        <v>95</v>
      </c>
      <c r="M522" s="2">
        <v>1018</v>
      </c>
      <c r="N522" s="2">
        <v>0</v>
      </c>
      <c r="O522" s="2">
        <v>1</v>
      </c>
      <c r="P522" s="2" t="s">
        <v>5426</v>
      </c>
      <c r="Q522" s="9" t="s">
        <v>5427</v>
      </c>
      <c r="R522" s="2" t="s">
        <v>196</v>
      </c>
      <c r="S522" s="2" t="str">
        <f>HYPERLINK(".\links\REFSEQ-INVERTEBRATE\AGAP010800-PB-REFSEQ-INVERTEBRATE.txt","REFSEQ-INVERTEBRATE")</f>
        <v>REFSEQ-INVERTEBRATE</v>
      </c>
      <c r="T522" s="2">
        <v>0</v>
      </c>
      <c r="U522" s="2">
        <v>111.5</v>
      </c>
      <c r="V522" s="2" t="s">
        <v>5428</v>
      </c>
      <c r="W522" s="10" t="s">
        <v>5429</v>
      </c>
      <c r="X522" s="2" t="s">
        <v>388</v>
      </c>
      <c r="Y522" s="2" t="str">
        <f>HYPERLINK(".\links\ARTHORPODA\AGAP010800-PB-ARTHORPODA.txt","ARTHORPODA")</f>
        <v>ARTHORPODA</v>
      </c>
      <c r="Z522" s="2">
        <v>0</v>
      </c>
      <c r="AA522" s="2">
        <v>100</v>
      </c>
      <c r="AB522" s="13" t="str">
        <f>HYPERLINK(".\links\pep\AGAP010800-PB-sulf.txt","1")</f>
        <v>1</v>
      </c>
      <c r="AC522" s="13" t="str">
        <f>HYPERLINK(".\links\Sigp\AGAP010800-PB-SigP.txt","CYT")</f>
        <v>CYT</v>
      </c>
      <c r="AD522" s="2" t="s">
        <v>102</v>
      </c>
      <c r="AE522" s="2">
        <v>109.306</v>
      </c>
      <c r="AF522" s="2">
        <v>6.06</v>
      </c>
      <c r="AG522" s="2" t="s">
        <v>102</v>
      </c>
      <c r="AH522" s="2" t="s">
        <v>102</v>
      </c>
      <c r="AI522" s="2" t="s">
        <v>211</v>
      </c>
      <c r="AJ522" s="13">
        <v>0</v>
      </c>
      <c r="AK522" s="2" t="s">
        <v>102</v>
      </c>
      <c r="AL522" s="2" t="s">
        <v>102</v>
      </c>
      <c r="AM522" s="2" t="s">
        <v>102</v>
      </c>
      <c r="AN522" s="13" t="str">
        <f>HYPERLINK(".\links\gpi\AGAP010800-PB-gpi.txt","N")</f>
        <v>N</v>
      </c>
      <c r="AO522" s="14" t="str">
        <f>HYPERLINK(".\links\netoglyc\AGAP010800-PB-netoglyc.txt","15")</f>
        <v>15</v>
      </c>
      <c r="AP522" s="13">
        <v>18.399999999999999</v>
      </c>
      <c r="AQ522" s="2">
        <v>11</v>
      </c>
      <c r="AR522" s="2">
        <v>7.3</v>
      </c>
      <c r="AS522" s="2" t="s">
        <v>104</v>
      </c>
      <c r="AT522" s="9" t="str">
        <f>HYPERLINK(".\links\NR-LIGHT\AGAP010800-PB-NR-LIGHT.txt","AGAP010800-PA, partial")</f>
        <v>AGAP010800-PA, partial</v>
      </c>
      <c r="AU522" s="2" t="str">
        <f>HYPERLINK("http://www.ncbi.nlm.nih.gov/sutils/blink.cgi?pid=XP_318508.4","0.0")</f>
        <v>0.0</v>
      </c>
      <c r="AV522" s="2" t="str">
        <f>HYPERLINK("http://www.ncbi.nlm.nih.gov/protein/XP_318508.4","XP_318508.4")</f>
        <v>XP_318508.4</v>
      </c>
      <c r="AW522" s="2">
        <v>64</v>
      </c>
      <c r="AX522" s="2">
        <v>68</v>
      </c>
      <c r="AY522" s="2">
        <v>112</v>
      </c>
      <c r="AZ522" s="2" t="s">
        <v>105</v>
      </c>
      <c r="BA522" s="9" t="str">
        <f>HYPERLINK(".\links\REFSEQ-INVERTEBRATE\AGAP010800-PB-REFSEQ-INVERTEBRATE.txt","AGAP010800-PA, partial")</f>
        <v>AGAP010800-PA, partial</v>
      </c>
      <c r="BB522" s="2" t="str">
        <f>HYPERLINK("http://www.ncbi.nlm.nih.gov/sutils/blink.cgi?pid=XP_318508.4","0.0")</f>
        <v>0.0</v>
      </c>
      <c r="BC522" s="2" t="str">
        <f>HYPERLINK("http://www.ncbi.nlm.nih.gov/protein/XP_318508.4","XP_318508.4")</f>
        <v>XP_318508.4</v>
      </c>
      <c r="BD522" s="2">
        <v>64</v>
      </c>
      <c r="BE522" s="2">
        <v>68</v>
      </c>
      <c r="BF522" s="2">
        <v>112</v>
      </c>
      <c r="BG522" s="2" t="s">
        <v>105</v>
      </c>
      <c r="BH522" s="9" t="str">
        <f>HYPERLINK(".\links\REFSEQ-PROTOZOA\AGAP010800-PB-REFSEQ-PROTOZOA.txt","uncharacterized protein")</f>
        <v>uncharacterized protein</v>
      </c>
      <c r="BI522" s="2" t="str">
        <f>HYPERLINK("http://www.ncbi.nlm.nih.gov/sutils/blink.cgi?pid=XP_012894096.1","8E-027")</f>
        <v>8E-027</v>
      </c>
      <c r="BJ522" s="2" t="str">
        <f>HYPERLINK("http://www.ncbi.nlm.nih.gov/protein/XP_012894096.1","XP_012894096.1")</f>
        <v>XP_012894096.1</v>
      </c>
      <c r="BK522" s="2">
        <v>23</v>
      </c>
      <c r="BL522" s="2">
        <v>43</v>
      </c>
      <c r="BM522" s="2">
        <v>80</v>
      </c>
      <c r="BN522" s="2" t="s">
        <v>1511</v>
      </c>
      <c r="BO522" s="9" t="str">
        <f>HYPERLINK(".\links\SWISSP\AGAP010800-PB-SWISSP.txt","Zinc finger CCCH domain-containing protein 18")</f>
        <v>Zinc finger CCCH domain-containing protein 18</v>
      </c>
      <c r="BP522" s="2" t="str">
        <f>HYPERLINK("http://www.uniprot.org/uniprot/Q86VM9","8E-049")</f>
        <v>8E-049</v>
      </c>
      <c r="BQ522" s="2" t="str">
        <f>HYPERLINK("http://www.uniprot.org/uniprot/Q86VM9#expression","Q86VM9")</f>
        <v>Q86VM9</v>
      </c>
      <c r="BR522" s="2">
        <v>29</v>
      </c>
      <c r="BS522" s="2">
        <v>40</v>
      </c>
      <c r="BT522" s="2">
        <v>75</v>
      </c>
      <c r="BU522" s="2" t="s">
        <v>127</v>
      </c>
      <c r="BV522" s="9" t="str">
        <f>HYPERLINK(".\links\FLYBASE\AGAP010800-PB-FLYBASE.txt","FBpp0308852")</f>
        <v>FBpp0308852</v>
      </c>
      <c r="BW522" s="2" t="str">
        <f>HYPERLINK("http://flybase.org/reports/FBgn0029941#alliance_summary_container","7E-84")</f>
        <v>7E-84</v>
      </c>
      <c r="BX522" s="2">
        <v>1000</v>
      </c>
      <c r="BY522" s="2">
        <v>42</v>
      </c>
      <c r="BZ522" s="2">
        <v>50</v>
      </c>
      <c r="CA522" s="2">
        <v>48</v>
      </c>
      <c r="CB522" s="9" t="str">
        <f>HYPERLINK(".\links\CDD\AGAP010800-PB-CDD.txt","retinal_rod, K+-dependent Na+/Ca+ exchanger")</f>
        <v>retinal_rod, K+-dependent Na+/Ca+ exchanger</v>
      </c>
      <c r="CC522" s="15">
        <v>7.0000000000000001E-12</v>
      </c>
      <c r="CD522" s="2">
        <v>25.7</v>
      </c>
      <c r="CE522" s="2" t="s">
        <v>232</v>
      </c>
      <c r="CF522" s="2" t="s">
        <v>5430</v>
      </c>
      <c r="CG522" s="9" t="str">
        <f>HYPERLINK(".\links\KOG\AGAP010800-PB-KOG.txt","FERM domain protein EHM2")</f>
        <v>FERM domain protein EHM2</v>
      </c>
      <c r="CH522" s="15">
        <v>1E-4</v>
      </c>
      <c r="CI522" s="2">
        <v>23.9</v>
      </c>
      <c r="CJ522" s="2" t="s">
        <v>1633</v>
      </c>
      <c r="CK522" s="2" t="s">
        <v>191</v>
      </c>
      <c r="CL522" s="9" t="str">
        <f>HYPERLINK(".\links\PFAM\AGAP010800-PB-PFAM.txt","Mpp10, Mpp10 protein")</f>
        <v>Mpp10, Mpp10 protein</v>
      </c>
      <c r="CM522" s="15">
        <v>2.0000000000000001E-9</v>
      </c>
      <c r="CN522" s="2">
        <v>43.7</v>
      </c>
      <c r="CO522" s="2" t="s">
        <v>5431</v>
      </c>
      <c r="CP522" s="9" t="str">
        <f>HYPERLINK(".\links\SMART\AGAP010800-PB-SMART.txt","ZnF_C3H1, zinc finger")</f>
        <v>ZnF_C3H1, zinc finger</v>
      </c>
      <c r="CQ522" s="15">
        <v>1E-4</v>
      </c>
      <c r="CR522" s="2">
        <v>81.5</v>
      </c>
      <c r="CS522" s="2" t="s">
        <v>5432</v>
      </c>
      <c r="CT522" s="2" t="s">
        <v>5428</v>
      </c>
      <c r="CU522" s="2" t="s">
        <v>5428</v>
      </c>
      <c r="CV522" s="2" t="s">
        <v>5428</v>
      </c>
      <c r="CW522" s="2" t="str">
        <f>HYPERLINK(".\links\pep\AGAP010800-PB-pep.txt","AGAP010800-PB")</f>
        <v>AGAP010800-PB</v>
      </c>
      <c r="CX522" s="2" t="s">
        <v>95</v>
      </c>
      <c r="CY522" s="2">
        <v>1018</v>
      </c>
      <c r="CZ522" s="2" t="s">
        <v>113</v>
      </c>
      <c r="DA522" s="2" t="s">
        <v>5433</v>
      </c>
      <c r="DB522" s="2">
        <v>0</v>
      </c>
      <c r="DC522" s="2">
        <v>1</v>
      </c>
      <c r="DD522" s="2" t="str">
        <f>HYPERLINK("https://www.kegg.jp/kegg-bin/search_pathway_text?map=aga&amp;keyword=AGAP010800&amp;mode=1&amp;viewImage=true","AGAP010800")</f>
        <v>AGAP010800</v>
      </c>
      <c r="DE522" s="2" t="s">
        <v>5424</v>
      </c>
      <c r="DF522" s="2" t="s">
        <v>5425</v>
      </c>
      <c r="DG522" s="2" t="s">
        <v>94</v>
      </c>
      <c r="DH522" s="2" t="str">
        <f>HYPERLINK("https://vectorbase.org/vectorbase/app/record/gene/AGAP010800","AGAP010800-RB")</f>
        <v>AGAP010800-RB</v>
      </c>
      <c r="DI522" s="2" t="s">
        <v>118</v>
      </c>
      <c r="DJ522" s="2">
        <v>4071</v>
      </c>
      <c r="DK522" s="2" t="str">
        <f>HYPERLINK(".\links\netoglyc\AGAP010800-PB-netoglyc.txt","15")</f>
        <v>15</v>
      </c>
      <c r="DL522" s="2">
        <v>18.399999999999999</v>
      </c>
      <c r="DM522" s="2">
        <v>11</v>
      </c>
      <c r="DN522" s="2">
        <v>7.3</v>
      </c>
      <c r="DO522" s="2" t="s">
        <v>104</v>
      </c>
      <c r="DP522" s="2" t="s">
        <v>5434</v>
      </c>
      <c r="DQ522" s="2" t="str">
        <f>HYPERLINK(".\links\Sigp\AGAP010800-PB-SigP.txt","CYT")</f>
        <v>CYT</v>
      </c>
      <c r="DR522" s="2" t="s">
        <v>102</v>
      </c>
      <c r="DS522" s="2">
        <v>109.306</v>
      </c>
      <c r="DT522" s="2">
        <v>6.06</v>
      </c>
      <c r="DU522" s="2" t="s">
        <v>102</v>
      </c>
      <c r="DV522" s="2" t="s">
        <v>102</v>
      </c>
      <c r="DW522" s="2" t="s">
        <v>211</v>
      </c>
      <c r="DX522" s="2">
        <v>1018</v>
      </c>
      <c r="DY522" s="12">
        <v>0</v>
      </c>
      <c r="DZ522" s="2" t="s">
        <v>102</v>
      </c>
      <c r="EA522" s="2" t="s">
        <v>102</v>
      </c>
      <c r="EB522" s="2" t="s">
        <v>102</v>
      </c>
      <c r="EC522" s="2" t="str">
        <f>HYPERLINK(".\links\gpi\AGAP010800-PB-gpi.txt","Y-NoSP")</f>
        <v>Y-NoSP</v>
      </c>
      <c r="ED522" s="2">
        <v>0.49</v>
      </c>
      <c r="EF522" s="2">
        <v>5</v>
      </c>
      <c r="EG522" s="2" t="str">
        <f>HYPERLINK(".\links\pep\AGAP010800-PB-sulf.txt","1")</f>
        <v>1</v>
      </c>
      <c r="EH522" s="2" t="s">
        <v>102</v>
      </c>
      <c r="EI522" s="2">
        <v>18.3693516699411</v>
      </c>
      <c r="EJ522" s="2">
        <v>7.2691552062868396</v>
      </c>
      <c r="EK522" s="2">
        <v>11.001964636542199</v>
      </c>
      <c r="EL522" s="2">
        <v>18.271119842829101</v>
      </c>
      <c r="EM522" s="2">
        <v>4</v>
      </c>
      <c r="EN522" s="2">
        <v>7</v>
      </c>
      <c r="EO522" s="2">
        <v>7</v>
      </c>
      <c r="EP522" s="2" t="s">
        <v>102</v>
      </c>
      <c r="EQ522" s="2" t="s">
        <v>102</v>
      </c>
      <c r="ER522" s="2" t="s">
        <v>102</v>
      </c>
      <c r="ES522" s="2" t="s">
        <v>102</v>
      </c>
      <c r="ET522" s="2" t="str">
        <f>HYPERLINK(".\links\REFSEQ-INVERTEBRATE\AGAP010800-PB-REFSEQ-INVERTEBRATE.txt","zinc finger CCCH domain-containing protein 18-like")</f>
        <v>zinc finger CCCH domain-containing protein 18-like</v>
      </c>
      <c r="EU522" s="2" t="str">
        <f>HYPERLINK("http://www.ncbi.nlm.nih.gov/sutils/blink.cgi?pid=XP_035896982.1","0.0")</f>
        <v>0.0</v>
      </c>
      <c r="EV522" s="2" t="str">
        <f>HYPERLINK("http://www.ncbi.nlm.nih.gov/protein/XP_035896982.1","XP_035896982.1")</f>
        <v>XP_035896982.1</v>
      </c>
      <c r="EW522" s="2">
        <v>73</v>
      </c>
      <c r="EX522" s="2">
        <v>79</v>
      </c>
      <c r="EY522" s="2">
        <v>109</v>
      </c>
      <c r="EZ522" s="2" t="s">
        <v>370</v>
      </c>
    </row>
    <row r="523" spans="1:156" x14ac:dyDescent="0.25">
      <c r="A523" s="2" t="s">
        <v>5435</v>
      </c>
      <c r="B523" s="2">
        <v>-0.49713664966759402</v>
      </c>
      <c r="C523" s="2">
        <f t="shared" si="8"/>
        <v>0.70851158604027697</v>
      </c>
      <c r="D523" s="2">
        <v>6.3242078979784697</v>
      </c>
      <c r="E523" s="2">
        <v>9.0055881582671198</v>
      </c>
      <c r="F523" s="2">
        <v>2.6915535740388102E-3</v>
      </c>
      <c r="G523" s="2">
        <v>4.77073030074684E-2</v>
      </c>
      <c r="H523" s="2" t="s">
        <v>5436</v>
      </c>
      <c r="I523" s="2" t="s">
        <v>94</v>
      </c>
      <c r="J523" s="2" t="str">
        <f>HYPERLINK("https://vectorbase.org/vectorbase/app/record/gene/AGAP006517","AGAP006517-RA")</f>
        <v>AGAP006517-RA</v>
      </c>
      <c r="K523" s="2" t="str">
        <f>HYPERLINK(".\links\pep\AGAP006517-PA-pep.txt","AGAP006517-PA")</f>
        <v>AGAP006517-PA</v>
      </c>
      <c r="L523" s="12" t="s">
        <v>95</v>
      </c>
      <c r="M523" s="2">
        <v>1408</v>
      </c>
      <c r="N523" s="2">
        <v>0</v>
      </c>
      <c r="O523" s="2">
        <v>4</v>
      </c>
      <c r="P523" s="2" t="s">
        <v>5437</v>
      </c>
      <c r="Q523" s="9" t="s">
        <v>5438</v>
      </c>
      <c r="R523" s="2" t="s">
        <v>101</v>
      </c>
      <c r="S523" s="2" t="str">
        <f>HYPERLINK(".\links\REFSEQ-INVERTEBRATE\AGAP006517-PA-REFSEQ-INVERTEBRATE.txt","REFSEQ-INVERTEBRATE")</f>
        <v>REFSEQ-INVERTEBRATE</v>
      </c>
      <c r="T523" s="2">
        <v>0</v>
      </c>
      <c r="U523" s="2">
        <v>99.3</v>
      </c>
      <c r="V523" s="2" t="s">
        <v>5439</v>
      </c>
      <c r="W523" s="10" t="s">
        <v>5440</v>
      </c>
      <c r="X523" s="2" t="s">
        <v>101</v>
      </c>
      <c r="Y523" s="2" t="str">
        <f>HYPERLINK(".\links\UNIPROTKB\AGAP006517-PA-UNIPROTKB.txt","UNIPROTKB")</f>
        <v>UNIPROTKB</v>
      </c>
      <c r="Z523" s="2">
        <v>0</v>
      </c>
      <c r="AA523" s="2">
        <v>70.7</v>
      </c>
      <c r="AB523" s="13" t="str">
        <f>HYPERLINK(".\links\pep\AGAP006517-PA-sulf.txt","3")</f>
        <v>3</v>
      </c>
      <c r="AC523" s="13" t="str">
        <f>HYPERLINK(".\links\Sigp\AGAP006517-PA-SigP.txt","CYT")</f>
        <v>CYT</v>
      </c>
      <c r="AD523" s="2" t="s">
        <v>102</v>
      </c>
      <c r="AE523" s="2">
        <v>157.255</v>
      </c>
      <c r="AF523" s="2">
        <v>8.1300000000000008</v>
      </c>
      <c r="AG523" s="2" t="s">
        <v>102</v>
      </c>
      <c r="AH523" s="2" t="s">
        <v>102</v>
      </c>
      <c r="AI523" s="2" t="s">
        <v>650</v>
      </c>
      <c r="AJ523" s="13">
        <v>0</v>
      </c>
      <c r="AK523" s="2" t="s">
        <v>102</v>
      </c>
      <c r="AL523" s="2" t="s">
        <v>102</v>
      </c>
      <c r="AM523" s="2" t="s">
        <v>102</v>
      </c>
      <c r="AN523" s="13" t="str">
        <f>HYPERLINK(".\links\gpi\AGAP006517-PA-gpi.txt","N")</f>
        <v>N</v>
      </c>
      <c r="AO523" s="14" t="str">
        <f>HYPERLINK(".\links\netoglyc\AGAP006517-PA-netoglyc.txt","10")</f>
        <v>10</v>
      </c>
      <c r="AP523" s="13">
        <v>15</v>
      </c>
      <c r="AQ523" s="2">
        <v>5</v>
      </c>
      <c r="AR523" s="2">
        <v>5.2</v>
      </c>
      <c r="AS523" s="2" t="s">
        <v>104</v>
      </c>
      <c r="AT523" s="9" t="str">
        <f>HYPERLINK(".\links\NR-LIGHT\AGAP006517-PA-NR-LIGHT.txt","AGAP006517-PA")</f>
        <v>AGAP006517-PA</v>
      </c>
      <c r="AU523" s="2" t="str">
        <f>HYPERLINK("http://www.ncbi.nlm.nih.gov/sutils/blink.cgi?pid=XP_316549.4","0.0")</f>
        <v>0.0</v>
      </c>
      <c r="AV523" s="2" t="str">
        <f>HYPERLINK("http://www.ncbi.nlm.nih.gov/protein/XP_316549.4","XP_316549.4")</f>
        <v>XP_316549.4</v>
      </c>
      <c r="AW523" s="2">
        <v>100</v>
      </c>
      <c r="AX523" s="2">
        <v>100</v>
      </c>
      <c r="AY523" s="2">
        <v>99</v>
      </c>
      <c r="AZ523" s="2" t="s">
        <v>105</v>
      </c>
      <c r="BA523" s="9" t="str">
        <f>HYPERLINK(".\links\REFSEQ-INVERTEBRATE\AGAP006517-PA-REFSEQ-INVERTEBRATE.txt","AGAP006517-PA")</f>
        <v>AGAP006517-PA</v>
      </c>
      <c r="BB523" s="2" t="str">
        <f>HYPERLINK("http://www.ncbi.nlm.nih.gov/sutils/blink.cgi?pid=XP_316549.4","0.0")</f>
        <v>0.0</v>
      </c>
      <c r="BC523" s="2" t="str">
        <f>HYPERLINK("http://www.ncbi.nlm.nih.gov/protein/XP_316549.4","XP_316549.4")</f>
        <v>XP_316549.4</v>
      </c>
      <c r="BD523" s="2">
        <v>100</v>
      </c>
      <c r="BE523" s="2">
        <v>100</v>
      </c>
      <c r="BF523" s="2">
        <v>99</v>
      </c>
      <c r="BG523" s="2" t="s">
        <v>105</v>
      </c>
      <c r="BH523" s="9" t="str">
        <f>HYPERLINK(".\links\REFSEQ-PROTOZOA\AGAP006517-PA-REFSEQ-PROTOZOA.txt","hypothetical protein PTSG_12906")</f>
        <v>hypothetical protein PTSG_12906</v>
      </c>
      <c r="BI523" s="2" t="str">
        <f>HYPERLINK("http://www.ncbi.nlm.nih.gov/sutils/blink.cgi?pid=XP_004990097.1","1E-058")</f>
        <v>1E-058</v>
      </c>
      <c r="BJ523" s="2" t="str">
        <f>HYPERLINK("http://www.ncbi.nlm.nih.gov/protein/XP_004990097.1","XP_004990097.1")</f>
        <v>XP_004990097.1</v>
      </c>
      <c r="BK523" s="2">
        <v>26</v>
      </c>
      <c r="BL523" s="2">
        <v>44</v>
      </c>
      <c r="BM523" s="2">
        <v>62</v>
      </c>
      <c r="BN523" s="2" t="s">
        <v>435</v>
      </c>
      <c r="BO523" s="9" t="str">
        <f>HYPERLINK(".\links\SWISSP\AGAP006517-PA-SWISSP.txt","Trafficking protein particle complex subunit 11")</f>
        <v>Trafficking protein particle complex subunit 11</v>
      </c>
      <c r="BP523" s="2" t="str">
        <f>HYPERLINK("http://www.uniprot.org/uniprot/Q1RLX4","1E-135")</f>
        <v>1E-135</v>
      </c>
      <c r="BQ523" s="2" t="str">
        <f>HYPERLINK("http://www.uniprot.org/uniprot/Q1RLX4#expression","Q1RLX4")</f>
        <v>Q1RLX4</v>
      </c>
      <c r="BR523" s="2">
        <v>35</v>
      </c>
      <c r="BS523" s="2">
        <v>54</v>
      </c>
      <c r="BT523" s="2">
        <v>69</v>
      </c>
      <c r="BU523" s="2" t="s">
        <v>213</v>
      </c>
      <c r="BV523" s="9" t="str">
        <f>HYPERLINK(".\links\FLYBASE\AGAP006517-PA-FLYBASE.txt","FBpp0072906")</f>
        <v>FBpp0072906</v>
      </c>
      <c r="BW523" s="2" t="str">
        <f>HYPERLINK("http://flybase.org/reports/FBgn0286567#alliance_summary_container","0.0")</f>
        <v>0.0</v>
      </c>
      <c r="BX523" s="2">
        <v>1320</v>
      </c>
      <c r="BY523" s="2">
        <v>44</v>
      </c>
      <c r="BZ523" s="2">
        <v>59</v>
      </c>
      <c r="CA523" s="2">
        <v>110</v>
      </c>
      <c r="CB523" s="9" t="str">
        <f>HYPERLINK(".\links\CDD\AGAP006517-PA-CDD.txt","Foie-gras_1, Foie gras liver health family 1")</f>
        <v>Foie-gras_1, Foie gras liver health family 1</v>
      </c>
      <c r="CC523" s="15">
        <v>4.9999999999999998E-75</v>
      </c>
      <c r="CD523" s="2">
        <v>103.1</v>
      </c>
      <c r="CE523" s="2" t="s">
        <v>5441</v>
      </c>
      <c r="CF523" s="2" t="s">
        <v>5442</v>
      </c>
      <c r="CG523" s="9" t="str">
        <f>HYPERLINK(".\links\KOG\AGAP006517-PA-KOG.txt","Uncharacterized conserved protein")</f>
        <v>Uncharacterized conserved protein</v>
      </c>
      <c r="CH523" s="15">
        <v>3.0000000000000001E-17</v>
      </c>
      <c r="CI523" s="2">
        <v>28.4</v>
      </c>
      <c r="CJ523" s="2" t="s">
        <v>5443</v>
      </c>
      <c r="CK523" s="2" t="s">
        <v>284</v>
      </c>
      <c r="CL523" s="9" t="str">
        <f>HYPERLINK(".\links\PFAM\AGAP006517-PA-PFAM.txt","Foie-gras_1, Foie gras liver health family 1")</f>
        <v>Foie-gras_1, Foie gras liver health family 1</v>
      </c>
      <c r="CM523" s="15">
        <v>9.0000000000000001E-76</v>
      </c>
      <c r="CN523" s="2">
        <v>103.1</v>
      </c>
      <c r="CO523" s="2" t="s">
        <v>5441</v>
      </c>
      <c r="CP523" s="9" t="str">
        <f>HYPERLINK(".\links\SMART\AGAP006517-PA-SMART.txt","SF_P, Pulmonary surfactant proteins")</f>
        <v>SF_P, Pulmonary surfactant proteins</v>
      </c>
      <c r="CQ523" s="15">
        <v>1.5</v>
      </c>
      <c r="CR523" s="2">
        <v>25.7</v>
      </c>
      <c r="CS523" s="2" t="s">
        <v>3757</v>
      </c>
      <c r="CT523" s="2" t="s">
        <v>5439</v>
      </c>
      <c r="CU523" s="2" t="s">
        <v>5439</v>
      </c>
      <c r="CV523" s="2" t="s">
        <v>5439</v>
      </c>
      <c r="CW523" s="2" t="str">
        <f>HYPERLINK(".\links\pep\AGAP006517-PA-pep.txt","AGAP006517-PA")</f>
        <v>AGAP006517-PA</v>
      </c>
      <c r="CX523" s="2" t="s">
        <v>95</v>
      </c>
      <c r="CY523" s="2">
        <v>1408</v>
      </c>
      <c r="CZ523" s="2" t="s">
        <v>113</v>
      </c>
      <c r="DA523" s="2" t="s">
        <v>5444</v>
      </c>
      <c r="DB523" s="2">
        <v>0</v>
      </c>
      <c r="DC523" s="2">
        <v>4</v>
      </c>
      <c r="DD523" s="2" t="str">
        <f>HYPERLINK("https://www.kegg.jp/kegg-bin/search_pathway_text?map=aga&amp;keyword=AGAP006517&amp;mode=1&amp;viewImage=true","AGAP006517")</f>
        <v>AGAP006517</v>
      </c>
      <c r="DE523" s="2" t="s">
        <v>5435</v>
      </c>
      <c r="DF523" s="2" t="s">
        <v>5436</v>
      </c>
      <c r="DG523" s="2" t="s">
        <v>94</v>
      </c>
      <c r="DH523" s="2" t="str">
        <f>HYPERLINK("https://vectorbase.org/vectorbase/app/record/gene/AGAP006517","AGAP006517-RA")</f>
        <v>AGAP006517-RA</v>
      </c>
      <c r="DI523" s="2" t="s">
        <v>115</v>
      </c>
      <c r="DJ523" s="2">
        <v>4809</v>
      </c>
      <c r="DK523" s="2" t="str">
        <f>HYPERLINK(".\links\netoglyc\AGAP006517-PA-netoglyc.txt","10")</f>
        <v>10</v>
      </c>
      <c r="DL523" s="2">
        <v>15</v>
      </c>
      <c r="DM523" s="2">
        <v>5</v>
      </c>
      <c r="DN523" s="2">
        <v>5.2</v>
      </c>
      <c r="DO523" s="2" t="s">
        <v>104</v>
      </c>
      <c r="DP523" s="2" t="s">
        <v>102</v>
      </c>
      <c r="DQ523" s="2" t="str">
        <f>HYPERLINK(".\links\Sigp\AGAP006517-PA-SigP.txt","CYT")</f>
        <v>CYT</v>
      </c>
      <c r="DR523" s="2" t="s">
        <v>102</v>
      </c>
      <c r="DS523" s="2">
        <v>157.27799999999999</v>
      </c>
      <c r="DT523" s="2">
        <v>8.1300000000000008</v>
      </c>
      <c r="DU523" s="2" t="s">
        <v>102</v>
      </c>
      <c r="DV523" s="2" t="s">
        <v>102</v>
      </c>
      <c r="DW523" s="2" t="s">
        <v>650</v>
      </c>
      <c r="DX523" s="2">
        <v>1408</v>
      </c>
      <c r="DY523" s="12">
        <v>0</v>
      </c>
      <c r="DZ523" s="2" t="s">
        <v>102</v>
      </c>
      <c r="EA523" s="2" t="s">
        <v>102</v>
      </c>
      <c r="EB523" s="2" t="s">
        <v>102</v>
      </c>
      <c r="EC523" s="2" t="str">
        <f>HYPERLINK(".\links\gpi\AGAP006517-PA-gpi.txt","Y-NoSP")</f>
        <v>Y-NoSP</v>
      </c>
      <c r="ED523" s="2">
        <v>0.13</v>
      </c>
      <c r="EF523" s="2">
        <v>22</v>
      </c>
      <c r="EG523" s="2" t="str">
        <f>HYPERLINK(".\links\pep\AGAP006517-PA-sulf.txt","3")</f>
        <v>3</v>
      </c>
      <c r="EH523" s="2" t="s">
        <v>102</v>
      </c>
      <c r="EI523" s="2">
        <v>14.985795454545499</v>
      </c>
      <c r="EJ523" s="2">
        <v>5.1846590909090899</v>
      </c>
      <c r="EK523" s="2">
        <v>5.0426136363636402</v>
      </c>
      <c r="EL523" s="2">
        <v>10.2272727272727</v>
      </c>
      <c r="EM523" s="2">
        <v>1</v>
      </c>
      <c r="EN523" s="2">
        <v>2</v>
      </c>
      <c r="EO523" s="2">
        <v>3</v>
      </c>
      <c r="EP523" s="2" t="s">
        <v>102</v>
      </c>
      <c r="EQ523" s="2" t="s">
        <v>102</v>
      </c>
      <c r="ER523" s="2" t="s">
        <v>102</v>
      </c>
      <c r="ES523" s="2" t="s">
        <v>102</v>
      </c>
      <c r="ET523" s="2" t="str">
        <f>HYPERLINK(".\links\REFSEQ-INVERTEBRATE\AGAP006517-PA-REFSEQ-INVERTEBRATE.txt","AGAP006517-PA")</f>
        <v>AGAP006517-PA</v>
      </c>
      <c r="EU523" s="2" t="str">
        <f>HYPERLINK("http://www.ncbi.nlm.nih.gov/sutils/blink.cgi?pid=XP_316549.4","0.0")</f>
        <v>0.0</v>
      </c>
      <c r="EV523" s="2" t="str">
        <f>HYPERLINK("http://www.ncbi.nlm.nih.gov/protein/XP_316549.4","XP_316549.4")</f>
        <v>XP_316549.4</v>
      </c>
      <c r="EW523" s="2">
        <v>100</v>
      </c>
      <c r="EX523" s="2">
        <v>100</v>
      </c>
      <c r="EY523" s="2">
        <v>99</v>
      </c>
      <c r="EZ523" s="2" t="s">
        <v>105</v>
      </c>
    </row>
    <row r="524" spans="1:156" x14ac:dyDescent="0.25">
      <c r="A524" s="2" t="s">
        <v>5445</v>
      </c>
      <c r="B524" s="2">
        <v>-0.49823135164439902</v>
      </c>
      <c r="C524" s="2">
        <f t="shared" si="8"/>
        <v>0.70797417874057955</v>
      </c>
      <c r="D524" s="2">
        <v>6.0701911382016602</v>
      </c>
      <c r="E524" s="2">
        <v>15.275435631872799</v>
      </c>
      <c r="F524" s="2">
        <v>9.2917010025893898E-5</v>
      </c>
      <c r="G524" s="2">
        <v>1.0525254411553799E-2</v>
      </c>
      <c r="H524" s="2" t="s">
        <v>93</v>
      </c>
      <c r="I524" s="2" t="s">
        <v>94</v>
      </c>
      <c r="J524" s="2" t="str">
        <f>HYPERLINK("https://vectorbase.org/vectorbase/app/record/gene/AGAP029812","AGAP029812-RA")</f>
        <v>AGAP029812-RA</v>
      </c>
      <c r="K524" s="2" t="str">
        <f>HYPERLINK(".\links\pep\AGAP029812-PA-pep.txt","AGAP029812-PA")</f>
        <v>AGAP029812-PA</v>
      </c>
      <c r="L524" s="12" t="s">
        <v>95</v>
      </c>
      <c r="M524" s="2">
        <v>1678</v>
      </c>
      <c r="N524" s="2">
        <v>0</v>
      </c>
      <c r="O524" s="2">
        <v>1</v>
      </c>
      <c r="P524" s="2" t="s">
        <v>102</v>
      </c>
      <c r="Q524" s="9" t="s">
        <v>5446</v>
      </c>
      <c r="R524" s="2" t="s">
        <v>355</v>
      </c>
      <c r="S524" s="2" t="str">
        <f>HYPERLINK(".\links\CDD\AGAP029812-PA-CDD.txt","CDD")</f>
        <v>CDD</v>
      </c>
      <c r="T524" s="2">
        <v>0</v>
      </c>
      <c r="U524" s="2">
        <v>100</v>
      </c>
      <c r="V524" s="2" t="s">
        <v>5447</v>
      </c>
      <c r="W524" s="10" t="s">
        <v>5448</v>
      </c>
      <c r="X524" s="2" t="s">
        <v>355</v>
      </c>
      <c r="Y524" s="2" t="str">
        <f>HYPERLINK(".\links\REFSEQ-PROTOZOA\AGAP029812-PA-REFSEQ-PROTOZOA.txt","REFSEQ-PROTOZOA")</f>
        <v>REFSEQ-PROTOZOA</v>
      </c>
      <c r="Z524" s="15">
        <v>0</v>
      </c>
      <c r="AA524" s="2">
        <v>52.7</v>
      </c>
      <c r="AB524" s="13" t="str">
        <f>HYPERLINK(".\links\pep\AGAP029812-PA-sulf.txt","3")</f>
        <v>3</v>
      </c>
      <c r="AC524" s="13" t="str">
        <f>HYPERLINK(".\links\Sigp\AGAP029812-PA-SigP.txt","CYT")</f>
        <v>CYT</v>
      </c>
      <c r="AD524" s="2" t="s">
        <v>102</v>
      </c>
      <c r="AE524" s="2">
        <v>176.84100000000001</v>
      </c>
      <c r="AF524" s="2">
        <v>6.31</v>
      </c>
      <c r="AG524" s="2" t="s">
        <v>102</v>
      </c>
      <c r="AH524" s="2" t="s">
        <v>102</v>
      </c>
      <c r="AI524" s="2" t="s">
        <v>5449</v>
      </c>
      <c r="AJ524" s="13">
        <v>0</v>
      </c>
      <c r="AK524" s="2" t="s">
        <v>102</v>
      </c>
      <c r="AL524" s="2" t="s">
        <v>102</v>
      </c>
      <c r="AM524" s="2" t="s">
        <v>102</v>
      </c>
      <c r="AN524" s="9" t="str">
        <f>HYPERLINK(".\links\gpi\AGAP029812-PA-gpi.txt","N")</f>
        <v>N</v>
      </c>
      <c r="AO524" s="14" t="str">
        <f>HYPERLINK(".\links\netoglyc\AGAP029812-PA-netoglyc.txt","6")</f>
        <v>6</v>
      </c>
      <c r="AP524" s="13">
        <v>16.899999999999999</v>
      </c>
      <c r="AQ524" s="2">
        <v>12</v>
      </c>
      <c r="AR524" s="2">
        <v>7.3</v>
      </c>
      <c r="AS524" s="2" t="s">
        <v>104</v>
      </c>
      <c r="AT524" s="9" t="str">
        <f>HYPERLINK(".\links\NR-LIGHT\AGAP029812-PA-NR-LIGHT.txt","hypothetical protein AND_008800")</f>
        <v>hypothetical protein AND_008800</v>
      </c>
      <c r="AU524" s="2" t="str">
        <f>HYPERLINK("http://www.ncbi.nlm.nih.gov/sutils/blink.cgi?pid=ETN59582.1","0.0")</f>
        <v>0.0</v>
      </c>
      <c r="AV524" s="2" t="str">
        <f>HYPERLINK("http://www.ncbi.nlm.nih.gov/protein/ETN59582.1","ETN59582.1")</f>
        <v>ETN59582.1</v>
      </c>
      <c r="AW524" s="2">
        <v>67</v>
      </c>
      <c r="AX524" s="2">
        <v>72</v>
      </c>
      <c r="AY524" s="2">
        <v>104</v>
      </c>
      <c r="AZ524" s="2" t="s">
        <v>360</v>
      </c>
      <c r="BA524" s="9" t="str">
        <f>HYPERLINK(".\links\REFSEQ-INVERTEBRATE\AGAP029812-PA-REFSEQ-INVERTEBRATE.txt","serine/threonine-protein kinase SIK3-like isoform X1")</f>
        <v>serine/threonine-protein kinase SIK3-like isoform X1</v>
      </c>
      <c r="BB524" s="2" t="str">
        <f>HYPERLINK("http://www.ncbi.nlm.nih.gov/sutils/blink.cgi?pid=XP_019543585.1","0.0")</f>
        <v>0.0</v>
      </c>
      <c r="BC524" s="2" t="str">
        <f>HYPERLINK("http://www.ncbi.nlm.nih.gov/protein/XP_019543585.1","XP_019543585.1")</f>
        <v>XP_019543585.1</v>
      </c>
      <c r="BD524" s="2">
        <v>60</v>
      </c>
      <c r="BE524" s="2">
        <v>66</v>
      </c>
      <c r="BF524" s="2">
        <v>120</v>
      </c>
      <c r="BG524" s="2" t="s">
        <v>361</v>
      </c>
      <c r="BH524" s="9" t="str">
        <f>HYPERLINK(".\links\REFSEQ-PROTOZOA\AGAP029812-PA-REFSEQ-PROTOZOA.txt","CAMK/CAMKL/QIK protein kinase")</f>
        <v>CAMK/CAMKL/QIK protein kinase</v>
      </c>
      <c r="BI524" s="2" t="str">
        <f>HYPERLINK("http://www.ncbi.nlm.nih.gov/sutils/blink.cgi?pid=XP_014157038.1","1E-092")</f>
        <v>1E-092</v>
      </c>
      <c r="BJ524" s="2" t="str">
        <f>HYPERLINK("http://www.ncbi.nlm.nih.gov/protein/XP_014157038.1","XP_014157038.1")</f>
        <v>XP_014157038.1</v>
      </c>
      <c r="BK524" s="2">
        <v>50</v>
      </c>
      <c r="BL524" s="2">
        <v>69</v>
      </c>
      <c r="BM524" s="2">
        <v>34</v>
      </c>
      <c r="BN524" s="2" t="s">
        <v>393</v>
      </c>
      <c r="BO524" s="9" t="str">
        <f>HYPERLINK(".\links\SWISSP\AGAP029812-PA-SWISSP.txt","Serine/threonine-protein kinase SIK3 homolog")</f>
        <v>Serine/threonine-protein kinase SIK3 homolog</v>
      </c>
      <c r="BP524" s="2" t="str">
        <f>HYPERLINK("http://www.uniprot.org/uniprot/Q6NSM8","1E-120")</f>
        <v>1E-120</v>
      </c>
      <c r="BQ524" s="2" t="str">
        <f>HYPERLINK("http://www.uniprot.org/uniprot/Q6NSM8#expression","Q6NSM8")</f>
        <v>Q6NSM8</v>
      </c>
      <c r="BR524" s="2">
        <v>42</v>
      </c>
      <c r="BS524" s="2">
        <v>56</v>
      </c>
      <c r="BT524" s="2">
        <v>55</v>
      </c>
      <c r="BU524" s="2" t="s">
        <v>213</v>
      </c>
      <c r="BV524" s="9" t="str">
        <f>HYPERLINK(".\links\FLYBASE\AGAP029812-PA-FLYBASE.txt","FBpp0309334")</f>
        <v>FBpp0309334</v>
      </c>
      <c r="BW524" s="2" t="str">
        <f>HYPERLINK("http://flybase.org/reports/FBgn0262103#alliance_summary_container","0.0")</f>
        <v>0.0</v>
      </c>
      <c r="BX524" s="2">
        <v>1468</v>
      </c>
      <c r="BY524" s="2">
        <v>48</v>
      </c>
      <c r="BZ524" s="2">
        <v>58</v>
      </c>
      <c r="CA524" s="2">
        <v>115</v>
      </c>
      <c r="CB524" s="9" t="str">
        <f>HYPERLINK(".\links\CDD\AGAP029812-PA-CDD.txt","STKc_SIK, Catalytic domain of the Serine/Threonine Kinases, Salt-Inducible kinases")</f>
        <v>STKc_SIK, Catalytic domain of the Serine/Threonine Kinases, Salt-Inducible kinases</v>
      </c>
      <c r="CC524" s="15">
        <v>1E-141</v>
      </c>
      <c r="CD524" s="2">
        <v>100</v>
      </c>
      <c r="CE524" s="2" t="s">
        <v>5450</v>
      </c>
      <c r="CF524" s="2" t="s">
        <v>5451</v>
      </c>
      <c r="CG524" s="9" t="str">
        <f>HYPERLINK(".\links\KOG\AGAP029812-PA-KOG.txt","Serine/threonine protein kinase")</f>
        <v>Serine/threonine protein kinase</v>
      </c>
      <c r="CH524" s="15">
        <v>9.9999999999999998E-122</v>
      </c>
      <c r="CI524" s="2">
        <v>90.6</v>
      </c>
      <c r="CJ524" s="2" t="s">
        <v>5452</v>
      </c>
      <c r="CK524" s="2" t="s">
        <v>191</v>
      </c>
      <c r="CL524" s="9" t="str">
        <f>HYPERLINK(".\links\PFAM\AGAP029812-PA-PFAM.txt","Pkinase, Protein kinase domain")</f>
        <v>Pkinase, Protein kinase domain</v>
      </c>
      <c r="CM524" s="15">
        <v>4.9999999999999996E-78</v>
      </c>
      <c r="CN524" s="2">
        <v>100.4</v>
      </c>
      <c r="CO524" s="2" t="s">
        <v>1574</v>
      </c>
      <c r="CP524" s="9" t="str">
        <f>HYPERLINK(".\links\SMART\AGAP029812-PA-SMART.txt","S_TKc, Serine/Threonine protein kinases, catalytic domain")</f>
        <v>S_TKc, Serine/Threonine protein kinases, catalytic domain</v>
      </c>
      <c r="CQ524" s="15">
        <v>2E-90</v>
      </c>
      <c r="CR524" s="2">
        <v>100.8</v>
      </c>
      <c r="CS524" s="2" t="s">
        <v>1575</v>
      </c>
      <c r="CT524" s="2" t="s">
        <v>5447</v>
      </c>
      <c r="CU524" s="2" t="s">
        <v>5447</v>
      </c>
      <c r="CV524" s="2" t="s">
        <v>5447</v>
      </c>
      <c r="CW524" s="2" t="str">
        <f>HYPERLINK(".\links\pep\AGAP029812-PA-pep.txt","AGAP029812-PA")</f>
        <v>AGAP029812-PA</v>
      </c>
      <c r="CX524" s="2" t="s">
        <v>95</v>
      </c>
      <c r="CY524" s="2">
        <v>1678</v>
      </c>
      <c r="CZ524" s="2" t="s">
        <v>113</v>
      </c>
      <c r="DA524" s="2" t="s">
        <v>5453</v>
      </c>
      <c r="DB524" s="2">
        <v>0</v>
      </c>
      <c r="DC524" s="2">
        <v>1</v>
      </c>
      <c r="DD524" s="2" t="str">
        <f>HYPERLINK("https://www.kegg.jp/kegg-bin/search_pathway_text?map=aga&amp;keyword=AGAP029812&amp;mode=1&amp;viewImage=true","AGAP029812")</f>
        <v>AGAP029812</v>
      </c>
      <c r="DE524" s="2" t="s">
        <v>5445</v>
      </c>
      <c r="DF524" s="2" t="s">
        <v>93</v>
      </c>
      <c r="DG524" s="2" t="s">
        <v>94</v>
      </c>
      <c r="DH524" s="2" t="str">
        <f>HYPERLINK("https://vectorbase.org/vectorbase/app/record/gene/AGAP029812","AGAP029812-RA")</f>
        <v>AGAP029812-RA</v>
      </c>
      <c r="DI524" s="2" t="s">
        <v>118</v>
      </c>
      <c r="DJ524" s="2">
        <v>7050</v>
      </c>
      <c r="DK524" s="2" t="str">
        <f>HYPERLINK(".\links\netoglyc\AGAP029812-PA-netoglyc.txt","6")</f>
        <v>6</v>
      </c>
      <c r="DL524" s="2">
        <v>16.899999999999999</v>
      </c>
      <c r="DM524" s="2">
        <v>12</v>
      </c>
      <c r="DN524" s="2">
        <v>7.3</v>
      </c>
      <c r="DO524" s="2" t="s">
        <v>104</v>
      </c>
      <c r="DP524" s="2" t="s">
        <v>102</v>
      </c>
      <c r="DQ524" s="2" t="str">
        <f>HYPERLINK(".\links\Sigp\AGAP029812-PA-SigP.txt","CYT")</f>
        <v>CYT</v>
      </c>
      <c r="DR524" s="2" t="s">
        <v>102</v>
      </c>
      <c r="DS524" s="2">
        <v>176.84100000000001</v>
      </c>
      <c r="DT524" s="2">
        <v>6.31</v>
      </c>
      <c r="DU524" s="2" t="s">
        <v>102</v>
      </c>
      <c r="DV524" s="2" t="s">
        <v>102</v>
      </c>
      <c r="DW524" s="2" t="s">
        <v>5449</v>
      </c>
      <c r="DX524" s="2">
        <v>1678</v>
      </c>
      <c r="DY524" s="12">
        <v>0</v>
      </c>
      <c r="DZ524" s="2" t="s">
        <v>102</v>
      </c>
      <c r="EA524" s="2" t="s">
        <v>102</v>
      </c>
      <c r="EB524" s="2" t="s">
        <v>102</v>
      </c>
      <c r="EC524" s="2" t="str">
        <f>HYPERLINK(".\links\gpi\AGAP029812-PA-gpi.txt","N")</f>
        <v>N</v>
      </c>
      <c r="ED524" s="2">
        <v>0.28000000000000003</v>
      </c>
      <c r="EF524" s="2">
        <v>28</v>
      </c>
      <c r="EG524" s="2" t="str">
        <f>HYPERLINK(".\links\pep\AGAP029812-PA-sulf.txt","3")</f>
        <v>3</v>
      </c>
      <c r="EH524" s="2" t="s">
        <v>102</v>
      </c>
      <c r="EI524" s="2">
        <v>16.865315852205001</v>
      </c>
      <c r="EJ524" s="2">
        <v>7.27056019070322</v>
      </c>
      <c r="EK524" s="2">
        <v>11.9785458879619</v>
      </c>
      <c r="EL524" s="2">
        <v>19.2491060786651</v>
      </c>
      <c r="EM524" s="2">
        <v>6</v>
      </c>
      <c r="EN524" s="2">
        <v>6</v>
      </c>
      <c r="EO524" s="2">
        <v>6</v>
      </c>
      <c r="EP524" s="2" t="s">
        <v>102</v>
      </c>
      <c r="EQ524" s="2" t="s">
        <v>102</v>
      </c>
      <c r="ER524" s="2" t="s">
        <v>102</v>
      </c>
      <c r="ES524" s="2" t="s">
        <v>576</v>
      </c>
      <c r="ET524" s="2" t="str">
        <f>HYPERLINK(".\links\REFSEQ-INVERTEBRATE\AGAP029812-PA-REFSEQ-INVERTEBRATE.txt","uncharacterized protein LOC118516422 isoform X1")</f>
        <v>uncharacterized protein LOC118516422 isoform X1</v>
      </c>
      <c r="EU524" s="2" t="str">
        <f>HYPERLINK("http://www.ncbi.nlm.nih.gov/sutils/blink.cgi?pid=XP_035918184.1","0.0")</f>
        <v>0.0</v>
      </c>
      <c r="EV524" s="2" t="str">
        <f>HYPERLINK("http://www.ncbi.nlm.nih.gov/protein/XP_035918184.1","XP_035918184.1")</f>
        <v>XP_035918184.1</v>
      </c>
      <c r="EW524" s="2">
        <v>79</v>
      </c>
      <c r="EX524" s="2">
        <v>82</v>
      </c>
      <c r="EY524" s="2">
        <v>102</v>
      </c>
      <c r="EZ524" s="2" t="s">
        <v>370</v>
      </c>
    </row>
    <row r="525" spans="1:156" x14ac:dyDescent="0.25">
      <c r="A525" s="2" t="s">
        <v>5454</v>
      </c>
      <c r="B525" s="2">
        <v>-0.50368731907434305</v>
      </c>
      <c r="C525" s="2">
        <f t="shared" si="8"/>
        <v>0.70530182649508211</v>
      </c>
      <c r="D525" s="2">
        <v>6.0598920104544298</v>
      </c>
      <c r="E525" s="2">
        <v>30.203701880959599</v>
      </c>
      <c r="F525" s="2">
        <v>3.8896633327451998E-8</v>
      </c>
      <c r="G525" s="2">
        <v>9.5831580360509905E-5</v>
      </c>
      <c r="H525" s="2" t="s">
        <v>93</v>
      </c>
      <c r="I525" s="2" t="s">
        <v>94</v>
      </c>
      <c r="J525" s="2" t="str">
        <f>HYPERLINK("https://vectorbase.org/vectorbase/app/record/gene/AGAP029520","AGAP029520-RA")</f>
        <v>AGAP029520-RA</v>
      </c>
      <c r="K525" s="2" t="str">
        <f>HYPERLINK(".\links\pep\AGAP029520-PA-pep.txt","AGAP029520-PA")</f>
        <v>AGAP029520-PA</v>
      </c>
      <c r="L525" s="12" t="s">
        <v>95</v>
      </c>
      <c r="M525" s="2">
        <v>1170</v>
      </c>
      <c r="N525" s="2">
        <v>0</v>
      </c>
      <c r="O525" s="2">
        <v>3</v>
      </c>
      <c r="P525" s="2" t="s">
        <v>102</v>
      </c>
      <c r="Q525" s="9" t="s">
        <v>5455</v>
      </c>
      <c r="R525" s="2" t="s">
        <v>355</v>
      </c>
      <c r="S525" s="2" t="str">
        <f>HYPERLINK(".\links\KOG\AGAP029520-PA-KOG.txt","KOG")</f>
        <v>KOG</v>
      </c>
      <c r="T525" s="2">
        <v>3.9999999999999999E-16</v>
      </c>
      <c r="U525" s="2">
        <v>26.3</v>
      </c>
      <c r="V525" s="2" t="s">
        <v>5456</v>
      </c>
      <c r="W525" s="10" t="s">
        <v>5457</v>
      </c>
      <c r="X525" s="2" t="s">
        <v>196</v>
      </c>
      <c r="Y525" s="2" t="str">
        <f>HYPERLINK(".\links\REFSEQ-INVERTEBRATE\AGAP029520-PA-REFSEQ-INVERTEBRATE.txt","REFSEQ-INVERTEBRATE")</f>
        <v>REFSEQ-INVERTEBRATE</v>
      </c>
      <c r="Z525" s="2">
        <v>0</v>
      </c>
      <c r="AA525" s="2">
        <v>122.8</v>
      </c>
      <c r="AB525" s="13" t="str">
        <f>HYPERLINK(".\links\pep\AGAP029520-PA-sulf.txt","2")</f>
        <v>2</v>
      </c>
      <c r="AC525" s="13" t="str">
        <f>HYPERLINK(".\links\Sigp\AGAP029520-PA-SigP.txt","CYT")</f>
        <v>CYT</v>
      </c>
      <c r="AD525" s="2" t="s">
        <v>102</v>
      </c>
      <c r="AE525" s="2">
        <v>117.95099999999999</v>
      </c>
      <c r="AF525" s="2">
        <v>7.46</v>
      </c>
      <c r="AG525" s="2" t="s">
        <v>102</v>
      </c>
      <c r="AH525" s="2" t="s">
        <v>102</v>
      </c>
      <c r="AI525" s="2" t="s">
        <v>211</v>
      </c>
      <c r="AJ525" s="13">
        <v>0</v>
      </c>
      <c r="AK525" s="2" t="s">
        <v>102</v>
      </c>
      <c r="AL525" s="2" t="s">
        <v>102</v>
      </c>
      <c r="AM525" s="2" t="s">
        <v>102</v>
      </c>
      <c r="AN525" s="9" t="str">
        <f>HYPERLINK(".\links\gpi\AGAP029520-PA-gpi.txt","N")</f>
        <v>N</v>
      </c>
      <c r="AO525" s="14" t="str">
        <f>HYPERLINK(".\links\netoglyc\AGAP029520-PA-netoglyc.txt","33")</f>
        <v>33</v>
      </c>
      <c r="AP525" s="13">
        <v>22</v>
      </c>
      <c r="AQ525" s="2">
        <v>15.7</v>
      </c>
      <c r="AR525" s="2">
        <v>4.9000000000000004</v>
      </c>
      <c r="AS525" s="2" t="s">
        <v>104</v>
      </c>
      <c r="AT525" s="9" t="str">
        <f>HYPERLINK(".\links\NR-LIGHT\AGAP029520-PA-NR-LIGHT.txt","AGAP005649-PA")</f>
        <v>AGAP005649-PA</v>
      </c>
      <c r="AU525" s="2" t="str">
        <f>HYPERLINK("http://www.ncbi.nlm.nih.gov/sutils/blink.cgi?pid=XP_315666.4","0.0")</f>
        <v>0.0</v>
      </c>
      <c r="AV525" s="2" t="str">
        <f>HYPERLINK("http://www.ncbi.nlm.nih.gov/protein/XP_315666.4","XP_315666.4")</f>
        <v>XP_315666.4</v>
      </c>
      <c r="AW525" s="2">
        <v>100</v>
      </c>
      <c r="AX525" s="2">
        <v>100</v>
      </c>
      <c r="AY525" s="2">
        <v>100</v>
      </c>
      <c r="AZ525" s="2" t="s">
        <v>105</v>
      </c>
      <c r="BA525" s="9" t="str">
        <f>HYPERLINK(".\links\REFSEQ-INVERTEBRATE\AGAP029520-PA-REFSEQ-INVERTEBRATE.txt","AGAP005649-PA")</f>
        <v>AGAP005649-PA</v>
      </c>
      <c r="BB525" s="2" t="str">
        <f>HYPERLINK("http://www.ncbi.nlm.nih.gov/sutils/blink.cgi?pid=XP_315666.4","0.0")</f>
        <v>0.0</v>
      </c>
      <c r="BC525" s="2" t="str">
        <f>HYPERLINK("http://www.ncbi.nlm.nih.gov/protein/XP_315666.4","XP_315666.4")</f>
        <v>XP_315666.4</v>
      </c>
      <c r="BD525" s="2">
        <v>100</v>
      </c>
      <c r="BE525" s="2">
        <v>100</v>
      </c>
      <c r="BF525" s="2">
        <v>100</v>
      </c>
      <c r="BG525" s="2" t="s">
        <v>105</v>
      </c>
      <c r="BH525" s="9" t="str">
        <f>HYPERLINK(".\links\REFSEQ-PROTOZOA\AGAP029520-PA-REFSEQ-PROTOZOA.txt","hypothetical protein DDB_G0289901")</f>
        <v>hypothetical protein DDB_G0289901</v>
      </c>
      <c r="BI525" s="2" t="str">
        <f>HYPERLINK("http://www.ncbi.nlm.nih.gov/sutils/blink.cgi?pid=XP_635961.1","2E-059")</f>
        <v>2E-059</v>
      </c>
      <c r="BJ525" s="2" t="str">
        <f>HYPERLINK("http://www.ncbi.nlm.nih.gov/protein/XP_635961.1","XP_635961.1")</f>
        <v>XP_635961.1</v>
      </c>
      <c r="BK525" s="2">
        <v>29</v>
      </c>
      <c r="BL525" s="2">
        <v>40</v>
      </c>
      <c r="BM525" s="2">
        <v>65</v>
      </c>
      <c r="BN525" s="2" t="s">
        <v>612</v>
      </c>
      <c r="BO525" s="9" t="str">
        <f>HYPERLINK(".\links\SWISSP\AGAP029520-PA-SWISSP.txt","Uncharacterized transmembrane protein DDB_G0289901")</f>
        <v>Uncharacterized transmembrane protein DDB_G0289901</v>
      </c>
      <c r="BP525" s="2" t="str">
        <f>HYPERLINK("http://www.uniprot.org/uniprot/Q54GV8","7E-060")</f>
        <v>7E-060</v>
      </c>
      <c r="BQ525" s="2" t="str">
        <f>HYPERLINK("http://www.uniprot.org/uniprot/Q54GV8#expression","Q54GV8")</f>
        <v>Q54GV8</v>
      </c>
      <c r="BR525" s="2">
        <v>29</v>
      </c>
      <c r="BS525" s="2">
        <v>40</v>
      </c>
      <c r="BT525" s="2">
        <v>65</v>
      </c>
      <c r="BU525" s="2" t="s">
        <v>1919</v>
      </c>
      <c r="BV525" s="9" t="str">
        <f>HYPERLINK(".\links\FLYBASE\AGAP029520-PA-FLYBASE.txt","FBpp0303944")</f>
        <v>FBpp0303944</v>
      </c>
      <c r="BW525" s="2" t="str">
        <f>HYPERLINK("http://flybase.org/reports/FBgn0036305#alliance_summary_container","2E-90")</f>
        <v>2E-90</v>
      </c>
      <c r="BX525" s="2">
        <v>640</v>
      </c>
      <c r="BY525" s="2">
        <v>56</v>
      </c>
      <c r="BZ525" s="2">
        <v>77</v>
      </c>
      <c r="CA525" s="2">
        <v>36</v>
      </c>
      <c r="CB525" s="9" t="str">
        <f>HYPERLINK(".\links\CDD\AGAP029520-PA-CDD.txt","ANK, ankyrin repeats")</f>
        <v>ANK, ankyrin repeats</v>
      </c>
      <c r="CC525" s="15">
        <v>2.0000000000000001E-32</v>
      </c>
      <c r="CD525" s="2">
        <v>90.5</v>
      </c>
      <c r="CE525" s="2" t="s">
        <v>2258</v>
      </c>
      <c r="CF525" s="2" t="s">
        <v>5458</v>
      </c>
      <c r="CG525" s="9" t="str">
        <f>HYPERLINK(".\links\KOG\AGAP029520-PA-KOG.txt","Ankyrin")</f>
        <v>Ankyrin</v>
      </c>
      <c r="CH525" s="15">
        <v>9.9999999999999996E-24</v>
      </c>
      <c r="CI525" s="2">
        <v>10.3</v>
      </c>
      <c r="CJ525" s="2" t="s">
        <v>5459</v>
      </c>
      <c r="CK525" s="2" t="s">
        <v>1472</v>
      </c>
      <c r="CL525" s="9" t="str">
        <f>HYPERLINK(".\links\PFAM\AGAP029520-PA-PFAM.txt","Ank_2, Ankyrin repeats (3 copies)")</f>
        <v>Ank_2, Ankyrin repeats (3 copies)</v>
      </c>
      <c r="CM525" s="15">
        <v>8.9999999999999995E-23</v>
      </c>
      <c r="CN525" s="2">
        <v>101.1</v>
      </c>
      <c r="CO525" s="2" t="s">
        <v>2261</v>
      </c>
      <c r="CP525" s="9" t="str">
        <f>HYPERLINK(".\links\SMART\AGAP029520-PA-SMART.txt","ANK, ankyrin repeats")</f>
        <v>ANK, ankyrin repeats</v>
      </c>
      <c r="CQ525" s="15">
        <v>4.9999999999999998E-7</v>
      </c>
      <c r="CR525" s="2">
        <v>96.7</v>
      </c>
      <c r="CS525" s="2" t="s">
        <v>2262</v>
      </c>
      <c r="CT525" s="2" t="s">
        <v>5456</v>
      </c>
      <c r="CU525" s="2" t="s">
        <v>5456</v>
      </c>
      <c r="CV525" s="2" t="s">
        <v>5456</v>
      </c>
      <c r="CW525" s="2" t="str">
        <f>HYPERLINK(".\links\pep\AGAP029520-PA-pep.txt","AGAP029520-PA")</f>
        <v>AGAP029520-PA</v>
      </c>
      <c r="CX525" s="2" t="s">
        <v>95</v>
      </c>
      <c r="CY525" s="2">
        <v>1170</v>
      </c>
      <c r="CZ525" s="2" t="s">
        <v>113</v>
      </c>
      <c r="DA525" s="2" t="s">
        <v>5460</v>
      </c>
      <c r="DB525" s="2">
        <v>0</v>
      </c>
      <c r="DC525" s="2">
        <v>3</v>
      </c>
      <c r="DD525" s="2" t="str">
        <f>HYPERLINK("https://www.kegg.jp/kegg-bin/search_pathway_text?map=aga&amp;keyword=AGAP029520&amp;mode=1&amp;viewImage=true","AGAP029520")</f>
        <v>AGAP029520</v>
      </c>
      <c r="DE525" s="2" t="s">
        <v>5454</v>
      </c>
      <c r="DF525" s="2" t="s">
        <v>93</v>
      </c>
      <c r="DG525" s="2" t="s">
        <v>94</v>
      </c>
      <c r="DH525" s="2" t="str">
        <f>HYPERLINK("https://vectorbase.org/vectorbase/app/record/gene/AGAP029520","AGAP029520-RA")</f>
        <v>AGAP029520-RA</v>
      </c>
      <c r="DI525" s="2" t="s">
        <v>90</v>
      </c>
      <c r="DJ525" s="2">
        <v>3803</v>
      </c>
      <c r="DK525" s="2" t="str">
        <f>HYPERLINK(".\links\netoglyc\AGAP029520-PA-netoglyc.txt","33")</f>
        <v>33</v>
      </c>
      <c r="DL525" s="2">
        <v>22</v>
      </c>
      <c r="DM525" s="2">
        <v>15.7</v>
      </c>
      <c r="DN525" s="2">
        <v>4.9000000000000004</v>
      </c>
      <c r="DO525" s="2" t="s">
        <v>104</v>
      </c>
      <c r="DP525" s="2" t="s">
        <v>5461</v>
      </c>
      <c r="DQ525" s="2" t="str">
        <f>HYPERLINK(".\links\Sigp\AGAP029520-PA-SigP.txt","CYT")</f>
        <v>CYT</v>
      </c>
      <c r="DR525" s="2" t="s">
        <v>102</v>
      </c>
      <c r="DS525" s="2">
        <v>117.95099999999999</v>
      </c>
      <c r="DT525" s="2">
        <v>7.46</v>
      </c>
      <c r="DU525" s="2" t="s">
        <v>102</v>
      </c>
      <c r="DV525" s="2" t="s">
        <v>102</v>
      </c>
      <c r="DW525" s="2" t="s">
        <v>211</v>
      </c>
      <c r="DX525" s="2">
        <v>1170</v>
      </c>
      <c r="DY525" s="12">
        <v>0</v>
      </c>
      <c r="DZ525" s="2" t="s">
        <v>102</v>
      </c>
      <c r="EA525" s="2" t="s">
        <v>102</v>
      </c>
      <c r="EB525" s="2" t="s">
        <v>102</v>
      </c>
      <c r="EC525" s="2" t="str">
        <f>HYPERLINK(".\links\gpi\AGAP029520-PA-gpi.txt","N")</f>
        <v>N</v>
      </c>
      <c r="ED525" s="2">
        <v>0.43</v>
      </c>
      <c r="EF525" s="2">
        <v>8</v>
      </c>
      <c r="EG525" s="2" t="str">
        <f>HYPERLINK(".\links\pep\AGAP029520-PA-sulf.txt","2")</f>
        <v>2</v>
      </c>
      <c r="EH525" s="2" t="s">
        <v>102</v>
      </c>
      <c r="EI525" s="2">
        <v>21.965811965812001</v>
      </c>
      <c r="EJ525" s="2">
        <v>4.8717948717948696</v>
      </c>
      <c r="EK525" s="2">
        <v>15.726495726495701</v>
      </c>
      <c r="EL525" s="2">
        <v>20.5982905982906</v>
      </c>
      <c r="EM525" s="2">
        <v>2</v>
      </c>
      <c r="EN525" s="2">
        <v>7</v>
      </c>
      <c r="EO525" s="2">
        <v>7</v>
      </c>
      <c r="EP525" s="2" t="s">
        <v>102</v>
      </c>
      <c r="EQ525" s="2" t="s">
        <v>102</v>
      </c>
      <c r="ER525" s="2" t="s">
        <v>102</v>
      </c>
      <c r="ES525" s="2" t="s">
        <v>102</v>
      </c>
      <c r="ET525" s="2" t="str">
        <f>HYPERLINK(".\links\REFSEQ-INVERTEBRATE\AGAP029520-PA-REFSEQ-INVERTEBRATE.txt","AGAP005649-PA")</f>
        <v>AGAP005649-PA</v>
      </c>
      <c r="EU525" s="2" t="str">
        <f>HYPERLINK("http://www.ncbi.nlm.nih.gov/sutils/blink.cgi?pid=XP_315666.4","0.0")</f>
        <v>0.0</v>
      </c>
      <c r="EV525" s="2" t="str">
        <f>HYPERLINK("http://www.ncbi.nlm.nih.gov/protein/XP_315666.4","XP_315666.4")</f>
        <v>XP_315666.4</v>
      </c>
      <c r="EW525" s="2">
        <v>100</v>
      </c>
      <c r="EX525" s="2">
        <v>100</v>
      </c>
      <c r="EY525" s="2">
        <v>100</v>
      </c>
      <c r="EZ525" s="2" t="s">
        <v>105</v>
      </c>
    </row>
    <row r="526" spans="1:156" x14ac:dyDescent="0.25">
      <c r="A526" s="2" t="s">
        <v>5462</v>
      </c>
      <c r="B526" s="2">
        <v>-0.51058978513228204</v>
      </c>
      <c r="C526" s="2">
        <f t="shared" si="8"/>
        <v>0.7019354224588138</v>
      </c>
      <c r="D526" s="2">
        <v>8.13512728478368</v>
      </c>
      <c r="E526" s="2">
        <v>16.990999542370702</v>
      </c>
      <c r="F526" s="2">
        <v>3.7557434455587201E-5</v>
      </c>
      <c r="G526" s="2">
        <v>7.5536431950982003E-3</v>
      </c>
      <c r="H526" s="2" t="s">
        <v>93</v>
      </c>
      <c r="I526" s="2" t="s">
        <v>94</v>
      </c>
      <c r="J526" s="2" t="str">
        <f>HYPERLINK("https://vectorbase.org/vectorbase/app/record/gene/AGAP005187","AGAP005187-RA")</f>
        <v>AGAP005187-RA</v>
      </c>
      <c r="K526" s="2" t="str">
        <f>HYPERLINK(".\links\pep\AGAP005187-PA-pep.txt","AGAP005187-PA")</f>
        <v>AGAP005187-PA</v>
      </c>
      <c r="L526" s="12" t="s">
        <v>95</v>
      </c>
      <c r="M526" s="2">
        <v>3655</v>
      </c>
      <c r="N526" s="2">
        <v>0</v>
      </c>
      <c r="O526" s="2">
        <v>8</v>
      </c>
      <c r="P526" s="2" t="s">
        <v>102</v>
      </c>
      <c r="Q526" s="9" t="s">
        <v>5463</v>
      </c>
      <c r="R526" s="2" t="s">
        <v>388</v>
      </c>
      <c r="S526" s="2" t="str">
        <f>HYPERLINK(".\links\CDD\AGAP005187-PA-CDD.txt","CDD")</f>
        <v>CDD</v>
      </c>
      <c r="T526" s="2">
        <v>1.9999999999999999E-38</v>
      </c>
      <c r="U526" s="2">
        <v>99</v>
      </c>
      <c r="V526" s="2" t="s">
        <v>5464</v>
      </c>
      <c r="W526" s="10" t="s">
        <v>5465</v>
      </c>
      <c r="X526" s="2" t="s">
        <v>388</v>
      </c>
      <c r="Y526" s="2" t="str">
        <f>HYPERLINK(".\links\CDD\AGAP005187-PA-CDD.txt","CDD")</f>
        <v>CDD</v>
      </c>
      <c r="Z526" s="15">
        <v>5.9999999999999998E-30</v>
      </c>
      <c r="AA526" s="2">
        <v>94</v>
      </c>
      <c r="AB526" s="13" t="str">
        <f>HYPERLINK(".\links\pep\AGAP005187-PA-sulf.txt","3")</f>
        <v>3</v>
      </c>
      <c r="AC526" s="13" t="str">
        <f>HYPERLINK(".\links\Sigp\AGAP005187-PA-SigP.txt","CYT")</f>
        <v>CYT</v>
      </c>
      <c r="AD526" s="2" t="s">
        <v>102</v>
      </c>
      <c r="AE526" s="2">
        <v>386.18900000000002</v>
      </c>
      <c r="AF526" s="2">
        <v>9.09</v>
      </c>
      <c r="AG526" s="2" t="s">
        <v>102</v>
      </c>
      <c r="AH526" s="2" t="s">
        <v>102</v>
      </c>
      <c r="AI526" s="2" t="s">
        <v>4455</v>
      </c>
      <c r="AJ526" s="13">
        <v>0</v>
      </c>
      <c r="AK526" s="2" t="s">
        <v>102</v>
      </c>
      <c r="AL526" s="2" t="s">
        <v>102</v>
      </c>
      <c r="AM526" s="2" t="s">
        <v>102</v>
      </c>
      <c r="AN526" s="13" t="str">
        <f>HYPERLINK(".\links\gpi\AGAP005187-PA-gpi.txt","N")</f>
        <v>N</v>
      </c>
      <c r="AO526" s="14" t="str">
        <f>HYPERLINK(".\links\netoglyc\AGAP005187-PA-netoglyc.txt","16")</f>
        <v>16</v>
      </c>
      <c r="AP526" s="13">
        <v>18.7</v>
      </c>
      <c r="AQ526" s="2">
        <v>9</v>
      </c>
      <c r="AR526" s="2">
        <v>7.9</v>
      </c>
      <c r="AS526" s="2">
        <v>0.2</v>
      </c>
      <c r="AT526" s="9" t="str">
        <f>HYPERLINK(".\links\NR-LIGHT\AGAP005187-PA-NR-LIGHT.txt","AGAP005187-PA")</f>
        <v>AGAP005187-PA</v>
      </c>
      <c r="AU526" s="2" t="str">
        <f>HYPERLINK("http://www.ncbi.nlm.nih.gov/sutils/blink.cgi?pid=XP_314085.4","0.0")</f>
        <v>0.0</v>
      </c>
      <c r="AV526" s="2" t="str">
        <f>HYPERLINK("http://www.ncbi.nlm.nih.gov/protein/XP_314085.4","XP_314085.4")</f>
        <v>XP_314085.4</v>
      </c>
      <c r="AW526" s="2">
        <v>82</v>
      </c>
      <c r="AX526" s="2">
        <v>83</v>
      </c>
      <c r="AY526" s="2">
        <v>110</v>
      </c>
      <c r="AZ526" s="2" t="s">
        <v>105</v>
      </c>
      <c r="BA526" s="9" t="str">
        <f>HYPERLINK(".\links\REFSEQ-INVERTEBRATE\AGAP005187-PA-REFSEQ-INVERTEBRATE.txt","AGAP005187-PA")</f>
        <v>AGAP005187-PA</v>
      </c>
      <c r="BB526" s="2" t="str">
        <f>HYPERLINK("http://www.ncbi.nlm.nih.gov/sutils/blink.cgi?pid=XP_314085.4","0.0")</f>
        <v>0.0</v>
      </c>
      <c r="BC526" s="2" t="str">
        <f>HYPERLINK("http://www.ncbi.nlm.nih.gov/protein/XP_314085.4","XP_314085.4")</f>
        <v>XP_314085.4</v>
      </c>
      <c r="BD526" s="2">
        <v>82</v>
      </c>
      <c r="BE526" s="2">
        <v>83</v>
      </c>
      <c r="BF526" s="2">
        <v>110</v>
      </c>
      <c r="BG526" s="2" t="s">
        <v>105</v>
      </c>
      <c r="BH526" s="9" t="str">
        <f>HYPERLINK(".\links\REFSEQ-PROTOZOA\AGAP005187-PA-REFSEQ-PROTOZOA.txt","proteophosphoglycan 5")</f>
        <v>proteophosphoglycan 5</v>
      </c>
      <c r="BI526" s="2" t="str">
        <f>HYPERLINK("http://www.ncbi.nlm.nih.gov/sutils/blink.cgi?pid=XP_003722449.1","1E-113")</f>
        <v>1E-113</v>
      </c>
      <c r="BJ526" s="2" t="str">
        <f>HYPERLINK("http://www.ncbi.nlm.nih.gov/protein/XP_003722449.1","XP_003722449.1")</f>
        <v>XP_003722449.1</v>
      </c>
      <c r="BK526" s="2">
        <v>18</v>
      </c>
      <c r="BL526" s="2">
        <v>34</v>
      </c>
      <c r="BM526" s="2">
        <v>19</v>
      </c>
      <c r="BN526" s="2" t="s">
        <v>3969</v>
      </c>
      <c r="BO526" s="9" t="str">
        <f>HYPERLINK(".\links\SWISSP\AGAP005187-PA-SWISSP.txt","Platelet binding protein GspB")</f>
        <v>Platelet binding protein GspB</v>
      </c>
      <c r="BP526" s="2" t="str">
        <f>HYPERLINK("http://www.uniprot.org/uniprot/Q939N5","8E-041")</f>
        <v>8E-041</v>
      </c>
      <c r="BQ526" s="2" t="str">
        <f>HYPERLINK("http://www.uniprot.org/uniprot/Q939N5#expression","Q939N5")</f>
        <v>Q939N5</v>
      </c>
      <c r="BR526" s="2">
        <v>16</v>
      </c>
      <c r="BS526" s="2">
        <v>33</v>
      </c>
      <c r="BT526" s="2">
        <v>80</v>
      </c>
      <c r="BU526" s="2" t="s">
        <v>4059</v>
      </c>
      <c r="BV526" s="9" t="str">
        <f>HYPERLINK(".\links\FLYBASE\AGAP005187-PA-FLYBASE.txt","FBpp0292764")</f>
        <v>FBpp0292764</v>
      </c>
      <c r="BW526" s="2" t="str">
        <f>HYPERLINK("http://flybase.org/reports/FBgn0261934#alliance_summary_container","2E-89")</f>
        <v>2E-89</v>
      </c>
      <c r="BX526" s="2">
        <v>342</v>
      </c>
      <c r="BY526" s="2">
        <v>51</v>
      </c>
      <c r="BZ526" s="2">
        <v>66</v>
      </c>
      <c r="CA526" s="2">
        <v>85</v>
      </c>
      <c r="CB526" s="9" t="str">
        <f>HYPERLINK(".\links\CDD\AGAP005187-PA-CDD.txt","Bromo_gcn5_like, Bromodomain")</f>
        <v>Bromo_gcn5_like, Bromodomain</v>
      </c>
      <c r="CC526" s="15">
        <v>1.9999999999999999E-38</v>
      </c>
      <c r="CD526" s="2">
        <v>99</v>
      </c>
      <c r="CE526" s="2" t="s">
        <v>5026</v>
      </c>
      <c r="CF526" s="2" t="s">
        <v>5466</v>
      </c>
      <c r="CG526" s="9" t="str">
        <f>HYPERLINK(".\links\KOG\AGAP005187-PA-KOG.txt","subunit TRAP230")</f>
        <v>subunit TRAP230</v>
      </c>
      <c r="CH526" s="15">
        <v>6.9999999999999997E-18</v>
      </c>
      <c r="CI526" s="2">
        <v>21.4</v>
      </c>
      <c r="CJ526" s="2" t="s">
        <v>4038</v>
      </c>
      <c r="CK526" s="2" t="s">
        <v>309</v>
      </c>
      <c r="CL526" s="9" t="str">
        <f>HYPERLINK(".\links\PFAM\AGAP005187-PA-PFAM.txt","Bromodomain, Bromodomain")</f>
        <v>Bromodomain, Bromodomain</v>
      </c>
      <c r="CM526" s="15">
        <v>4.9999999999999997E-21</v>
      </c>
      <c r="CN526" s="2">
        <v>95.2</v>
      </c>
      <c r="CO526" s="2" t="s">
        <v>4215</v>
      </c>
      <c r="CP526" s="9" t="str">
        <f>HYPERLINK(".\links\SMART\AGAP005187-PA-SMART.txt","BROMO, bromo domain")</f>
        <v>BROMO, bromo domain</v>
      </c>
      <c r="CQ526" s="15">
        <v>8.9999999999999996E-28</v>
      </c>
      <c r="CR526" s="2">
        <v>95.3</v>
      </c>
      <c r="CS526" s="2" t="s">
        <v>2466</v>
      </c>
      <c r="CT526" s="2" t="s">
        <v>5464</v>
      </c>
      <c r="CU526" s="2" t="s">
        <v>5464</v>
      </c>
      <c r="CV526" s="2" t="s">
        <v>5464</v>
      </c>
      <c r="CW526" s="2" t="str">
        <f>HYPERLINK(".\links\pep\AGAP005187-PA-pep.txt","AGAP005187-PA")</f>
        <v>AGAP005187-PA</v>
      </c>
      <c r="CX526" s="2" t="s">
        <v>95</v>
      </c>
      <c r="CY526" s="2">
        <v>3655</v>
      </c>
      <c r="CZ526" s="2" t="s">
        <v>113</v>
      </c>
      <c r="DA526" s="2" t="s">
        <v>5467</v>
      </c>
      <c r="DB526" s="2">
        <v>0</v>
      </c>
      <c r="DC526" s="2">
        <v>8</v>
      </c>
      <c r="DD526" s="2" t="str">
        <f>HYPERLINK("https://www.kegg.jp/kegg-bin/search_pathway_text?map=aga&amp;keyword=AGAP005187&amp;mode=1&amp;viewImage=true","AGAP005187")</f>
        <v>AGAP005187</v>
      </c>
      <c r="DE526" s="2" t="s">
        <v>5462</v>
      </c>
      <c r="DF526" s="2" t="s">
        <v>93</v>
      </c>
      <c r="DG526" s="2" t="s">
        <v>94</v>
      </c>
      <c r="DH526" s="2" t="str">
        <f>HYPERLINK("https://vectorbase.org/vectorbase/app/record/gene/AGAP005187","AGAP005187-RA")</f>
        <v>AGAP005187-RA</v>
      </c>
      <c r="DI526" s="2" t="s">
        <v>118</v>
      </c>
      <c r="DJ526" s="2">
        <v>14444</v>
      </c>
      <c r="DK526" s="2" t="str">
        <f>HYPERLINK(".\links\netoglyc\AGAP005187-PA-netoglyc.txt","16")</f>
        <v>16</v>
      </c>
      <c r="DL526" s="2">
        <v>18.7</v>
      </c>
      <c r="DM526" s="2">
        <v>9</v>
      </c>
      <c r="DN526" s="2">
        <v>7.9</v>
      </c>
      <c r="DO526" s="2">
        <v>0.2</v>
      </c>
      <c r="DP526" s="2" t="s">
        <v>5468</v>
      </c>
      <c r="DQ526" s="2" t="str">
        <f>HYPERLINK(".\links\Sigp\AGAP005187-PA-SigP.txt","CYT")</f>
        <v>CYT</v>
      </c>
      <c r="DR526" s="2" t="s">
        <v>102</v>
      </c>
      <c r="DS526" s="2">
        <v>386.18900000000002</v>
      </c>
      <c r="DT526" s="2">
        <v>9.09</v>
      </c>
      <c r="DU526" s="2" t="s">
        <v>102</v>
      </c>
      <c r="DV526" s="2" t="s">
        <v>102</v>
      </c>
      <c r="DW526" s="2" t="s">
        <v>4455</v>
      </c>
      <c r="DX526" s="2">
        <v>3655</v>
      </c>
      <c r="DY526" s="12">
        <v>0</v>
      </c>
      <c r="DZ526" s="2" t="s">
        <v>102</v>
      </c>
      <c r="EA526" s="2" t="s">
        <v>102</v>
      </c>
      <c r="EB526" s="2" t="s">
        <v>102</v>
      </c>
      <c r="EC526" s="2" t="str">
        <f>HYPERLINK(".\links\gpi\AGAP005187-PA-gpi.txt","Y-NoSP")</f>
        <v>Y-NoSP</v>
      </c>
      <c r="ED526" s="2">
        <v>0.37</v>
      </c>
      <c r="EF526" s="2">
        <v>18</v>
      </c>
      <c r="EG526" s="2" t="str">
        <f>HYPERLINK(".\links\pep\AGAP005187-PA-sulf.txt","3")</f>
        <v>3</v>
      </c>
      <c r="EH526" s="2" t="s">
        <v>102</v>
      </c>
      <c r="EI526" s="2">
        <v>18.714090287277699</v>
      </c>
      <c r="EJ526" s="2">
        <v>7.85225718194254</v>
      </c>
      <c r="EK526" s="2">
        <v>8.9740082079343395</v>
      </c>
      <c r="EL526" s="2">
        <v>16.826265389876902</v>
      </c>
      <c r="EM526" s="2">
        <v>10</v>
      </c>
      <c r="EN526" s="2">
        <v>26</v>
      </c>
      <c r="EO526" s="2">
        <v>36</v>
      </c>
      <c r="EP526" s="2" t="s">
        <v>102</v>
      </c>
      <c r="EQ526" s="2" t="s">
        <v>102</v>
      </c>
      <c r="ER526" s="2" t="s">
        <v>102</v>
      </c>
      <c r="ES526" s="2" t="s">
        <v>102</v>
      </c>
      <c r="ET526" s="2" t="str">
        <f>HYPERLINK(".\links\REFSEQ-INVERTEBRATE\AGAP005187-PA-REFSEQ-INVERTEBRATE.txt","filaggrin-like isoform X3")</f>
        <v>filaggrin-like isoform X3</v>
      </c>
      <c r="EU526" s="2" t="str">
        <f>HYPERLINK("http://www.ncbi.nlm.nih.gov/sutils/blink.cgi?pid=XP_035905740.1","0.0")</f>
        <v>0.0</v>
      </c>
      <c r="EV526" s="2" t="str">
        <f>HYPERLINK("http://www.ncbi.nlm.nih.gov/protein/XP_035905740.1","XP_035905740.1")</f>
        <v>XP_035905740.1</v>
      </c>
      <c r="EW526" s="2">
        <v>64</v>
      </c>
      <c r="EX526" s="2">
        <v>71</v>
      </c>
      <c r="EY526" s="2">
        <v>106</v>
      </c>
      <c r="EZ526" s="2" t="s">
        <v>370</v>
      </c>
    </row>
    <row r="527" spans="1:156" x14ac:dyDescent="0.25">
      <c r="A527" s="2" t="s">
        <v>5469</v>
      </c>
      <c r="B527" s="2">
        <v>-0.51584904630693396</v>
      </c>
      <c r="C527" s="2">
        <f t="shared" si="8"/>
        <v>0.699381215984334</v>
      </c>
      <c r="D527" s="2">
        <v>6.6461632272490796</v>
      </c>
      <c r="E527" s="2">
        <v>23.368011395101998</v>
      </c>
      <c r="F527" s="2">
        <v>1.33784908897255E-6</v>
      </c>
      <c r="G527" s="2">
        <v>1.0987085643186999E-3</v>
      </c>
      <c r="H527" s="2" t="s">
        <v>5470</v>
      </c>
      <c r="I527" s="2" t="s">
        <v>94</v>
      </c>
      <c r="J527" s="2" t="str">
        <f>HYPERLINK("https://vectorbase.org/vectorbase/app/record/gene/AGAP007104","AGAP007104-RA")</f>
        <v>AGAP007104-RA</v>
      </c>
      <c r="K527" s="2" t="str">
        <f>HYPERLINK(".\links\pep\AGAP007104-PA-pep.txt","AGAP007104-PA")</f>
        <v>AGAP007104-PA</v>
      </c>
      <c r="L527" s="12" t="s">
        <v>95</v>
      </c>
      <c r="M527" s="2">
        <v>443</v>
      </c>
      <c r="N527" s="2">
        <v>0</v>
      </c>
      <c r="O527" s="2">
        <v>3</v>
      </c>
      <c r="P527" s="2" t="s">
        <v>5471</v>
      </c>
      <c r="Q527" s="9" t="s">
        <v>5472</v>
      </c>
      <c r="R527" s="2" t="s">
        <v>781</v>
      </c>
      <c r="S527" s="2" t="str">
        <f>HYPERLINK(".\links\KOG\AGAP007104-PA-KOG.txt","KOG")</f>
        <v>KOG</v>
      </c>
      <c r="T527" s="2">
        <v>0</v>
      </c>
      <c r="U527" s="2">
        <v>99.4</v>
      </c>
      <c r="V527" s="2" t="s">
        <v>5473</v>
      </c>
      <c r="W527" s="10" t="s">
        <v>5474</v>
      </c>
      <c r="X527" s="2" t="s">
        <v>781</v>
      </c>
      <c r="Y527" s="2" t="str">
        <f>HYPERLINK(".\links\KOG\AGAP007104-PA-KOG.txt","KOG")</f>
        <v>KOG</v>
      </c>
      <c r="Z527" s="15">
        <v>5.9999999999999999E-88</v>
      </c>
      <c r="AA527" s="2">
        <v>99.4</v>
      </c>
      <c r="AB527" s="13" t="str">
        <f>HYPERLINK(".\links\pep\AGAP007104-PA-sulf.txt","2")</f>
        <v>2</v>
      </c>
      <c r="AC527" s="13" t="str">
        <f>HYPERLINK(".\links\Sigp\AGAP007104-PA-SigP.txt","CYT")</f>
        <v>CYT</v>
      </c>
      <c r="AD527" s="2" t="s">
        <v>102</v>
      </c>
      <c r="AE527" s="2">
        <v>50.5</v>
      </c>
      <c r="AF527" s="2">
        <v>8.33</v>
      </c>
      <c r="AG527" s="2" t="s">
        <v>102</v>
      </c>
      <c r="AH527" s="2" t="s">
        <v>102</v>
      </c>
      <c r="AI527" s="2" t="s">
        <v>5475</v>
      </c>
      <c r="AJ527" s="13">
        <v>0</v>
      </c>
      <c r="AK527" s="2" t="s">
        <v>102</v>
      </c>
      <c r="AL527" s="2" t="s">
        <v>102</v>
      </c>
      <c r="AM527" s="2" t="s">
        <v>102</v>
      </c>
      <c r="AN527" s="13" t="str">
        <f>HYPERLINK(".\links\gpi\AGAP007104-PA-gpi.txt","N")</f>
        <v>N</v>
      </c>
      <c r="AO527" s="14" t="str">
        <f>HYPERLINK(".\links\netoglyc\AGAP007104-PA-netoglyc.txt","2")</f>
        <v>2</v>
      </c>
      <c r="AP527" s="13">
        <v>13.5</v>
      </c>
      <c r="AQ527" s="2">
        <v>4.7</v>
      </c>
      <c r="AR527" s="2">
        <v>3.6</v>
      </c>
      <c r="AS527" s="2" t="s">
        <v>104</v>
      </c>
      <c r="AT527" s="9" t="str">
        <f>HYPERLINK(".\links\NR-LIGHT\AGAP007104-PA-NR-LIGHT.txt","AGAP007104-PA")</f>
        <v>AGAP007104-PA</v>
      </c>
      <c r="AU527" s="2" t="str">
        <f>HYPERLINK("http://www.ncbi.nlm.nih.gov/sutils/blink.cgi?pid=XP_308653.4","0.0")</f>
        <v>0.0</v>
      </c>
      <c r="AV527" s="2" t="str">
        <f>HYPERLINK("http://www.ncbi.nlm.nih.gov/protein/XP_308653.4","XP_308653.4")</f>
        <v>XP_308653.4</v>
      </c>
      <c r="AW527" s="2">
        <v>100</v>
      </c>
      <c r="AX527" s="2">
        <v>100</v>
      </c>
      <c r="AY527" s="2">
        <v>100</v>
      </c>
      <c r="AZ527" s="2" t="s">
        <v>105</v>
      </c>
      <c r="BA527" s="9" t="str">
        <f>HYPERLINK(".\links\REFSEQ-INVERTEBRATE\AGAP007104-PA-REFSEQ-INVERTEBRATE.txt","AGAP007104-PA")</f>
        <v>AGAP007104-PA</v>
      </c>
      <c r="BB527" s="2" t="str">
        <f>HYPERLINK("http://www.ncbi.nlm.nih.gov/sutils/blink.cgi?pid=XP_308653.4","0.0")</f>
        <v>0.0</v>
      </c>
      <c r="BC527" s="2" t="str">
        <f>HYPERLINK("http://www.ncbi.nlm.nih.gov/protein/XP_308653.4","XP_308653.4")</f>
        <v>XP_308653.4</v>
      </c>
      <c r="BD527" s="2">
        <v>100</v>
      </c>
      <c r="BE527" s="2">
        <v>100</v>
      </c>
      <c r="BF527" s="2">
        <v>100</v>
      </c>
      <c r="BG527" s="2" t="s">
        <v>105</v>
      </c>
      <c r="BH527" s="9" t="str">
        <f>HYPERLINK(".\links\REFSEQ-PROTOZOA\AGAP007104-PA-REFSEQ-PROTOZOA.txt","geranyltranstransferase")</f>
        <v>geranyltranstransferase</v>
      </c>
      <c r="BI527" s="2" t="str">
        <f>HYPERLINK("http://www.ncbi.nlm.nih.gov/sutils/blink.cgi?pid=XP_004345458.2","5E-078")</f>
        <v>5E-078</v>
      </c>
      <c r="BJ527" s="2" t="str">
        <f>HYPERLINK("http://www.ncbi.nlm.nih.gov/protein/XP_004345458.2","XP_004345458.2")</f>
        <v>XP_004345458.2</v>
      </c>
      <c r="BK527" s="2">
        <v>43</v>
      </c>
      <c r="BL527" s="2">
        <v>66</v>
      </c>
      <c r="BM527" s="2">
        <v>98</v>
      </c>
      <c r="BN527" s="2" t="s">
        <v>106</v>
      </c>
      <c r="BO527" s="9" t="str">
        <f>HYPERLINK(".\links\SWISSP\AGAP007104-PA-SWISSP.txt","Farnesyl pyrophosphate synthase")</f>
        <v>Farnesyl pyrophosphate synthase</v>
      </c>
      <c r="BP527" s="2" t="str">
        <f>HYPERLINK("http://www.uniprot.org/uniprot/P08836","1E-082")</f>
        <v>1E-082</v>
      </c>
      <c r="BQ527" s="2" t="str">
        <f>HYPERLINK("http://www.uniprot.org/uniprot/P08836#expression","P08836")</f>
        <v>P08836</v>
      </c>
      <c r="BR527" s="2">
        <v>44</v>
      </c>
      <c r="BS527" s="2">
        <v>64</v>
      </c>
      <c r="BT527" s="2">
        <v>94</v>
      </c>
      <c r="BU527" s="2" t="s">
        <v>483</v>
      </c>
      <c r="BV527" s="9" t="str">
        <f>HYPERLINK(".\links\FLYBASE\AGAP007104-PA-FLYBASE.txt","FBpp0087266")</f>
        <v>FBpp0087266</v>
      </c>
      <c r="BW527" s="2" t="str">
        <f>HYPERLINK("http://flybase.org/reports/FBgn0025373#alliance_summary_container","1E-169")</f>
        <v>1E-169</v>
      </c>
      <c r="BX527" s="2">
        <v>419</v>
      </c>
      <c r="BY527" s="2">
        <v>60</v>
      </c>
      <c r="BZ527" s="2">
        <v>78</v>
      </c>
      <c r="CA527" s="2">
        <v>87</v>
      </c>
      <c r="CB527" s="9" t="str">
        <f>HYPERLINK(".\links\CDD\AGAP007104-PA-CDD.txt","polyprenyl_synt, Polyprenyl synthetase")</f>
        <v>polyprenyl_synt, Polyprenyl synthetase</v>
      </c>
      <c r="CC527" s="15">
        <v>1.9999999999999999E-81</v>
      </c>
      <c r="CD527" s="2">
        <v>104.4</v>
      </c>
      <c r="CE527" s="2" t="s">
        <v>5476</v>
      </c>
      <c r="CF527" s="2" t="s">
        <v>5477</v>
      </c>
      <c r="CG527" s="9" t="str">
        <f>HYPERLINK(".\links\KOG\AGAP007104-PA-KOG.txt","Polyprenyl synthetase")</f>
        <v>Polyprenyl synthetase</v>
      </c>
      <c r="CH527" s="15">
        <v>9.9999999999999999E-110</v>
      </c>
      <c r="CI527" s="2">
        <v>99.4</v>
      </c>
      <c r="CJ527" s="2" t="s">
        <v>5478</v>
      </c>
      <c r="CK527" s="2" t="s">
        <v>786</v>
      </c>
      <c r="CL527" s="9" t="str">
        <f>HYPERLINK(".\links\PFAM\AGAP007104-PA-PFAM.txt","polyprenyl_synt, Polyprenyl synthetase")</f>
        <v>polyprenyl_synt, Polyprenyl synthetase</v>
      </c>
      <c r="CM527" s="15">
        <v>2.9999999999999999E-82</v>
      </c>
      <c r="CN527" s="2">
        <v>104.4</v>
      </c>
      <c r="CO527" s="2" t="s">
        <v>5476</v>
      </c>
      <c r="CP527" s="9" t="str">
        <f>HYPERLINK(".\links\SMART\AGAP007104-PA-SMART.txt","Malic_M, Malic enzyme, NAD binding domain")</f>
        <v>Malic_M, Malic enzyme, NAD binding domain</v>
      </c>
      <c r="CQ527" s="15">
        <v>1.8</v>
      </c>
      <c r="CR527" s="2">
        <v>17.7</v>
      </c>
      <c r="CS527" s="2" t="s">
        <v>4700</v>
      </c>
      <c r="CT527" s="2" t="s">
        <v>5473</v>
      </c>
      <c r="CU527" s="2" t="s">
        <v>5473</v>
      </c>
      <c r="CV527" s="2" t="s">
        <v>5473</v>
      </c>
      <c r="CW527" s="2" t="str">
        <f>HYPERLINK(".\links\pep\AGAP007104-PA-pep.txt","AGAP007104-PA")</f>
        <v>AGAP007104-PA</v>
      </c>
      <c r="CX527" s="2" t="s">
        <v>95</v>
      </c>
      <c r="CY527" s="2">
        <v>443</v>
      </c>
      <c r="CZ527" s="2" t="s">
        <v>113</v>
      </c>
      <c r="DA527" s="2" t="s">
        <v>5479</v>
      </c>
      <c r="DB527" s="2">
        <v>0</v>
      </c>
      <c r="DC527" s="2">
        <v>3</v>
      </c>
      <c r="DD527" s="2" t="str">
        <f>HYPERLINK("https://www.kegg.jp/kegg-bin/search_pathway_text?map=aga&amp;keyword=AGAP007104&amp;mode=1&amp;viewImage=true","AGAP007104")</f>
        <v>AGAP007104</v>
      </c>
      <c r="DE527" s="2" t="s">
        <v>5469</v>
      </c>
      <c r="DF527" s="2" t="s">
        <v>5470</v>
      </c>
      <c r="DG527" s="2" t="s">
        <v>94</v>
      </c>
      <c r="DH527" s="2" t="str">
        <f>HYPERLINK("https://vectorbase.org/vectorbase/app/record/gene/AGAP007104","AGAP007104-RA")</f>
        <v>AGAP007104-RA</v>
      </c>
      <c r="DI527" s="2" t="s">
        <v>90</v>
      </c>
      <c r="DJ527" s="2">
        <v>3785</v>
      </c>
      <c r="DK527" s="2" t="str">
        <f>HYPERLINK(".\links\netoglyc\AGAP007104-PA-netoglyc.txt","2")</f>
        <v>2</v>
      </c>
      <c r="DL527" s="2">
        <v>13.5</v>
      </c>
      <c r="DM527" s="2">
        <v>4.7</v>
      </c>
      <c r="DN527" s="2">
        <v>3.6</v>
      </c>
      <c r="DO527" s="2" t="s">
        <v>104</v>
      </c>
      <c r="DP527" s="2" t="s">
        <v>102</v>
      </c>
      <c r="DQ527" s="2" t="str">
        <f>HYPERLINK(".\links\Sigp\AGAP007104-PA-SigP.txt","CYT")</f>
        <v>CYT</v>
      </c>
      <c r="DR527" s="2" t="s">
        <v>102</v>
      </c>
      <c r="DS527" s="2">
        <v>50.5</v>
      </c>
      <c r="DT527" s="2">
        <v>8.33</v>
      </c>
      <c r="DU527" s="2" t="s">
        <v>102</v>
      </c>
      <c r="DV527" s="2" t="s">
        <v>102</v>
      </c>
      <c r="DW527" s="2" t="s">
        <v>5475</v>
      </c>
      <c r="DX527" s="2">
        <v>443</v>
      </c>
      <c r="DY527" s="12">
        <v>0</v>
      </c>
      <c r="DZ527" s="2" t="s">
        <v>102</v>
      </c>
      <c r="EA527" s="2" t="s">
        <v>102</v>
      </c>
      <c r="EB527" s="2" t="s">
        <v>102</v>
      </c>
      <c r="EC527" s="2" t="str">
        <f>HYPERLINK(".\links\gpi\AGAP007104-PA-gpi.txt","Y-NoSP")</f>
        <v>Y-NoSP</v>
      </c>
      <c r="ED527" s="2">
        <v>0.16</v>
      </c>
      <c r="EF527" s="2">
        <v>6</v>
      </c>
      <c r="EG527" s="2" t="str">
        <f>HYPERLINK(".\links\pep\AGAP007104-PA-sulf.txt","2")</f>
        <v>2</v>
      </c>
      <c r="EH527" s="2" t="s">
        <v>102</v>
      </c>
      <c r="EI527" s="2">
        <v>13.5440180586907</v>
      </c>
      <c r="EJ527" s="2">
        <v>3.6117381489842</v>
      </c>
      <c r="EK527" s="2">
        <v>4.7404063205417604</v>
      </c>
      <c r="EL527" s="2">
        <v>8.3521444695259603</v>
      </c>
      <c r="EM527" s="2" t="s">
        <v>102</v>
      </c>
      <c r="EN527" s="2">
        <v>1</v>
      </c>
      <c r="EO527" s="2">
        <v>1</v>
      </c>
      <c r="EP527" s="2" t="s">
        <v>102</v>
      </c>
      <c r="EQ527" s="2" t="s">
        <v>102</v>
      </c>
      <c r="ER527" s="2" t="s">
        <v>102</v>
      </c>
      <c r="ES527" s="2" t="s">
        <v>102</v>
      </c>
      <c r="ET527" s="2" t="str">
        <f>HYPERLINK(".\links\REFSEQ-INVERTEBRATE\AGAP007104-PA-REFSEQ-INVERTEBRATE.txt","AGAP007104-PA")</f>
        <v>AGAP007104-PA</v>
      </c>
      <c r="EU527" s="2" t="str">
        <f>HYPERLINK("http://www.ncbi.nlm.nih.gov/sutils/blink.cgi?pid=XP_308653.4","0.0")</f>
        <v>0.0</v>
      </c>
      <c r="EV527" s="2" t="str">
        <f>HYPERLINK("http://www.ncbi.nlm.nih.gov/protein/XP_308653.4","XP_308653.4")</f>
        <v>XP_308653.4</v>
      </c>
      <c r="EW527" s="2">
        <v>100</v>
      </c>
      <c r="EX527" s="2">
        <v>100</v>
      </c>
      <c r="EY527" s="2">
        <v>100</v>
      </c>
      <c r="EZ527" s="2" t="s">
        <v>105</v>
      </c>
    </row>
    <row r="528" spans="1:156" x14ac:dyDescent="0.25">
      <c r="A528" s="2" t="s">
        <v>5480</v>
      </c>
      <c r="B528" s="2">
        <v>-0.51613162108902499</v>
      </c>
      <c r="C528" s="2">
        <f t="shared" si="8"/>
        <v>0.69924424445804223</v>
      </c>
      <c r="D528" s="2">
        <v>5.88184201886674</v>
      </c>
      <c r="E528" s="2">
        <v>17.6636191817359</v>
      </c>
      <c r="F528" s="2">
        <v>2.6362084541914901E-5</v>
      </c>
      <c r="G528" s="2">
        <v>6.4949585790142804E-3</v>
      </c>
      <c r="H528" s="2" t="s">
        <v>5481</v>
      </c>
      <c r="I528" s="2" t="s">
        <v>94</v>
      </c>
      <c r="J528" s="2" t="str">
        <f>HYPERLINK("https://vectorbase.org/vectorbase/app/record/gene/AGAP007925","AGAP007925-RB")</f>
        <v>AGAP007925-RB</v>
      </c>
      <c r="K528" s="2" t="str">
        <f>HYPERLINK(".\links\pep\AGAP007925-PB-pep.txt","AGAP007925-PB")</f>
        <v>AGAP007925-PB</v>
      </c>
      <c r="L528" s="12" t="s">
        <v>95</v>
      </c>
      <c r="M528" s="2">
        <v>1501</v>
      </c>
      <c r="N528" s="2">
        <v>0</v>
      </c>
      <c r="O528" s="2">
        <v>5</v>
      </c>
      <c r="P528" s="2" t="s">
        <v>5482</v>
      </c>
      <c r="Q528" s="9" t="s">
        <v>5483</v>
      </c>
      <c r="R528" s="2" t="s">
        <v>355</v>
      </c>
      <c r="S528" s="2" t="str">
        <f>HYPERLINK(".\links\REFSEQ-INVERTEBRATE\AGAP007925-PB-REFSEQ-INVERTEBRATE.txt","REFSEQ-INVERTEBRATE")</f>
        <v>REFSEQ-INVERTEBRATE</v>
      </c>
      <c r="T528" s="2">
        <v>0</v>
      </c>
      <c r="U528" s="2">
        <v>101.2</v>
      </c>
      <c r="V528" s="2" t="s">
        <v>5484</v>
      </c>
      <c r="W528" s="10" t="s">
        <v>5485</v>
      </c>
      <c r="X528" s="2" t="s">
        <v>355</v>
      </c>
      <c r="Y528" s="2" t="str">
        <f>HYPERLINK(".\links\REFSEQVERTEBRATE95\AGAP007925-PB-REFSEQVERTEBRATE95.txt","REFSEQVERTEBRATE95")</f>
        <v>REFSEQVERTEBRATE95</v>
      </c>
      <c r="Z528" s="2">
        <v>0</v>
      </c>
      <c r="AA528" s="2">
        <v>105</v>
      </c>
      <c r="AB528" s="13" t="s">
        <v>102</v>
      </c>
      <c r="AC528" s="13" t="str">
        <f>HYPERLINK(".\links\Sigp\AGAP007925-PB-SigP.txt","CYT")</f>
        <v>CYT</v>
      </c>
      <c r="AD528" s="2" t="s">
        <v>102</v>
      </c>
      <c r="AE528" s="2">
        <v>166.92599999999999</v>
      </c>
      <c r="AF528" s="2">
        <v>6.02</v>
      </c>
      <c r="AG528" s="2" t="s">
        <v>102</v>
      </c>
      <c r="AH528" s="2" t="s">
        <v>102</v>
      </c>
      <c r="AI528" s="2" t="s">
        <v>5486</v>
      </c>
      <c r="AJ528" s="13">
        <v>0</v>
      </c>
      <c r="AK528" s="2" t="s">
        <v>102</v>
      </c>
      <c r="AL528" s="2" t="s">
        <v>102</v>
      </c>
      <c r="AM528" s="2" t="s">
        <v>102</v>
      </c>
      <c r="AN528" s="13" t="str">
        <f>HYPERLINK(".\links\gpi\AGAP007925-PB-gpi.txt","N")</f>
        <v>N</v>
      </c>
      <c r="AO528" s="14" t="str">
        <f>HYPERLINK(".\links\netoglyc\AGAP007925-PB-netoglyc.txt","1")</f>
        <v>1</v>
      </c>
      <c r="AP528" s="13">
        <v>15.2</v>
      </c>
      <c r="AQ528" s="2">
        <v>5.5</v>
      </c>
      <c r="AR528" s="2">
        <v>6</v>
      </c>
      <c r="AS528" s="2" t="s">
        <v>104</v>
      </c>
      <c r="AT528" s="9" t="str">
        <f>HYPERLINK(".\links\NR-LIGHT\AGAP007925-PB-NR-LIGHT.txt","AGAP007925-PA")</f>
        <v>AGAP007925-PA</v>
      </c>
      <c r="AU528" s="2" t="str">
        <f>HYPERLINK("http://www.ncbi.nlm.nih.gov/sutils/blink.cgi?pid=XP_317557.4","0.0")</f>
        <v>0.0</v>
      </c>
      <c r="AV528" s="2" t="str">
        <f>HYPERLINK("http://www.ncbi.nlm.nih.gov/protein/XP_317557.4","XP_317557.4")</f>
        <v>XP_317557.4</v>
      </c>
      <c r="AW528" s="2">
        <v>97</v>
      </c>
      <c r="AX528" s="2">
        <v>97</v>
      </c>
      <c r="AY528" s="2">
        <v>100</v>
      </c>
      <c r="AZ528" s="2" t="s">
        <v>105</v>
      </c>
      <c r="BA528" s="9" t="str">
        <f>HYPERLINK(".\links\REFSEQ-INVERTEBRATE\AGAP007925-PB-REFSEQ-INVERTEBRATE.txt","AGAP007925-PA")</f>
        <v>AGAP007925-PA</v>
      </c>
      <c r="BB528" s="2" t="str">
        <f>HYPERLINK("http://www.ncbi.nlm.nih.gov/sutils/blink.cgi?pid=XP_317557.4","0.0")</f>
        <v>0.0</v>
      </c>
      <c r="BC528" s="2" t="str">
        <f>HYPERLINK("http://www.ncbi.nlm.nih.gov/protein/XP_317557.4","XP_317557.4")</f>
        <v>XP_317557.4</v>
      </c>
      <c r="BD528" s="2">
        <v>97</v>
      </c>
      <c r="BE528" s="2">
        <v>97</v>
      </c>
      <c r="BF528" s="2">
        <v>100</v>
      </c>
      <c r="BG528" s="2" t="s">
        <v>105</v>
      </c>
      <c r="BH528" s="9" t="str">
        <f>HYPERLINK(".\links\REFSEQ-PROTOZOA\AGAP007925-PB-REFSEQ-PROTOZOA.txt","hypothetical protein CAOG_05066")</f>
        <v>hypothetical protein CAOG_05066</v>
      </c>
      <c r="BI528" s="2" t="str">
        <f>HYPERLINK("http://www.ncbi.nlm.nih.gov/sutils/blink.cgi?pid=XP_004346751.2","5E-052")</f>
        <v>5E-052</v>
      </c>
      <c r="BJ528" s="2" t="str">
        <f>HYPERLINK("http://www.ncbi.nlm.nih.gov/protein/XP_004346751.2","XP_004346751.2")</f>
        <v>XP_004346751.2</v>
      </c>
      <c r="BK528" s="2">
        <v>27</v>
      </c>
      <c r="BL528" s="2">
        <v>43</v>
      </c>
      <c r="BM528" s="2">
        <v>31</v>
      </c>
      <c r="BN528" s="2" t="s">
        <v>106</v>
      </c>
      <c r="BO528" s="9" t="str">
        <f>HYPERLINK(".\links\SWISSP\AGAP007925-PB-SWISSP.txt","Ral GTPase-activating protein subunit beta")</f>
        <v>Ral GTPase-activating protein subunit beta</v>
      </c>
      <c r="BP528" s="2" t="str">
        <f>HYPERLINK("http://www.uniprot.org/uniprot/Q86X10","0.0")</f>
        <v>0.0</v>
      </c>
      <c r="BQ528" s="2" t="str">
        <f>HYPERLINK("http://www.uniprot.org/uniprot/Q86X10#expression","Q86X10")</f>
        <v>Q86X10</v>
      </c>
      <c r="BR528" s="2">
        <v>41</v>
      </c>
      <c r="BS528" s="2">
        <v>56</v>
      </c>
      <c r="BT528" s="2">
        <v>105</v>
      </c>
      <c r="BU528" s="2" t="s">
        <v>127</v>
      </c>
      <c r="BV528" s="9" t="str">
        <f>HYPERLINK(".\links\FLYBASE\AGAP007925-PB-FLYBASE.txt","FBpp0071374")</f>
        <v>FBpp0071374</v>
      </c>
      <c r="BW528" s="2" t="str">
        <f>HYPERLINK("http://flybase.org/reports/FBgn0085437#alliance_summary_container","0.0")</f>
        <v>0.0</v>
      </c>
      <c r="BX528" s="2">
        <v>1532</v>
      </c>
      <c r="BY528" s="2">
        <v>59</v>
      </c>
      <c r="BZ528" s="2">
        <v>72</v>
      </c>
      <c r="CA528" s="2">
        <v>102</v>
      </c>
      <c r="CB528" s="9" t="str">
        <f>HYPERLINK(".\links\CDD\AGAP007925-PB-CDD.txt","K1377, Susceptibility to monomelic amyotrophy")</f>
        <v>K1377, Susceptibility to monomelic amyotrophy</v>
      </c>
      <c r="CC528" s="15">
        <v>0.68</v>
      </c>
      <c r="CD528" s="2">
        <v>13.3</v>
      </c>
      <c r="CE528" s="2" t="s">
        <v>5487</v>
      </c>
      <c r="CF528" s="2" t="s">
        <v>5488</v>
      </c>
      <c r="CG528" s="9" t="str">
        <f>HYPERLINK(".\links\KOG\AGAP007925-PB-KOG.txt","Uncharacterized conserved protein")</f>
        <v>Uncharacterized conserved protein</v>
      </c>
      <c r="CH528" s="15">
        <v>0</v>
      </c>
      <c r="CI528" s="2">
        <v>103.5</v>
      </c>
      <c r="CJ528" s="2" t="s">
        <v>5489</v>
      </c>
      <c r="CK528" s="2" t="s">
        <v>284</v>
      </c>
      <c r="CL528" s="9" t="str">
        <f>HYPERLINK(".\links\PFAM\AGAP007925-PB-PFAM.txt","K1377, Susceptibility to monomelic amyotrophy")</f>
        <v>K1377, Susceptibility to monomelic amyotrophy</v>
      </c>
      <c r="CM528" s="15">
        <v>0.13</v>
      </c>
      <c r="CN528" s="2">
        <v>13.3</v>
      </c>
      <c r="CO528" s="2" t="s">
        <v>5487</v>
      </c>
      <c r="CP528" s="9" t="str">
        <f>HYPERLINK(".\links\SMART\AGAP007925-PB-SMART.txt","AGTRAP, Angiotensin II, type I receptor-associated protein")</f>
        <v>AGTRAP, Angiotensin II, type I receptor-associated protein</v>
      </c>
      <c r="CQ528" s="15">
        <v>3.1</v>
      </c>
      <c r="CR528" s="2">
        <v>24.5</v>
      </c>
      <c r="CS528" s="2" t="s">
        <v>5490</v>
      </c>
      <c r="CT528" s="2" t="s">
        <v>5484</v>
      </c>
      <c r="CU528" s="2" t="s">
        <v>5484</v>
      </c>
      <c r="CV528" s="2" t="s">
        <v>5484</v>
      </c>
      <c r="CW528" s="2" t="str">
        <f>HYPERLINK(".\links\pep\AGAP007925-PB-pep.txt","AGAP007925-PB")</f>
        <v>AGAP007925-PB</v>
      </c>
      <c r="CX528" s="2" t="s">
        <v>95</v>
      </c>
      <c r="CY528" s="2">
        <v>1501</v>
      </c>
      <c r="CZ528" s="2" t="s">
        <v>113</v>
      </c>
      <c r="DA528" s="2" t="s">
        <v>5491</v>
      </c>
      <c r="DB528" s="2">
        <v>0</v>
      </c>
      <c r="DC528" s="2">
        <v>5</v>
      </c>
      <c r="DD528" s="2" t="str">
        <f>HYPERLINK("https://www.kegg.jp/kegg-bin/search_pathway_text?map=aga&amp;keyword=AGAP007925&amp;mode=1&amp;viewImage=true","AGAP007925")</f>
        <v>AGAP007925</v>
      </c>
      <c r="DE528" s="2" t="s">
        <v>5480</v>
      </c>
      <c r="DF528" s="2" t="s">
        <v>5481</v>
      </c>
      <c r="DG528" s="2" t="s">
        <v>94</v>
      </c>
      <c r="DH528" s="2" t="str">
        <f>HYPERLINK("https://vectorbase.org/vectorbase/app/record/gene/AGAP007925","AGAP007925-RB")</f>
        <v>AGAP007925-RB</v>
      </c>
      <c r="DI528" s="2" t="s">
        <v>135</v>
      </c>
      <c r="DJ528" s="2">
        <v>4761</v>
      </c>
      <c r="DK528" s="2" t="str">
        <f>HYPERLINK(".\links\netoglyc\AGAP007925-PB-netoglyc.txt","1")</f>
        <v>1</v>
      </c>
      <c r="DL528" s="2">
        <v>15.2</v>
      </c>
      <c r="DM528" s="2">
        <v>5.5</v>
      </c>
      <c r="DN528" s="2">
        <v>6</v>
      </c>
      <c r="DO528" s="2" t="s">
        <v>104</v>
      </c>
      <c r="DP528" s="2" t="s">
        <v>5492</v>
      </c>
      <c r="DQ528" s="2" t="str">
        <f>HYPERLINK(".\links\Sigp\AGAP007925-PB-SigP.txt","CYT")</f>
        <v>CYT</v>
      </c>
      <c r="DR528" s="2" t="s">
        <v>102</v>
      </c>
      <c r="DS528" s="2">
        <v>166.92599999999999</v>
      </c>
      <c r="DT528" s="2">
        <v>6.02</v>
      </c>
      <c r="DU528" s="2" t="s">
        <v>102</v>
      </c>
      <c r="DV528" s="2" t="s">
        <v>102</v>
      </c>
      <c r="DW528" s="2" t="s">
        <v>5486</v>
      </c>
      <c r="DX528" s="2">
        <v>1501</v>
      </c>
      <c r="DY528" s="12">
        <v>0</v>
      </c>
      <c r="DZ528" s="2" t="s">
        <v>102</v>
      </c>
      <c r="EA528" s="2" t="s">
        <v>102</v>
      </c>
      <c r="EB528" s="2" t="s">
        <v>102</v>
      </c>
      <c r="EC528" s="2" t="str">
        <f>HYPERLINK(".\links\gpi\AGAP007925-PB-gpi.txt","N")</f>
        <v>N</v>
      </c>
      <c r="ED528" s="2">
        <v>0.14000000000000001</v>
      </c>
      <c r="EF528" s="2">
        <v>35</v>
      </c>
      <c r="EG528" s="2" t="s">
        <v>102</v>
      </c>
      <c r="EH528" s="2" t="s">
        <v>102</v>
      </c>
      <c r="EI528" s="2">
        <v>15.1898734177215</v>
      </c>
      <c r="EJ528" s="2">
        <v>5.9960026648900699</v>
      </c>
      <c r="EK528" s="2">
        <v>5.4630246502331801</v>
      </c>
      <c r="EL528" s="2">
        <v>11.459027315123301</v>
      </c>
      <c r="EM528" s="2" t="s">
        <v>102</v>
      </c>
      <c r="EN528" s="2">
        <v>3</v>
      </c>
      <c r="EO528" s="2">
        <v>6</v>
      </c>
      <c r="EP528" s="2" t="s">
        <v>102</v>
      </c>
      <c r="EQ528" s="2" t="s">
        <v>102</v>
      </c>
      <c r="ER528" s="2" t="s">
        <v>102</v>
      </c>
      <c r="ES528" s="2" t="s">
        <v>102</v>
      </c>
      <c r="ET528" s="2" t="str">
        <f>HYPERLINK(".\links\REFSEQ-INVERTEBRATE\AGAP007925-PB-REFSEQ-INVERTEBRATE.txt","AGAP007925-PA")</f>
        <v>AGAP007925-PA</v>
      </c>
      <c r="EU528" s="2" t="str">
        <f>HYPERLINK("http://www.ncbi.nlm.nih.gov/sutils/blink.cgi?pid=XP_317557.4","0.0")</f>
        <v>0.0</v>
      </c>
      <c r="EV528" s="2" t="str">
        <f>HYPERLINK("http://www.ncbi.nlm.nih.gov/protein/XP_317557.4","XP_317557.4")</f>
        <v>XP_317557.4</v>
      </c>
      <c r="EW528" s="2">
        <v>97</v>
      </c>
      <c r="EX528" s="2">
        <v>97</v>
      </c>
      <c r="EY528" s="2">
        <v>100</v>
      </c>
      <c r="EZ528" s="2" t="s">
        <v>105</v>
      </c>
    </row>
    <row r="529" spans="1:156" x14ac:dyDescent="0.25">
      <c r="A529" s="2" t="s">
        <v>5493</v>
      </c>
      <c r="B529" s="2">
        <v>-0.52129990268131099</v>
      </c>
      <c r="C529" s="2">
        <f t="shared" si="8"/>
        <v>0.69674376749486011</v>
      </c>
      <c r="D529" s="2">
        <v>8.0208346256877494</v>
      </c>
      <c r="E529" s="2">
        <v>13.661715349861099</v>
      </c>
      <c r="F529" s="2">
        <v>2.1887146500037399E-4</v>
      </c>
      <c r="G529" s="2">
        <v>1.6570189653382202E-2</v>
      </c>
      <c r="H529" s="2" t="s">
        <v>93</v>
      </c>
      <c r="I529" s="2" t="s">
        <v>94</v>
      </c>
      <c r="J529" s="2" t="str">
        <f>HYPERLINK("https://vectorbase.org/vectorbase/app/record/gene/AGAP012236","AGAP012236-RA")</f>
        <v>AGAP012236-RA</v>
      </c>
      <c r="K529" s="2" t="str">
        <f>HYPERLINK(".\links\pep\AGAP012236-PA-pep.txt","AGAP012236-PA")</f>
        <v>AGAP012236-PA</v>
      </c>
      <c r="L529" s="12" t="s">
        <v>95</v>
      </c>
      <c r="M529" s="2">
        <v>3711</v>
      </c>
      <c r="N529" s="2">
        <v>0</v>
      </c>
      <c r="O529" s="2">
        <v>6</v>
      </c>
      <c r="P529" s="2" t="s">
        <v>102</v>
      </c>
      <c r="Q529" s="9" t="s">
        <v>5494</v>
      </c>
      <c r="R529" s="2" t="s">
        <v>444</v>
      </c>
      <c r="S529" s="2" t="str">
        <f>HYPERLINK(".\links\PFAM\AGAP012236-PA-PFAM.txt","PFAM")</f>
        <v>PFAM</v>
      </c>
      <c r="T529" s="2">
        <v>1.0000000000000001E-9</v>
      </c>
      <c r="U529" s="2">
        <v>38</v>
      </c>
      <c r="V529" s="2" t="s">
        <v>5495</v>
      </c>
      <c r="W529" s="10" t="s">
        <v>5496</v>
      </c>
      <c r="X529" s="2" t="s">
        <v>444</v>
      </c>
      <c r="Y529" s="2" t="str">
        <f>HYPERLINK(".\links\REFSEQ-INVERTEBRATE\AGAP012236-PA-REFSEQ-INVERTEBRATE.txt","REFSEQ-INVERTEBRATE")</f>
        <v>REFSEQ-INVERTEBRATE</v>
      </c>
      <c r="Z529" s="2">
        <v>0</v>
      </c>
      <c r="AA529" s="2">
        <v>68.7</v>
      </c>
      <c r="AB529" s="13" t="str">
        <f>HYPERLINK(".\links\pep\AGAP012236-PA-sulf.txt","1")</f>
        <v>1</v>
      </c>
      <c r="AC529" s="13" t="str">
        <f>HYPERLINK(".\links\Sigp\AGAP012236-PA-SigP.txt","CYT")</f>
        <v>CYT</v>
      </c>
      <c r="AD529" s="2" t="s">
        <v>102</v>
      </c>
      <c r="AE529" s="2">
        <v>385.87700000000001</v>
      </c>
      <c r="AF529" s="2">
        <v>5.86</v>
      </c>
      <c r="AG529" s="2" t="s">
        <v>102</v>
      </c>
      <c r="AH529" s="2" t="s">
        <v>102</v>
      </c>
      <c r="AI529" s="2" t="s">
        <v>5497</v>
      </c>
      <c r="AJ529" s="13">
        <v>0</v>
      </c>
      <c r="AK529" s="2" t="s">
        <v>102</v>
      </c>
      <c r="AL529" s="2" t="s">
        <v>102</v>
      </c>
      <c r="AM529" s="2" t="s">
        <v>102</v>
      </c>
      <c r="AN529" s="13" t="str">
        <f>HYPERLINK(".\links\gpi\AGAP012236-PA-gpi.txt","N")</f>
        <v>N</v>
      </c>
      <c r="AO529" s="14" t="str">
        <f>HYPERLINK(".\links\netoglyc\AGAP012236-PA-netoglyc.txt","32")</f>
        <v>32</v>
      </c>
      <c r="AP529" s="13">
        <v>21.4</v>
      </c>
      <c r="AQ529" s="2">
        <v>8.5</v>
      </c>
      <c r="AR529" s="2">
        <v>7.8</v>
      </c>
      <c r="AS529" s="2">
        <v>0.1</v>
      </c>
      <c r="AT529" s="9" t="str">
        <f>HYPERLINK(".\links\NR-LIGHT\AGAP012236-PA-NR-LIGHT.txt","AGAP012236-PA-like protein")</f>
        <v>AGAP012236-PA-like protein</v>
      </c>
      <c r="AU529" s="2" t="str">
        <f>HYPERLINK("http://www.ncbi.nlm.nih.gov/sutils/blink.cgi?pid=KFB47448.1","0.0")</f>
        <v>0.0</v>
      </c>
      <c r="AV529" s="2" t="str">
        <f>HYPERLINK("http://www.ncbi.nlm.nih.gov/protein/KFB47448.1","KFB47448.1")</f>
        <v>KFB47448.1</v>
      </c>
      <c r="AW529" s="2">
        <v>45</v>
      </c>
      <c r="AX529" s="2">
        <v>55</v>
      </c>
      <c r="AY529" s="2">
        <v>105</v>
      </c>
      <c r="AZ529" s="2" t="s">
        <v>1522</v>
      </c>
      <c r="BA529" s="9" t="str">
        <f>HYPERLINK(".\links\REFSEQ-INVERTEBRATE\AGAP012236-PA-REFSEQ-INVERTEBRATE.txt","AGAP012236-PA, partial")</f>
        <v>AGAP012236-PA, partial</v>
      </c>
      <c r="BB529" s="2" t="str">
        <f>HYPERLINK("http://www.ncbi.nlm.nih.gov/sutils/blink.cgi?pid=XP_001689248.1","0.0")</f>
        <v>0.0</v>
      </c>
      <c r="BC529" s="2" t="str">
        <f>HYPERLINK("http://www.ncbi.nlm.nih.gov/protein/XP_001689248.1","XP_001689248.1")</f>
        <v>XP_001689248.1</v>
      </c>
      <c r="BD529" s="2">
        <v>94</v>
      </c>
      <c r="BE529" s="2">
        <v>94</v>
      </c>
      <c r="BF529" s="2">
        <v>28</v>
      </c>
      <c r="BG529" s="2" t="s">
        <v>105</v>
      </c>
      <c r="BH529" s="9" t="str">
        <f>HYPERLINK(".\links\REFSEQ-PROTOZOA\AGAP012236-PA-REFSEQ-PROTOZOA.txt","proteophosphoglycan ppg4")</f>
        <v>proteophosphoglycan ppg4</v>
      </c>
      <c r="BI529" s="2" t="str">
        <f>HYPERLINK("http://www.ncbi.nlm.nih.gov/sutils/blink.cgi?pid=XP_003722448.1","2E-060")</f>
        <v>2E-060</v>
      </c>
      <c r="BJ529" s="2" t="str">
        <f>HYPERLINK("http://www.ncbi.nlm.nih.gov/protein/XP_003722448.1","XP_003722448.1")</f>
        <v>XP_003722448.1</v>
      </c>
      <c r="BK529" s="2">
        <v>18</v>
      </c>
      <c r="BL529" s="2">
        <v>33</v>
      </c>
      <c r="BM529" s="2">
        <v>37</v>
      </c>
      <c r="BN529" s="2" t="s">
        <v>3969</v>
      </c>
      <c r="BO529" s="9" t="str">
        <f>HYPERLINK(".\links\SWISSP\AGAP012236-PA-SWISSP.txt","Platelet binding protein GspB")</f>
        <v>Platelet binding protein GspB</v>
      </c>
      <c r="BP529" s="2" t="str">
        <f>HYPERLINK("http://www.uniprot.org/uniprot/Q939N5","2E-041")</f>
        <v>2E-041</v>
      </c>
      <c r="BQ529" s="2" t="str">
        <f>HYPERLINK("http://www.uniprot.org/uniprot/Q939N5#expression","Q939N5")</f>
        <v>Q939N5</v>
      </c>
      <c r="BR529" s="2">
        <v>18</v>
      </c>
      <c r="BS529" s="2">
        <v>34</v>
      </c>
      <c r="BT529" s="2">
        <v>63</v>
      </c>
      <c r="BU529" s="2" t="s">
        <v>4059</v>
      </c>
      <c r="BV529" s="9" t="str">
        <f>HYPERLINK(".\links\FLYBASE\AGAP012236-PA-FLYBASE.txt","FBpp0305264")</f>
        <v>FBpp0305264</v>
      </c>
      <c r="BW529" s="2" t="str">
        <f>HYPERLINK("http://flybase.org/reports/FBgn0036398#alliance_summary_container","9E-52")</f>
        <v>9E-52</v>
      </c>
      <c r="BX529" s="2">
        <v>3146</v>
      </c>
      <c r="BY529" s="2">
        <v>42</v>
      </c>
      <c r="BZ529" s="2">
        <v>52</v>
      </c>
      <c r="CA529" s="2">
        <v>9</v>
      </c>
      <c r="CB529" s="9" t="str">
        <f>HYPERLINK(".\links\CDD\AGAP012236-PA-CDD.txt","PHD_MLL5, PHD finger found in mixed lineage leukemia 5 (MLL5)")</f>
        <v>PHD_MLL5, PHD finger found in mixed lineage leukemia 5 (MLL5)</v>
      </c>
      <c r="CC529" s="15">
        <v>1E-26</v>
      </c>
      <c r="CD529" s="2">
        <v>100</v>
      </c>
      <c r="CE529" s="2" t="s">
        <v>5498</v>
      </c>
      <c r="CF529" s="2" t="s">
        <v>5499</v>
      </c>
      <c r="CG529" s="9" t="str">
        <f>HYPERLINK(".\links\KOG\AGAP012236-PA-KOG.txt","subunit TRAP230")</f>
        <v>subunit TRAP230</v>
      </c>
      <c r="CH529" s="15">
        <v>2E-12</v>
      </c>
      <c r="CI529" s="2">
        <v>14.9</v>
      </c>
      <c r="CJ529" s="2" t="s">
        <v>4038</v>
      </c>
      <c r="CK529" s="2" t="s">
        <v>309</v>
      </c>
      <c r="CL529" s="9" t="str">
        <f>HYPERLINK(".\links\PFAM\AGAP012236-PA-PFAM.txt","PHD, PHD-finger")</f>
        <v>PHD, PHD-finger</v>
      </c>
      <c r="CM529" s="15">
        <v>9.9999999999999998E-13</v>
      </c>
      <c r="CN529" s="2">
        <v>100</v>
      </c>
      <c r="CO529" s="2" t="s">
        <v>205</v>
      </c>
      <c r="CP529" s="9" t="str">
        <f>HYPERLINK(".\links\SMART\AGAP012236-PA-SMART.txt","SET, SET (Su(var)3-9, Enhancer-of-zeste, Trithorax) domain")</f>
        <v>SET, SET (Su(var)3-9, Enhancer-of-zeste, Trithorax) domain</v>
      </c>
      <c r="CQ529" s="15">
        <v>4.0000000000000003E-17</v>
      </c>
      <c r="CR529" s="2">
        <v>90.3</v>
      </c>
      <c r="CS529" s="2" t="s">
        <v>487</v>
      </c>
      <c r="CT529" s="2" t="s">
        <v>5495</v>
      </c>
      <c r="CU529" s="2" t="s">
        <v>5495</v>
      </c>
      <c r="CV529" s="2" t="s">
        <v>5495</v>
      </c>
      <c r="CW529" s="2" t="str">
        <f>HYPERLINK(".\links\pep\AGAP012236-PA-pep.txt","AGAP012236-PA")</f>
        <v>AGAP012236-PA</v>
      </c>
      <c r="CX529" s="2" t="s">
        <v>95</v>
      </c>
      <c r="CY529" s="2">
        <v>3711</v>
      </c>
      <c r="CZ529" s="2" t="s">
        <v>113</v>
      </c>
      <c r="DA529" s="2" t="s">
        <v>5500</v>
      </c>
      <c r="DB529" s="2">
        <v>0</v>
      </c>
      <c r="DC529" s="2">
        <v>6</v>
      </c>
      <c r="DD529" s="2" t="str">
        <f>HYPERLINK("https://www.kegg.jp/kegg-bin/search_pathway_text?map=aga&amp;keyword=AGAP012236&amp;mode=1&amp;viewImage=true","AGAP012236")</f>
        <v>AGAP012236</v>
      </c>
      <c r="DE529" s="2" t="s">
        <v>5493</v>
      </c>
      <c r="DF529" s="2" t="s">
        <v>93</v>
      </c>
      <c r="DG529" s="2" t="s">
        <v>94</v>
      </c>
      <c r="DH529" s="2" t="str">
        <f>HYPERLINK("https://vectorbase.org/vectorbase/app/record/gene/AGAP012236","AGAP012236-RA")</f>
        <v>AGAP012236-RA</v>
      </c>
      <c r="DI529" s="2" t="s">
        <v>90</v>
      </c>
      <c r="DJ529" s="2">
        <v>17206</v>
      </c>
      <c r="DK529" s="2" t="str">
        <f>HYPERLINK(".\links\netoglyc\AGAP012236-PA-netoglyc.txt","32")</f>
        <v>32</v>
      </c>
      <c r="DL529" s="2">
        <v>21.4</v>
      </c>
      <c r="DM529" s="2">
        <v>8.5</v>
      </c>
      <c r="DN529" s="2">
        <v>7.8</v>
      </c>
      <c r="DO529" s="2">
        <v>0.1</v>
      </c>
      <c r="DP529" s="2" t="s">
        <v>5501</v>
      </c>
      <c r="DQ529" s="2" t="str">
        <f>HYPERLINK(".\links\Sigp\AGAP012236-PA-SigP.txt","CYT")</f>
        <v>CYT</v>
      </c>
      <c r="DR529" s="2" t="s">
        <v>102</v>
      </c>
      <c r="DS529" s="2">
        <v>385.87700000000001</v>
      </c>
      <c r="DT529" s="2">
        <v>5.86</v>
      </c>
      <c r="DU529" s="2" t="s">
        <v>102</v>
      </c>
      <c r="DV529" s="2" t="s">
        <v>102</v>
      </c>
      <c r="DW529" s="2" t="s">
        <v>5497</v>
      </c>
      <c r="DX529" s="2">
        <v>3711</v>
      </c>
      <c r="DY529" s="12">
        <v>0</v>
      </c>
      <c r="DZ529" s="2" t="s">
        <v>102</v>
      </c>
      <c r="EA529" s="2" t="s">
        <v>102</v>
      </c>
      <c r="EB529" s="2" t="s">
        <v>102</v>
      </c>
      <c r="EC529" s="2" t="str">
        <f>HYPERLINK(".\links\gpi\AGAP012236-PA-gpi.txt","Y-NoSP")</f>
        <v>Y-NoSP</v>
      </c>
      <c r="ED529" s="2">
        <v>0.33</v>
      </c>
      <c r="EF529" s="2">
        <v>32</v>
      </c>
      <c r="EG529" s="2" t="str">
        <f>HYPERLINK(".\links\pep\AGAP012236-PA-sulf.txt","1")</f>
        <v>1</v>
      </c>
      <c r="EH529" s="2" t="s">
        <v>102</v>
      </c>
      <c r="EI529" s="2">
        <v>21.368903260576701</v>
      </c>
      <c r="EJ529" s="2">
        <v>7.78765831312315</v>
      </c>
      <c r="EK529" s="2">
        <v>8.4613311775801705</v>
      </c>
      <c r="EL529" s="2">
        <v>16.248989490703298</v>
      </c>
      <c r="EM529" s="2">
        <v>9</v>
      </c>
      <c r="EN529" s="2">
        <v>10</v>
      </c>
      <c r="EO529" s="2">
        <v>14</v>
      </c>
      <c r="EP529" s="2" t="s">
        <v>102</v>
      </c>
      <c r="EQ529" s="2" t="s">
        <v>102</v>
      </c>
      <c r="ER529" s="2" t="s">
        <v>102</v>
      </c>
      <c r="ES529" s="2" t="s">
        <v>576</v>
      </c>
      <c r="ET529" s="2" t="str">
        <f>HYPERLINK(".\links\REFSEQ-INVERTEBRATE\AGAP012236-PA-REFSEQ-INVERTEBRATE.txt","mucin-19")</f>
        <v>mucin-19</v>
      </c>
      <c r="EU529" s="2" t="str">
        <f>HYPERLINK("http://www.ncbi.nlm.nih.gov/sutils/blink.cgi?pid=XP_035895652.1","0.0")</f>
        <v>0.0</v>
      </c>
      <c r="EV529" s="2" t="str">
        <f>HYPERLINK("http://www.ncbi.nlm.nih.gov/protein/XP_035895652.1","XP_035895652.1")</f>
        <v>XP_035895652.1</v>
      </c>
      <c r="EW529" s="2">
        <v>58</v>
      </c>
      <c r="EX529" s="2">
        <v>65</v>
      </c>
      <c r="EY529" s="2">
        <v>69</v>
      </c>
      <c r="EZ529" s="2" t="s">
        <v>370</v>
      </c>
    </row>
    <row r="530" spans="1:156" x14ac:dyDescent="0.25">
      <c r="A530" s="2" t="s">
        <v>5502</v>
      </c>
      <c r="B530" s="2">
        <v>-0.522795056826865</v>
      </c>
      <c r="C530" s="2">
        <f t="shared" si="8"/>
        <v>0.69602206285194301</v>
      </c>
      <c r="D530" s="2">
        <v>8.8872351627958306</v>
      </c>
      <c r="E530" s="2">
        <v>12.0715939316242</v>
      </c>
      <c r="F530" s="2">
        <v>5.1195911079324403E-4</v>
      </c>
      <c r="G530" s="2">
        <v>2.6253707460125002E-2</v>
      </c>
      <c r="H530" s="2" t="s">
        <v>93</v>
      </c>
      <c r="I530" s="2" t="s">
        <v>94</v>
      </c>
      <c r="J530" s="2" t="str">
        <f>HYPERLINK("https://vectorbase.org/vectorbase/app/record/gene/AGAP028655","AGAP028655-RA")</f>
        <v>AGAP028655-RA</v>
      </c>
      <c r="K530" s="2" t="str">
        <f>HYPERLINK(".\links\pep\AGAP028655-PA-pep.txt","AGAP028655-PA")</f>
        <v>AGAP028655-PA</v>
      </c>
      <c r="L530" s="12" t="s">
        <v>95</v>
      </c>
      <c r="M530" s="2">
        <v>1659</v>
      </c>
      <c r="N530" s="2">
        <v>0</v>
      </c>
      <c r="O530" s="2">
        <v>4</v>
      </c>
      <c r="P530" s="2" t="s">
        <v>102</v>
      </c>
      <c r="Q530" s="9" t="s">
        <v>226</v>
      </c>
      <c r="R530" s="2" t="s">
        <v>227</v>
      </c>
      <c r="S530" s="2" t="str">
        <f>HYPERLINK(".\links\REFSEQ-INVERTEBRATE\AGAP028655-PA-REFSEQ-INVERTEBRATE.txt","REFSEQ-INVERTEBRATE")</f>
        <v>REFSEQ-INVERTEBRATE</v>
      </c>
      <c r="T530" s="2">
        <v>0</v>
      </c>
      <c r="V530" s="2" t="s">
        <v>5503</v>
      </c>
      <c r="W530" s="10" t="s">
        <v>226</v>
      </c>
      <c r="X530" s="2" t="s">
        <v>227</v>
      </c>
      <c r="Y530" s="2" t="str">
        <f>HYPERLINK(".\links\REFSEQ-INVERTEBRATE\AGAP028655-PA-REFSEQ-INVERTEBRATE.txt","REFSEQ-INVERTEBRATE")</f>
        <v>REFSEQ-INVERTEBRATE</v>
      </c>
      <c r="Z530" s="15">
        <v>0</v>
      </c>
      <c r="AA530" s="2">
        <v>99.6</v>
      </c>
      <c r="AB530" s="13" t="s">
        <v>102</v>
      </c>
      <c r="AC530" s="13" t="str">
        <f>HYPERLINK(".\links\Sigp\AGAP028655-PA-SigP.txt","SIG")</f>
        <v>SIG</v>
      </c>
      <c r="AD530" s="2" t="s">
        <v>2957</v>
      </c>
      <c r="AE530" s="2">
        <v>182.619</v>
      </c>
      <c r="AF530" s="2">
        <v>10.16</v>
      </c>
      <c r="AG530" s="2">
        <v>179.221</v>
      </c>
      <c r="AH530" s="2">
        <v>10.17</v>
      </c>
      <c r="AI530" s="2" t="s">
        <v>5504</v>
      </c>
      <c r="AJ530" s="13" t="str">
        <f>HYPERLINK(".\links\tmhmm\AGAP028655-PA-tmhmm.txt","1")</f>
        <v>1</v>
      </c>
      <c r="AK530" s="2">
        <v>1.3</v>
      </c>
      <c r="AL530" s="2">
        <v>97.9</v>
      </c>
      <c r="AM530" s="2">
        <v>0.8</v>
      </c>
      <c r="AN530" s="9" t="str">
        <f>HYPERLINK(".\links\gpi\AGAP028655-PA-gpi.txt","N")</f>
        <v>N</v>
      </c>
      <c r="AO530" s="14" t="str">
        <f>HYPERLINK(".\links\netoglyc\AGAP028655-PA-netoglyc.txt","3")</f>
        <v>3</v>
      </c>
      <c r="AP530" s="13">
        <v>14.3</v>
      </c>
      <c r="AQ530" s="2">
        <v>7.1</v>
      </c>
      <c r="AR530" s="2">
        <v>5.9</v>
      </c>
      <c r="AS530" s="2" t="s">
        <v>104</v>
      </c>
      <c r="AT530" s="9" t="str">
        <f>HYPERLINK(".\links\NR-LIGHT\AGAP028655-PA-NR-LIGHT.txt","AGAP000837-PA, partial")</f>
        <v>AGAP000837-PA, partial</v>
      </c>
      <c r="AU530" s="2" t="str">
        <f>HYPERLINK("http://www.ncbi.nlm.nih.gov/sutils/blink.cgi?pid=XP_316806.4","0.0")</f>
        <v>0.0</v>
      </c>
      <c r="AV530" s="2" t="str">
        <f>HYPERLINK("http://www.ncbi.nlm.nih.gov/protein/XP_316806.4","XP_316806.4")</f>
        <v>XP_316806.4</v>
      </c>
      <c r="AW530" s="2">
        <v>98</v>
      </c>
      <c r="AX530" s="2">
        <v>98</v>
      </c>
      <c r="AY530" s="2">
        <v>100</v>
      </c>
      <c r="AZ530" s="2" t="s">
        <v>105</v>
      </c>
      <c r="BA530" s="9" t="str">
        <f>HYPERLINK(".\links\REFSEQ-INVERTEBRATE\AGAP028655-PA-REFSEQ-INVERTEBRATE.txt","AGAP000837-PA, partial")</f>
        <v>AGAP000837-PA, partial</v>
      </c>
      <c r="BB530" s="2" t="str">
        <f>HYPERLINK("http://www.ncbi.nlm.nih.gov/sutils/blink.cgi?pid=XP_316806.4","0.0")</f>
        <v>0.0</v>
      </c>
      <c r="BC530" s="2" t="str">
        <f>HYPERLINK("http://www.ncbi.nlm.nih.gov/protein/XP_316806.4","XP_316806.4")</f>
        <v>XP_316806.4</v>
      </c>
      <c r="BD530" s="2">
        <v>98</v>
      </c>
      <c r="BE530" s="2">
        <v>98</v>
      </c>
      <c r="BF530" s="2">
        <v>100</v>
      </c>
      <c r="BG530" s="2" t="s">
        <v>105</v>
      </c>
      <c r="BH530" s="9" t="str">
        <f>HYPERLINK(".\links\REFSEQ-PROTOZOA\AGAP028655-PA-REFSEQ-PROTOZOA.txt","hypothetical protein SDRG_10165")</f>
        <v>hypothetical protein SDRG_10165</v>
      </c>
      <c r="BI530" s="2" t="str">
        <f>HYPERLINK("http://www.ncbi.nlm.nih.gov/sutils/blink.cgi?pid=XP_008614366.1","0.45")</f>
        <v>0.45</v>
      </c>
      <c r="BJ530" s="2" t="str">
        <f>HYPERLINK("http://www.ncbi.nlm.nih.gov/protein/XP_008614366.1","XP_008614366.1")</f>
        <v>XP_008614366.1</v>
      </c>
      <c r="BK530" s="2">
        <v>27</v>
      </c>
      <c r="BL530" s="2">
        <v>39</v>
      </c>
      <c r="BM530" s="2">
        <v>19</v>
      </c>
      <c r="BN530" s="2" t="s">
        <v>1766</v>
      </c>
      <c r="BO530" s="9" t="str">
        <f>HYPERLINK(".\links\SWISSP\AGAP028655-PA-SWISSP.txt","50S ribosomal protein L10")</f>
        <v>50S ribosomal protein L10</v>
      </c>
      <c r="BP530" s="2" t="str">
        <f>HYPERLINK("http://www.uniprot.org/uniprot/A6W5S8","1.9")</f>
        <v>1.9</v>
      </c>
      <c r="BQ530" s="2" t="str">
        <f>HYPERLINK("http://www.uniprot.org/uniprot/A6W5S8#expression","A6W5S8")</f>
        <v>A6W5S8</v>
      </c>
      <c r="BR530" s="2">
        <v>22</v>
      </c>
      <c r="BS530" s="2">
        <v>39</v>
      </c>
      <c r="BT530" s="2">
        <v>109</v>
      </c>
      <c r="BU530" s="2" t="s">
        <v>5505</v>
      </c>
      <c r="BV530" s="9" t="str">
        <f>HYPERLINK(".\links\FLYBASE\AGAP028655-PA-FLYBASE.txt","FBpp0070857")</f>
        <v>FBpp0070857</v>
      </c>
      <c r="BW530" s="2" t="str">
        <f>HYPERLINK("http://flybase.org/reports/FBgn0005390#alliance_summary_container","2E-06")</f>
        <v>2E-06</v>
      </c>
      <c r="BX530" s="2">
        <v>1836</v>
      </c>
      <c r="BY530" s="2">
        <v>22</v>
      </c>
      <c r="BZ530" s="2">
        <v>39</v>
      </c>
      <c r="CA530" s="2">
        <v>31</v>
      </c>
      <c r="CB530" s="9" t="str">
        <f>HYPERLINK(".\links\CDD\AGAP028655-PA-CDD.txt","FimP, Fms-interacting protein")</f>
        <v>FimP, Fms-interacting protein</v>
      </c>
      <c r="CC530" s="15">
        <v>0.22</v>
      </c>
      <c r="CD530" s="2">
        <v>42.4</v>
      </c>
      <c r="CE530" s="2" t="s">
        <v>2046</v>
      </c>
      <c r="CF530" s="2" t="s">
        <v>5506</v>
      </c>
      <c r="CG530" s="9" t="str">
        <f>HYPERLINK(".\links\KOG\AGAP028655-PA-KOG.txt","Epidermal growth factor receptor EGFR and related tyrosine kinases")</f>
        <v>Epidermal growth factor receptor EGFR and related tyrosine kinases</v>
      </c>
      <c r="CH530" s="15">
        <v>0.81</v>
      </c>
      <c r="CI530" s="2">
        <v>7.6</v>
      </c>
      <c r="CJ530" s="2" t="s">
        <v>5507</v>
      </c>
      <c r="CK530" s="2" t="s">
        <v>173</v>
      </c>
      <c r="CL530" s="9" t="str">
        <f>HYPERLINK(".\links\PFAM\AGAP028655-PA-PFAM.txt","FimP, Fms-interacting protein")</f>
        <v>FimP, Fms-interacting protein</v>
      </c>
      <c r="CM530" s="15">
        <v>4.1000000000000002E-2</v>
      </c>
      <c r="CN530" s="2">
        <v>42.4</v>
      </c>
      <c r="CO530" s="2" t="s">
        <v>2046</v>
      </c>
      <c r="CP530" s="9" t="str">
        <f>HYPERLINK(".\links\SMART\AGAP028655-PA-SMART.txt","PTB, Phosphotyrosine-binding domain, phosphotyrosine-interaction (PI) domain")</f>
        <v>PTB, Phosphotyrosine-binding domain, phosphotyrosine-interaction (PI) domain</v>
      </c>
      <c r="CQ530" s="15">
        <v>2</v>
      </c>
      <c r="CR530" s="2">
        <v>53</v>
      </c>
      <c r="CS530" s="2" t="s">
        <v>5144</v>
      </c>
      <c r="CT530" s="2" t="s">
        <v>5503</v>
      </c>
      <c r="CU530" s="2" t="s">
        <v>5503</v>
      </c>
      <c r="CV530" s="2" t="s">
        <v>5503</v>
      </c>
      <c r="CW530" s="2" t="str">
        <f>HYPERLINK(".\links\pep\AGAP028655-PA-pep.txt","AGAP028655-PA")</f>
        <v>AGAP028655-PA</v>
      </c>
      <c r="CX530" s="2" t="s">
        <v>95</v>
      </c>
      <c r="CY530" s="2">
        <v>1659</v>
      </c>
      <c r="CZ530" s="2" t="s">
        <v>113</v>
      </c>
      <c r="DA530" s="2" t="s">
        <v>5508</v>
      </c>
      <c r="DB530" s="2">
        <v>0</v>
      </c>
      <c r="DC530" s="2">
        <v>4</v>
      </c>
      <c r="DD530" s="2" t="str">
        <f>HYPERLINK("https://www.kegg.jp/kegg-bin/search_pathway_text?map=aga&amp;keyword=AGAP028655&amp;mode=1&amp;viewImage=true","AGAP028655")</f>
        <v>AGAP028655</v>
      </c>
      <c r="DE530" s="2" t="s">
        <v>5502</v>
      </c>
      <c r="DF530" s="2" t="s">
        <v>93</v>
      </c>
      <c r="DG530" s="2" t="s">
        <v>94</v>
      </c>
      <c r="DH530" s="2" t="str">
        <f>HYPERLINK("https://vectorbase.org/vectorbase/app/record/gene/AGAP028655","AGAP028655-RA")</f>
        <v>AGAP028655-RA</v>
      </c>
      <c r="DI530" s="2" t="s">
        <v>115</v>
      </c>
      <c r="DJ530" s="2">
        <v>5208</v>
      </c>
      <c r="DK530" s="2" t="str">
        <f>HYPERLINK(".\links\netoglyc\AGAP028655-PA-netoglyc.txt","3")</f>
        <v>3</v>
      </c>
      <c r="DL530" s="2">
        <v>14.3</v>
      </c>
      <c r="DM530" s="2">
        <v>7.1</v>
      </c>
      <c r="DN530" s="2">
        <v>5.9</v>
      </c>
      <c r="DO530" s="2" t="s">
        <v>104</v>
      </c>
      <c r="DP530" s="2" t="s">
        <v>5509</v>
      </c>
      <c r="DQ530" s="2" t="str">
        <f>HYPERLINK(".\links\Sigp\AGAP028655-PA-SigP.txt","SIG")</f>
        <v>SIG</v>
      </c>
      <c r="DR530" s="2" t="s">
        <v>2957</v>
      </c>
      <c r="DS530" s="2">
        <v>182.61099999999999</v>
      </c>
      <c r="DT530" s="2">
        <v>10.16</v>
      </c>
      <c r="DU530" s="2">
        <v>179.221</v>
      </c>
      <c r="DV530" s="2">
        <v>10.17</v>
      </c>
      <c r="DW530" s="2" t="s">
        <v>5504</v>
      </c>
      <c r="DX530" s="2">
        <v>1659</v>
      </c>
      <c r="DY530" s="12" t="str">
        <f>HYPERLINK(".\links\tmhmm\AGAP028655-PA-tmhmm.txt","1")</f>
        <v>1</v>
      </c>
      <c r="DZ530" s="2">
        <v>1.3</v>
      </c>
      <c r="EA530" s="2">
        <v>97.9</v>
      </c>
      <c r="EB530" s="2">
        <v>0.8</v>
      </c>
      <c r="EC530" s="2" t="str">
        <f>HYPERLINK(".\links\gpi\AGAP028655-PA-gpi.txt","Y-NoSP")</f>
        <v>Y-NoSP</v>
      </c>
      <c r="ED530" s="2">
        <v>0.27</v>
      </c>
      <c r="EF530" s="2">
        <v>21</v>
      </c>
      <c r="EG530" s="2" t="s">
        <v>102</v>
      </c>
      <c r="EH530" s="2" t="s">
        <v>102</v>
      </c>
      <c r="EI530" s="2">
        <v>14.285714285714301</v>
      </c>
      <c r="EJ530" s="2">
        <v>5.9071729957805896</v>
      </c>
      <c r="EK530" s="2">
        <v>7.0524412296564201</v>
      </c>
      <c r="EL530" s="2">
        <v>12.959614225437001</v>
      </c>
      <c r="EM530" s="2">
        <v>2</v>
      </c>
      <c r="EN530" s="2">
        <v>3</v>
      </c>
      <c r="EO530" s="2">
        <v>10</v>
      </c>
      <c r="EP530" s="2" t="s">
        <v>102</v>
      </c>
      <c r="EQ530" s="2" t="s">
        <v>102</v>
      </c>
      <c r="ER530" s="2" t="s">
        <v>102</v>
      </c>
      <c r="ES530" s="2" t="s">
        <v>102</v>
      </c>
      <c r="ET530" s="2" t="str">
        <f>HYPERLINK(".\links\REFSEQ-INVERTEBRATE\AGAP028655-PA-REFSEQ-INVERTEBRATE.txt","AGAP000837-PA, partial")</f>
        <v>AGAP000837-PA, partial</v>
      </c>
      <c r="EU530" s="2" t="str">
        <f>HYPERLINK("http://www.ncbi.nlm.nih.gov/sutils/blink.cgi?pid=XP_316806.4","0.0")</f>
        <v>0.0</v>
      </c>
      <c r="EV530" s="2" t="str">
        <f>HYPERLINK("http://www.ncbi.nlm.nih.gov/protein/XP_316806.4","XP_316806.4")</f>
        <v>XP_316806.4</v>
      </c>
      <c r="EW530" s="2">
        <v>98</v>
      </c>
      <c r="EX530" s="2">
        <v>98</v>
      </c>
      <c r="EY530" s="2">
        <v>100</v>
      </c>
      <c r="EZ530" s="2" t="s">
        <v>105</v>
      </c>
    </row>
    <row r="531" spans="1:156" x14ac:dyDescent="0.25">
      <c r="A531" s="2" t="s">
        <v>5510</v>
      </c>
      <c r="B531" s="2">
        <v>-0.52350641544853005</v>
      </c>
      <c r="C531" s="2">
        <f t="shared" si="8"/>
        <v>0.69567895551807091</v>
      </c>
      <c r="D531" s="2">
        <v>5.2511664794913999</v>
      </c>
      <c r="E531" s="2">
        <v>12.665296982714599</v>
      </c>
      <c r="F531" s="2">
        <v>3.7250535546017797E-4</v>
      </c>
      <c r="G531" s="2">
        <v>2.1768426261281001E-2</v>
      </c>
      <c r="H531" s="2" t="s">
        <v>5511</v>
      </c>
      <c r="I531" s="2" t="s">
        <v>94</v>
      </c>
      <c r="J531" s="2" t="str">
        <f>HYPERLINK("https://vectorbase.org/vectorbase/app/record/gene/AGAP004246","AGAP004246-RA")</f>
        <v>AGAP004246-RA</v>
      </c>
      <c r="K531" s="2" t="str">
        <f>HYPERLINK(".\links\pep\AGAP004246-PA-pep.txt","AGAP004246-PA")</f>
        <v>AGAP004246-PA</v>
      </c>
      <c r="L531" s="12" t="s">
        <v>95</v>
      </c>
      <c r="M531" s="2">
        <v>1827</v>
      </c>
      <c r="N531" s="2">
        <v>0</v>
      </c>
      <c r="O531" s="2">
        <v>6</v>
      </c>
      <c r="P531" s="2" t="s">
        <v>5512</v>
      </c>
      <c r="Q531" s="9" t="s">
        <v>5513</v>
      </c>
      <c r="R531" s="2" t="s">
        <v>355</v>
      </c>
      <c r="S531" s="2" t="str">
        <f>HYPERLINK(".\links\KOG\AGAP004246-PA-KOG.txt","KOG")</f>
        <v>KOG</v>
      </c>
      <c r="T531" s="2">
        <v>9.9999999999999999E-56</v>
      </c>
      <c r="U531" s="2">
        <v>44.1</v>
      </c>
      <c r="V531" s="2" t="s">
        <v>5514</v>
      </c>
      <c r="W531" s="10" t="s">
        <v>5515</v>
      </c>
      <c r="X531" s="2" t="s">
        <v>355</v>
      </c>
      <c r="Y531" s="2" t="str">
        <f>HYPERLINK(".\links\REFSEQVERTEBRATE95\AGAP004246-PA-REFSEQVERTEBRATE95.txt","REFSEQVERTEBRATE95")</f>
        <v>REFSEQVERTEBRATE95</v>
      </c>
      <c r="Z531" s="2">
        <v>0</v>
      </c>
      <c r="AA531" s="2">
        <v>68.3</v>
      </c>
      <c r="AB531" s="13" t="str">
        <f>HYPERLINK(".\links\pep\AGAP004246-PA-sulf.txt","4")</f>
        <v>4</v>
      </c>
      <c r="AC531" s="13" t="str">
        <f>HYPERLINK(".\links\Sigp\AGAP004246-PA-SigP.txt","CYT")</f>
        <v>CYT</v>
      </c>
      <c r="AD531" s="2" t="s">
        <v>102</v>
      </c>
      <c r="AE531" s="2">
        <v>207.512</v>
      </c>
      <c r="AF531" s="2">
        <v>5.95</v>
      </c>
      <c r="AG531" s="2" t="s">
        <v>102</v>
      </c>
      <c r="AH531" s="2" t="s">
        <v>102</v>
      </c>
      <c r="AI531" s="2" t="s">
        <v>5516</v>
      </c>
      <c r="AJ531" s="13" t="str">
        <f>HYPERLINK(".\links\tmhmm\AGAP004246-PA-tmhmm.txt","1")</f>
        <v>1</v>
      </c>
      <c r="AK531" s="2">
        <v>1.2</v>
      </c>
      <c r="AL531" s="2">
        <v>66.8</v>
      </c>
      <c r="AM531" s="2">
        <v>32</v>
      </c>
      <c r="AN531" s="13" t="str">
        <f>HYPERLINK(".\links\gpi\AGAP004246-PA-gpi.txt","N")</f>
        <v>N</v>
      </c>
      <c r="AO531" s="14" t="str">
        <f>HYPERLINK(".\links\netoglyc\AGAP004246-PA-netoglyc.txt","3")</f>
        <v>3</v>
      </c>
      <c r="AP531" s="13">
        <v>16.8</v>
      </c>
      <c r="AQ531" s="2">
        <v>5.5</v>
      </c>
      <c r="AR531" s="2">
        <v>6.7</v>
      </c>
      <c r="AS531" s="2" t="s">
        <v>104</v>
      </c>
      <c r="AT531" s="9" t="str">
        <f>HYPERLINK(".\links\NR-LIGHT\AGAP004246-PA-NR-LIGHT.txt","AGAP004246-PB, partial")</f>
        <v>AGAP004246-PB, partial</v>
      </c>
      <c r="AU531" s="2" t="str">
        <f>HYPERLINK("http://www.ncbi.nlm.nih.gov/sutils/blink.cgi?pid=XP_003436753.1","0.0")</f>
        <v>0.0</v>
      </c>
      <c r="AV531" s="2" t="str">
        <f>HYPERLINK("http://www.ncbi.nlm.nih.gov/protein/XP_003436753.1","XP_003436753.1")</f>
        <v>XP_003436753.1</v>
      </c>
      <c r="AW531" s="2">
        <v>99</v>
      </c>
      <c r="AX531" s="2">
        <v>99</v>
      </c>
      <c r="AY531" s="2">
        <v>89</v>
      </c>
      <c r="AZ531" s="2" t="s">
        <v>105</v>
      </c>
      <c r="BA531" s="9" t="str">
        <f>HYPERLINK(".\links\REFSEQ-INVERTEBRATE\AGAP004246-PA-REFSEQ-INVERTEBRATE.txt","AGAP004246-PB, partial")</f>
        <v>AGAP004246-PB, partial</v>
      </c>
      <c r="BB531" s="2" t="str">
        <f>HYPERLINK("http://www.ncbi.nlm.nih.gov/sutils/blink.cgi?pid=XP_003436753.1","0.0")</f>
        <v>0.0</v>
      </c>
      <c r="BC531" s="2" t="str">
        <f>HYPERLINK("http://www.ncbi.nlm.nih.gov/protein/XP_003436753.1","XP_003436753.1")</f>
        <v>XP_003436753.1</v>
      </c>
      <c r="BD531" s="2">
        <v>99</v>
      </c>
      <c r="BE531" s="2">
        <v>99</v>
      </c>
      <c r="BF531" s="2">
        <v>89</v>
      </c>
      <c r="BG531" s="2" t="s">
        <v>105</v>
      </c>
      <c r="BH531" s="9" t="str">
        <f>HYPERLINK(".\links\REFSEQ-PROTOZOA\AGAP004246-PA-REFSEQ-PROTOZOA.txt","receptor-linked protein tyrosine phosphatase")</f>
        <v>receptor-linked protein tyrosine phosphatase</v>
      </c>
      <c r="BI531" s="2" t="str">
        <f>HYPERLINK("http://www.ncbi.nlm.nih.gov/sutils/blink.cgi?pid=XP_004365141.2","9E-067")</f>
        <v>9E-067</v>
      </c>
      <c r="BJ531" s="2" t="str">
        <f>HYPERLINK("http://www.ncbi.nlm.nih.gov/protein/XP_004365141.2","XP_004365141.2")</f>
        <v>XP_004365141.2</v>
      </c>
      <c r="BK531" s="2">
        <v>23</v>
      </c>
      <c r="BL531" s="2">
        <v>38</v>
      </c>
      <c r="BM531" s="2">
        <v>81</v>
      </c>
      <c r="BN531" s="2" t="s">
        <v>106</v>
      </c>
      <c r="BO531" s="9" t="str">
        <f>HYPERLINK(".\links\SWISSP\AGAP004246-PA-SWISSP.txt","Tyrosine-protein phosphatase 10D")</f>
        <v>Tyrosine-protein phosphatase 10D</v>
      </c>
      <c r="BP531" s="2" t="str">
        <f>HYPERLINK("http://www.uniprot.org/uniprot/P35992","0.0")</f>
        <v>0.0</v>
      </c>
      <c r="BQ531" s="2" t="str">
        <f>HYPERLINK("http://www.uniprot.org/uniprot/P35992#expression","P35992")</f>
        <v>P35992</v>
      </c>
      <c r="BR531" s="2">
        <v>68</v>
      </c>
      <c r="BS531" s="2">
        <v>79</v>
      </c>
      <c r="BT531" s="2">
        <v>87</v>
      </c>
      <c r="BU531" s="2" t="s">
        <v>107</v>
      </c>
      <c r="BV531" s="9" t="str">
        <f>HYPERLINK(".\links\FLYBASE\AGAP004246-PA-FLYBASE.txt","FBpp0303419")</f>
        <v>FBpp0303419</v>
      </c>
      <c r="BW531" s="2" t="str">
        <f>HYPERLINK("http://flybase.org/reports/FBgn0004370#alliance_summary_container","0.0")</f>
        <v>0.0</v>
      </c>
      <c r="BX531" s="2">
        <v>1990</v>
      </c>
      <c r="BY531" s="2">
        <v>73</v>
      </c>
      <c r="BZ531" s="2">
        <v>83</v>
      </c>
      <c r="CA531" s="2">
        <v>80</v>
      </c>
      <c r="CB531" s="9" t="str">
        <f>HYPERLINK(".\links\CDD\AGAP004246-PA-CDD.txt","PTPc, Protein tyrosine phosphatase, catalytic domain")</f>
        <v>PTPc, Protein tyrosine phosphatase, catalytic domain</v>
      </c>
      <c r="CC531" s="15">
        <v>6.9999999999999994E-95</v>
      </c>
      <c r="CD531" s="2">
        <v>99.6</v>
      </c>
      <c r="CE531" s="2" t="s">
        <v>4960</v>
      </c>
      <c r="CF531" s="2" t="s">
        <v>5517</v>
      </c>
      <c r="CG531" s="9" t="str">
        <f>HYPERLINK(".\links\KOG\AGAP004246-PA-KOG.txt","contains fn3 domain")</f>
        <v>contains fn3 domain</v>
      </c>
      <c r="CH531" s="15">
        <v>1.0000000000000001E-128</v>
      </c>
      <c r="CI531" s="2">
        <v>80.2</v>
      </c>
      <c r="CJ531" s="2" t="s">
        <v>5518</v>
      </c>
      <c r="CK531" s="2" t="s">
        <v>173</v>
      </c>
      <c r="CL531" s="9" t="str">
        <f>HYPERLINK(".\links\PFAM\AGAP004246-PA-PFAM.txt","Y_phosphatase, Protein-tyrosine phosphatase")</f>
        <v>Y_phosphatase, Protein-tyrosine phosphatase</v>
      </c>
      <c r="CM531" s="15">
        <v>2E-87</v>
      </c>
      <c r="CN531" s="2">
        <v>100.4</v>
      </c>
      <c r="CO531" s="2" t="s">
        <v>4963</v>
      </c>
      <c r="CP531" s="9" t="str">
        <f>HYPERLINK(".\links\SMART\AGAP004246-PA-SMART.txt","PTPc, Protein tyrosine phosphatase, catalytic domain")</f>
        <v>PTPc, Protein tyrosine phosphatase, catalytic domain</v>
      </c>
      <c r="CQ531" s="15">
        <v>4.9999999999999995E-97</v>
      </c>
      <c r="CR531" s="2">
        <v>99.6</v>
      </c>
      <c r="CS531" s="2" t="s">
        <v>4960</v>
      </c>
      <c r="CT531" s="2" t="s">
        <v>5514</v>
      </c>
      <c r="CU531" s="2" t="s">
        <v>5514</v>
      </c>
      <c r="CV531" s="2" t="s">
        <v>5514</v>
      </c>
      <c r="CW531" s="2" t="str">
        <f>HYPERLINK(".\links\pep\AGAP004246-PA-pep.txt","AGAP004246-PA")</f>
        <v>AGAP004246-PA</v>
      </c>
      <c r="CX531" s="2" t="s">
        <v>95</v>
      </c>
      <c r="CY531" s="2">
        <v>1827</v>
      </c>
      <c r="CZ531" s="2" t="s">
        <v>113</v>
      </c>
      <c r="DA531" s="2" t="s">
        <v>5519</v>
      </c>
      <c r="DB531" s="2">
        <v>0</v>
      </c>
      <c r="DC531" s="2">
        <v>6</v>
      </c>
      <c r="DD531" s="2" t="str">
        <f>HYPERLINK("https://www.kegg.jp/kegg-bin/search_pathway_text?map=aga&amp;keyword=AGAP004246&amp;mode=1&amp;viewImage=true","AGAP004246")</f>
        <v>AGAP004246</v>
      </c>
      <c r="DE531" s="2" t="s">
        <v>5510</v>
      </c>
      <c r="DF531" s="2" t="s">
        <v>5511</v>
      </c>
      <c r="DG531" s="2" t="s">
        <v>94</v>
      </c>
      <c r="DH531" s="2" t="str">
        <f>HYPERLINK("https://vectorbase.org/vectorbase/app/record/gene/AGAP004246","AGAP004246-RA")</f>
        <v>AGAP004246-RA</v>
      </c>
      <c r="DI531" s="2" t="s">
        <v>90</v>
      </c>
      <c r="DJ531" s="2">
        <v>10222</v>
      </c>
      <c r="DK531" s="2" t="str">
        <f>HYPERLINK(".\links\netoglyc\AGAP004246-PA-netoglyc.txt","3")</f>
        <v>3</v>
      </c>
      <c r="DL531" s="2">
        <v>16.8</v>
      </c>
      <c r="DM531" s="2">
        <v>5.5</v>
      </c>
      <c r="DN531" s="2">
        <v>6.7</v>
      </c>
      <c r="DO531" s="2" t="s">
        <v>104</v>
      </c>
      <c r="DP531" s="2" t="s">
        <v>5520</v>
      </c>
      <c r="DQ531" s="2" t="str">
        <f>HYPERLINK(".\links\Sigp\AGAP004246-PA-SigP.txt","CYT")</f>
        <v>CYT</v>
      </c>
      <c r="DR531" s="2" t="s">
        <v>102</v>
      </c>
      <c r="DS531" s="2">
        <v>207.512</v>
      </c>
      <c r="DT531" s="2">
        <v>5.95</v>
      </c>
      <c r="DU531" s="2" t="s">
        <v>102</v>
      </c>
      <c r="DV531" s="2" t="s">
        <v>102</v>
      </c>
      <c r="DW531" s="2" t="s">
        <v>5516</v>
      </c>
      <c r="DX531" s="2">
        <v>1827</v>
      </c>
      <c r="DY531" s="12" t="str">
        <f>HYPERLINK(".\links\tmhmm\AGAP004246-PA-tmhmm.txt","1")</f>
        <v>1</v>
      </c>
      <c r="DZ531" s="2">
        <v>1.2</v>
      </c>
      <c r="EA531" s="2">
        <v>66.8</v>
      </c>
      <c r="EB531" s="2">
        <v>32</v>
      </c>
      <c r="EC531" s="2" t="str">
        <f>HYPERLINK(".\links\gpi\AGAP004246-PA-gpi.txt","N")</f>
        <v>N</v>
      </c>
      <c r="ED531" s="2">
        <v>0.19</v>
      </c>
      <c r="EF531" s="2">
        <v>11</v>
      </c>
      <c r="EG531" s="2" t="str">
        <f>HYPERLINK(".\links\pep\AGAP004246-PA-sulf.txt","4")</f>
        <v>4</v>
      </c>
      <c r="EH531" s="2" t="s">
        <v>102</v>
      </c>
      <c r="EI531" s="2">
        <v>16.803503010399599</v>
      </c>
      <c r="EJ531" s="2">
        <v>6.7323481116584603</v>
      </c>
      <c r="EK531" s="2">
        <v>5.4734537493158202</v>
      </c>
      <c r="EL531" s="2">
        <v>12.205801860974301</v>
      </c>
      <c r="EM531" s="2">
        <v>6</v>
      </c>
      <c r="EN531" s="2">
        <v>4</v>
      </c>
      <c r="EO531" s="2">
        <v>5</v>
      </c>
      <c r="EP531" s="2" t="s">
        <v>102</v>
      </c>
      <c r="EQ531" s="2" t="s">
        <v>102</v>
      </c>
      <c r="ER531" s="2" t="s">
        <v>102</v>
      </c>
      <c r="ES531" s="2" t="s">
        <v>102</v>
      </c>
      <c r="ET531" s="2" t="str">
        <f>HYPERLINK(".\links\REFSEQ-INVERTEBRATE\AGAP004246-PA-REFSEQ-INVERTEBRATE.txt","AGAP004246-PB, partial")</f>
        <v>AGAP004246-PB, partial</v>
      </c>
      <c r="EU531" s="2" t="str">
        <f>HYPERLINK("http://www.ncbi.nlm.nih.gov/sutils/blink.cgi?pid=XP_003436753.1","0.0")</f>
        <v>0.0</v>
      </c>
      <c r="EV531" s="2" t="str">
        <f>HYPERLINK("http://www.ncbi.nlm.nih.gov/protein/XP_003436753.1","XP_003436753.1")</f>
        <v>XP_003436753.1</v>
      </c>
      <c r="EW531" s="2">
        <v>99</v>
      </c>
      <c r="EX531" s="2">
        <v>99</v>
      </c>
      <c r="EY531" s="2">
        <v>89</v>
      </c>
      <c r="EZ531" s="2" t="s">
        <v>105</v>
      </c>
    </row>
    <row r="532" spans="1:156" x14ac:dyDescent="0.25">
      <c r="A532" s="2" t="s">
        <v>5521</v>
      </c>
      <c r="B532" s="2">
        <v>-0.52377548553962605</v>
      </c>
      <c r="C532" s="2">
        <f t="shared" si="8"/>
        <v>0.69554921989127583</v>
      </c>
      <c r="D532" s="2">
        <v>4.9989956341092903</v>
      </c>
      <c r="E532" s="2">
        <v>10.602111495486801</v>
      </c>
      <c r="F532" s="2">
        <v>1.1295858697031101E-3</v>
      </c>
      <c r="G532" s="2">
        <v>3.3908380030222798E-2</v>
      </c>
      <c r="H532" s="2" t="s">
        <v>5522</v>
      </c>
      <c r="I532" s="2" t="s">
        <v>88</v>
      </c>
      <c r="J532" s="8" t="s">
        <v>5523</v>
      </c>
      <c r="Q532" s="9"/>
      <c r="W532" s="10"/>
      <c r="AB532" s="9"/>
      <c r="AC532" s="9"/>
      <c r="AJ532" s="9"/>
      <c r="AN532" s="9"/>
      <c r="AO532" s="11"/>
      <c r="AP532" s="9"/>
      <c r="AT532" s="9"/>
      <c r="BA532" s="9"/>
      <c r="BH532" s="9"/>
      <c r="BO532" s="9"/>
      <c r="BV532" s="9"/>
      <c r="CB532" s="9"/>
      <c r="CG532" s="9"/>
      <c r="CL532" s="9"/>
      <c r="CP532" s="9"/>
      <c r="DE532" s="2" t="s">
        <v>5521</v>
      </c>
      <c r="DF532" s="2" t="s">
        <v>5522</v>
      </c>
      <c r="DG532" s="2" t="s">
        <v>88</v>
      </c>
      <c r="DH532" s="8" t="s">
        <v>5523</v>
      </c>
      <c r="DI532" s="2" t="s">
        <v>90</v>
      </c>
      <c r="DJ532" s="2">
        <v>4850</v>
      </c>
      <c r="DQ532" s="2" t="s">
        <v>141</v>
      </c>
      <c r="DS532" s="2">
        <v>124826</v>
      </c>
      <c r="DT532" s="2">
        <v>6.53</v>
      </c>
      <c r="DX532" s="2">
        <v>1144</v>
      </c>
      <c r="DY532" s="12"/>
    </row>
    <row r="533" spans="1:156" x14ac:dyDescent="0.25">
      <c r="A533" s="2" t="s">
        <v>5524</v>
      </c>
      <c r="B533" s="2">
        <v>-0.52450137914388695</v>
      </c>
      <c r="C533" s="2">
        <f t="shared" si="8"/>
        <v>0.6951993415607961</v>
      </c>
      <c r="D533" s="2">
        <v>7.49498742049526</v>
      </c>
      <c r="E533" s="2">
        <v>9.9904094640050296</v>
      </c>
      <c r="F533" s="2">
        <v>1.5735761045452901E-3</v>
      </c>
      <c r="G533" s="2">
        <v>3.8866146642340497E-2</v>
      </c>
      <c r="H533" s="2" t="s">
        <v>93</v>
      </c>
      <c r="I533" s="2" t="s">
        <v>94</v>
      </c>
      <c r="J533" s="2" t="str">
        <f>HYPERLINK("https://vectorbase.org/vectorbase/app/record/gene/AGAP003282","AGAP003282-RA")</f>
        <v>AGAP003282-RA</v>
      </c>
      <c r="K533" s="2" t="str">
        <f>HYPERLINK(".\links\pep\AGAP003282-PA-pep.txt","AGAP003282-PA")</f>
        <v>AGAP003282-PA</v>
      </c>
      <c r="L533" s="12" t="s">
        <v>95</v>
      </c>
      <c r="M533" s="2">
        <v>2137</v>
      </c>
      <c r="N533" s="2">
        <v>0</v>
      </c>
      <c r="O533" s="2">
        <v>2</v>
      </c>
      <c r="P533" s="2" t="s">
        <v>5525</v>
      </c>
      <c r="Q533" s="9" t="s">
        <v>5526</v>
      </c>
      <c r="R533" s="2" t="s">
        <v>388</v>
      </c>
      <c r="S533" s="2" t="str">
        <f>HYPERLINK(".\links\PFAM\AGAP003282-PA-PFAM.txt","PFAM")</f>
        <v>PFAM</v>
      </c>
      <c r="T533" s="2">
        <v>8.0000000000000001E-87</v>
      </c>
      <c r="U533" s="2">
        <v>100</v>
      </c>
      <c r="V533" s="2" t="s">
        <v>5527</v>
      </c>
      <c r="W533" s="10" t="s">
        <v>5528</v>
      </c>
      <c r="X533" s="2" t="s">
        <v>388</v>
      </c>
      <c r="Y533" s="2" t="str">
        <f>HYPERLINK(".\links\REFSEQVERTEBRATE95\AGAP003282-PA-REFSEQVERTEBRATE95.txt","REFSEQVERTEBRATE95")</f>
        <v>REFSEQVERTEBRATE95</v>
      </c>
      <c r="Z533" s="15">
        <v>0</v>
      </c>
      <c r="AA533" s="2">
        <v>48.4</v>
      </c>
      <c r="AB533" s="13" t="str">
        <f>HYPERLINK(".\links\pep\AGAP003282-PA-sulf.txt","1")</f>
        <v>1</v>
      </c>
      <c r="AC533" s="13" t="str">
        <f>HYPERLINK(".\links\Sigp\AGAP003282-PA-SigP.txt","CYT")</f>
        <v>CYT</v>
      </c>
      <c r="AD533" s="2" t="s">
        <v>102</v>
      </c>
      <c r="AE533" s="2">
        <v>227.42099999999999</v>
      </c>
      <c r="AF533" s="2">
        <v>9.19</v>
      </c>
      <c r="AG533" s="2" t="s">
        <v>102</v>
      </c>
      <c r="AH533" s="2" t="s">
        <v>102</v>
      </c>
      <c r="AI533" s="2" t="s">
        <v>2192</v>
      </c>
      <c r="AJ533" s="13">
        <v>0</v>
      </c>
      <c r="AK533" s="2" t="s">
        <v>102</v>
      </c>
      <c r="AL533" s="2" t="s">
        <v>102</v>
      </c>
      <c r="AM533" s="2" t="s">
        <v>102</v>
      </c>
      <c r="AN533" s="13" t="str">
        <f>HYPERLINK(".\links\gpi\AGAP003282-PA-gpi.txt","N")</f>
        <v>N</v>
      </c>
      <c r="AO533" s="14" t="str">
        <f>HYPERLINK(".\links\netoglyc\AGAP003282-PA-netoglyc.txt","13")</f>
        <v>13</v>
      </c>
      <c r="AP533" s="13">
        <v>17</v>
      </c>
      <c r="AQ533" s="2">
        <v>9.6</v>
      </c>
      <c r="AR533" s="2">
        <v>7.3</v>
      </c>
      <c r="AS533" s="2" t="s">
        <v>104</v>
      </c>
      <c r="AT533" s="9" t="str">
        <f>HYPERLINK(".\links\NR-LIGHT\AGAP003282-PA-NR-LIGHT.txt","AGAP003282-PA")</f>
        <v>AGAP003282-PA</v>
      </c>
      <c r="AU533" s="2" t="str">
        <f>HYPERLINK("http://www.ncbi.nlm.nih.gov/sutils/blink.cgi?pid=XP_307790.5","0.0")</f>
        <v>0.0</v>
      </c>
      <c r="AV533" s="2" t="str">
        <f>HYPERLINK("http://www.ncbi.nlm.nih.gov/protein/XP_307790.5","XP_307790.5")</f>
        <v>XP_307790.5</v>
      </c>
      <c r="AW533" s="2">
        <v>100</v>
      </c>
      <c r="AX533" s="2">
        <v>100</v>
      </c>
      <c r="AY533" s="2">
        <v>100</v>
      </c>
      <c r="AZ533" s="2" t="s">
        <v>105</v>
      </c>
      <c r="BA533" s="9" t="str">
        <f>HYPERLINK(".\links\REFSEQ-INVERTEBRATE\AGAP003282-PA-REFSEQ-INVERTEBRATE.txt","AGAP003282-PA")</f>
        <v>AGAP003282-PA</v>
      </c>
      <c r="BB533" s="2" t="str">
        <f>HYPERLINK("http://www.ncbi.nlm.nih.gov/sutils/blink.cgi?pid=XP_307790.5","0.0")</f>
        <v>0.0</v>
      </c>
      <c r="BC533" s="2" t="str">
        <f>HYPERLINK("http://www.ncbi.nlm.nih.gov/protein/XP_307790.5","XP_307790.5")</f>
        <v>XP_307790.5</v>
      </c>
      <c r="BD533" s="2">
        <v>100</v>
      </c>
      <c r="BE533" s="2">
        <v>100</v>
      </c>
      <c r="BF533" s="2">
        <v>100</v>
      </c>
      <c r="BG533" s="2" t="s">
        <v>105</v>
      </c>
      <c r="BH533" s="9" t="str">
        <f>HYPERLINK(".\links\REFSEQ-PROTOZOA\AGAP003282-PA-REFSEQ-PROTOZOA.txt","hypothetical protein PTSG_04671")</f>
        <v>hypothetical protein PTSG_04671</v>
      </c>
      <c r="BI533" s="2" t="str">
        <f>HYPERLINK("http://www.ncbi.nlm.nih.gov/sutils/blink.cgi?pid=XP_004994761.1","8E-072")</f>
        <v>8E-072</v>
      </c>
      <c r="BJ533" s="2" t="str">
        <f>HYPERLINK("http://www.ncbi.nlm.nih.gov/protein/XP_004994761.1","XP_004994761.1")</f>
        <v>XP_004994761.1</v>
      </c>
      <c r="BK533" s="2">
        <v>25</v>
      </c>
      <c r="BL533" s="2">
        <v>41</v>
      </c>
      <c r="BM533" s="2">
        <v>84</v>
      </c>
      <c r="BN533" s="2" t="s">
        <v>435</v>
      </c>
      <c r="BO533" s="9" t="str">
        <f>HYPERLINK(".\links\SWISSP\AGAP003282-PA-SWISSP.txt","Histone-lysine N-methyltransferase, H3 lysine-79 specific")</f>
        <v>Histone-lysine N-methyltransferase, H3 lysine-79 specific</v>
      </c>
      <c r="BP533" s="2" t="str">
        <f>HYPERLINK("http://www.uniprot.org/uniprot/Q8INR6","1E-167")</f>
        <v>1E-167</v>
      </c>
      <c r="BQ533" s="2" t="str">
        <f>HYPERLINK("http://www.uniprot.org/uniprot/Q8INR6#expression","Q8INR6")</f>
        <v>Q8INR6</v>
      </c>
      <c r="BR533" s="2">
        <v>28</v>
      </c>
      <c r="BS533" s="2">
        <v>41</v>
      </c>
      <c r="BT533" s="2">
        <v>109</v>
      </c>
      <c r="BU533" s="2" t="s">
        <v>107</v>
      </c>
      <c r="BV533" s="9" t="str">
        <f>HYPERLINK(".\links\FLYBASE\AGAP003282-PA-FLYBASE.txt","FBpp0292800")</f>
        <v>FBpp0292800</v>
      </c>
      <c r="BW533" s="2" t="str">
        <f>HYPERLINK("http://flybase.org/reports/FBgn0264495#alliance_summary_container","1E-147")</f>
        <v>1E-147</v>
      </c>
      <c r="BX533" s="2">
        <v>1848</v>
      </c>
      <c r="BY533" s="2">
        <v>61</v>
      </c>
      <c r="BZ533" s="2">
        <v>78</v>
      </c>
      <c r="CA533" s="2">
        <v>20</v>
      </c>
      <c r="CB533" s="9" t="str">
        <f>HYPERLINK(".\links\CDD\AGAP003282-PA-CDD.txt","DOT1, Histone methylation protein DOT1")</f>
        <v>DOT1, Histone methylation protein DOT1</v>
      </c>
      <c r="CC533" s="15">
        <v>4.0000000000000003E-86</v>
      </c>
      <c r="CD533" s="2">
        <v>100</v>
      </c>
      <c r="CE533" s="2" t="s">
        <v>5529</v>
      </c>
      <c r="CF533" s="2" t="s">
        <v>5530</v>
      </c>
      <c r="CG533" s="9" t="str">
        <f>HYPERLINK(".\links\KOG\AGAP003282-PA-KOG.txt","Putative protein methyltransferase involved in meiosis and transcriptional silencing (Dot1)")</f>
        <v>Putative protein methyltransferase involved in meiosis and transcriptional silencing (Dot1)</v>
      </c>
      <c r="CH533" s="15">
        <v>4.9999999999999996E-41</v>
      </c>
      <c r="CI533" s="2">
        <v>54.4</v>
      </c>
      <c r="CJ533" s="2" t="s">
        <v>5531</v>
      </c>
      <c r="CK533" s="2" t="s">
        <v>5532</v>
      </c>
      <c r="CL533" s="9" t="str">
        <f>HYPERLINK(".\links\PFAM\AGAP003282-PA-PFAM.txt","DOT1, Histone methylation protein DOT1")</f>
        <v>DOT1, Histone methylation protein DOT1</v>
      </c>
      <c r="CM533" s="15">
        <v>8.0000000000000001E-87</v>
      </c>
      <c r="CN533" s="2">
        <v>100</v>
      </c>
      <c r="CO533" s="2" t="s">
        <v>5529</v>
      </c>
      <c r="CP533" s="9" t="str">
        <f>HYPERLINK(".\links\SMART\AGAP003282-PA-SMART.txt","Amelogenin, Amelogenins, cell adhesion proteins, play a role in the biomineralisation of teeth")</f>
        <v>Amelogenin, Amelogenins, cell adhesion proteins, play a role in the biomineralisation of teeth</v>
      </c>
      <c r="CQ533" s="15">
        <v>4.0000000000000001E-3</v>
      </c>
      <c r="CR533" s="2">
        <v>41.8</v>
      </c>
      <c r="CS533" s="2" t="s">
        <v>311</v>
      </c>
      <c r="CT533" s="2" t="s">
        <v>5527</v>
      </c>
      <c r="CU533" s="2" t="s">
        <v>5527</v>
      </c>
      <c r="CV533" s="2" t="s">
        <v>5527</v>
      </c>
      <c r="CW533" s="2" t="str">
        <f>HYPERLINK(".\links\pep\AGAP003282-PA-pep.txt","AGAP003282-PA")</f>
        <v>AGAP003282-PA</v>
      </c>
      <c r="CX533" s="2" t="s">
        <v>95</v>
      </c>
      <c r="CY533" s="2">
        <v>2545</v>
      </c>
      <c r="CZ533" s="2" t="s">
        <v>113</v>
      </c>
      <c r="DA533" s="2" t="s">
        <v>5533</v>
      </c>
      <c r="DB533" s="2">
        <v>0</v>
      </c>
      <c r="DC533" s="2">
        <v>2</v>
      </c>
      <c r="DD533" s="2" t="str">
        <f>HYPERLINK("https://www.kegg.jp/kegg-bin/search_pathway_text?map=aga&amp;keyword=AGAP003282&amp;mode=1&amp;viewImage=true","AGAP003282")</f>
        <v>AGAP003282</v>
      </c>
      <c r="DE533" s="2" t="s">
        <v>5524</v>
      </c>
      <c r="DF533" s="2" t="s">
        <v>93</v>
      </c>
      <c r="DG533" s="2" t="s">
        <v>94</v>
      </c>
      <c r="DH533" s="2" t="str">
        <f>HYPERLINK("https://vectorbase.org/vectorbase/app/record/gene/AGAP003282","AGAP003282-RA")</f>
        <v>AGAP003282-RA</v>
      </c>
      <c r="DI533" s="2" t="s">
        <v>115</v>
      </c>
      <c r="DJ533" s="2">
        <v>14915</v>
      </c>
      <c r="DK533" s="2" t="str">
        <f>HYPERLINK(".\links\netoglyc\AGAP003282-PA-netoglyc.txt","28")</f>
        <v>28</v>
      </c>
      <c r="DL533" s="2">
        <v>18.7</v>
      </c>
      <c r="DM533" s="2">
        <v>9.8000000000000007</v>
      </c>
      <c r="DN533" s="2">
        <v>7.3</v>
      </c>
      <c r="DO533" s="2" t="s">
        <v>104</v>
      </c>
      <c r="DP533" s="2" t="s">
        <v>5534</v>
      </c>
      <c r="DQ533" s="2" t="str">
        <f>HYPERLINK(".\links\Sigp\AGAP003282-PA-SigP.txt","CYT")</f>
        <v>CYT</v>
      </c>
      <c r="DR533" s="2" t="s">
        <v>102</v>
      </c>
      <c r="DS533" s="2">
        <v>268.98099999999999</v>
      </c>
      <c r="DT533" s="2">
        <v>9</v>
      </c>
      <c r="DU533" s="2" t="s">
        <v>102</v>
      </c>
      <c r="DV533" s="2" t="s">
        <v>102</v>
      </c>
      <c r="DW533" s="2" t="s">
        <v>2192</v>
      </c>
      <c r="DX533" s="2">
        <v>2545</v>
      </c>
      <c r="DY533" s="12">
        <v>0</v>
      </c>
      <c r="DZ533" s="2" t="s">
        <v>102</v>
      </c>
      <c r="EA533" s="2" t="s">
        <v>102</v>
      </c>
      <c r="EB533" s="2" t="s">
        <v>102</v>
      </c>
      <c r="EC533" s="2" t="str">
        <f>HYPERLINK(".\links\gpi\AGAP003282-PA-gpi.txt","Y-NoSP")</f>
        <v>Y-NoSP</v>
      </c>
      <c r="ED533" s="2">
        <v>0.34</v>
      </c>
      <c r="EF533" s="2">
        <v>10</v>
      </c>
      <c r="EG533" s="2" t="str">
        <f>HYPERLINK(".\links\pep\AGAP003282-PA-sulf.txt","2")</f>
        <v>2</v>
      </c>
      <c r="EH533" s="2" t="s">
        <v>102</v>
      </c>
      <c r="EI533" s="2">
        <v>18.664047151277</v>
      </c>
      <c r="EJ533" s="2">
        <v>7.3084479371316302</v>
      </c>
      <c r="EK533" s="2">
        <v>9.7838899803536403</v>
      </c>
      <c r="EL533" s="2">
        <v>17.092337917485299</v>
      </c>
      <c r="EM533" s="2">
        <v>5</v>
      </c>
      <c r="EN533" s="2">
        <v>8</v>
      </c>
      <c r="EO533" s="2">
        <v>8</v>
      </c>
      <c r="EP533" s="2" t="s">
        <v>102</v>
      </c>
      <c r="EQ533" s="2" t="s">
        <v>102</v>
      </c>
      <c r="ER533" s="2" t="s">
        <v>102</v>
      </c>
      <c r="ES533" s="2" t="s">
        <v>102</v>
      </c>
      <c r="ET533" s="2" t="str">
        <f>HYPERLINK(".\links\REFSEQ-INVERTEBRATE\AGAP003282-PA-REFSEQ-INVERTEBRATE.txt","AGAP003282-PB")</f>
        <v>AGAP003282-PB</v>
      </c>
      <c r="EU533" s="2" t="str">
        <f>HYPERLINK("http://www.ncbi.nlm.nih.gov/sutils/blink.cgi?pid=XP_003436434.1","0.0")</f>
        <v>0.0</v>
      </c>
      <c r="EV533" s="2" t="str">
        <f>HYPERLINK("http://www.ncbi.nlm.nih.gov/protein/XP_003436434.1","XP_003436434.1")</f>
        <v>XP_003436434.1</v>
      </c>
      <c r="EW533" s="2">
        <v>100</v>
      </c>
      <c r="EX533" s="2">
        <v>100</v>
      </c>
      <c r="EY533" s="2">
        <v>100</v>
      </c>
      <c r="EZ533" s="2" t="s">
        <v>105</v>
      </c>
    </row>
    <row r="534" spans="1:156" x14ac:dyDescent="0.25">
      <c r="A534" s="2" t="s">
        <v>5535</v>
      </c>
      <c r="B534" s="2">
        <v>-0.52875595582873702</v>
      </c>
      <c r="C534" s="2">
        <f t="shared" si="8"/>
        <v>0.69315218551287039</v>
      </c>
      <c r="D534" s="2">
        <v>5.9555745409360004</v>
      </c>
      <c r="E534" s="2">
        <v>14.3155278556694</v>
      </c>
      <c r="F534" s="2">
        <v>1.5458447927529801E-4</v>
      </c>
      <c r="G534" s="2">
        <v>1.36020539576613E-2</v>
      </c>
      <c r="H534" s="2" t="s">
        <v>5536</v>
      </c>
      <c r="I534" s="2" t="s">
        <v>102</v>
      </c>
      <c r="J534" s="2" t="str">
        <f>HYPERLINK("https://vectorbase.org/vectorbase/app/record/gene/AGAP008100","AGAP008100-RB")</f>
        <v>AGAP008100-RB</v>
      </c>
      <c r="K534" s="2" t="str">
        <f>HYPERLINK(".\links\pep\AGAP008100-PB-pep.txt","AGAP008100-PB")</f>
        <v>AGAP008100-PB</v>
      </c>
      <c r="Q534" s="9"/>
      <c r="V534" s="2" t="s">
        <v>5537</v>
      </c>
      <c r="W534" s="10" t="s">
        <v>5538</v>
      </c>
      <c r="X534" s="2" t="s">
        <v>358</v>
      </c>
      <c r="Y534" s="2" t="str">
        <f>HYPERLINK(".\links\UNIPROTKB\AGAP008100-PB-UNIPROTKB.txt","UNIPROTKB")</f>
        <v>UNIPROTKB</v>
      </c>
      <c r="Z534" s="2">
        <v>0</v>
      </c>
      <c r="AA534" s="2">
        <v>41.5</v>
      </c>
      <c r="AB534" s="9"/>
      <c r="AC534" s="9"/>
      <c r="AJ534" s="9"/>
      <c r="AN534" s="9"/>
      <c r="AO534" s="11"/>
      <c r="AP534" s="9"/>
      <c r="AT534" s="9"/>
      <c r="BA534" s="9"/>
      <c r="BH534" s="9"/>
      <c r="BO534" s="9"/>
      <c r="BV534" s="9"/>
      <c r="CB534" s="9"/>
      <c r="CG534" s="9"/>
      <c r="CL534" s="9"/>
      <c r="CP534" s="9"/>
      <c r="CW534" s="2" t="str">
        <f>HYPERLINK(".\links\pep\AGAP008100-PB-pep.txt","AGAP008100-PB")</f>
        <v>AGAP008100-PB</v>
      </c>
      <c r="CX534" s="2" t="s">
        <v>95</v>
      </c>
      <c r="CY534" s="2">
        <v>1224</v>
      </c>
      <c r="CZ534" s="2" t="s">
        <v>113</v>
      </c>
      <c r="DA534" s="2">
        <v>0</v>
      </c>
      <c r="DB534" s="2">
        <v>3</v>
      </c>
      <c r="DD534" s="2" t="str">
        <f>HYPERLINK("https://www.kegg.jp/kegg-bin/search_pathway_text?map=aga&amp;keyword=AGAP008100&amp;mode=1&amp;viewImage=true","AGAP008100")</f>
        <v>AGAP008100</v>
      </c>
      <c r="DE534" s="2" t="s">
        <v>5535</v>
      </c>
      <c r="DF534" s="2" t="s">
        <v>5536</v>
      </c>
      <c r="DG534" s="2" t="s">
        <v>102</v>
      </c>
      <c r="DH534" s="2" t="str">
        <f>HYPERLINK("https://vectorbase.org/vectorbase/app/record/gene/AGAP008100","AGAP008100-RB")</f>
        <v>AGAP008100-RB</v>
      </c>
      <c r="DI534" s="2" t="s">
        <v>115</v>
      </c>
      <c r="DJ534" s="2">
        <v>7300</v>
      </c>
      <c r="DK534" s="2" t="str">
        <f>HYPERLINK(".\links\netoglyc\AGAP008100-PB-netoglyc.txt","9")</f>
        <v>9</v>
      </c>
      <c r="DL534" s="2">
        <v>17.2</v>
      </c>
      <c r="DM534" s="2">
        <v>8.1999999999999993</v>
      </c>
      <c r="DN534" s="2">
        <v>7.3</v>
      </c>
      <c r="DO534" s="2" t="s">
        <v>104</v>
      </c>
      <c r="DP534" s="2" t="s">
        <v>5539</v>
      </c>
      <c r="DQ534" s="2" t="str">
        <f>HYPERLINK(".\links\Sigp\AGAP008100-PB-SigP.txt","CYT")</f>
        <v>CYT</v>
      </c>
      <c r="DR534" s="2" t="s">
        <v>102</v>
      </c>
      <c r="DS534" s="2">
        <v>132.62100000000001</v>
      </c>
      <c r="DT534" s="2">
        <v>8.83</v>
      </c>
      <c r="DU534" s="2" t="s">
        <v>102</v>
      </c>
      <c r="DV534" s="2" t="s">
        <v>102</v>
      </c>
      <c r="DW534" s="2" t="s">
        <v>124</v>
      </c>
      <c r="DX534" s="2">
        <v>1224</v>
      </c>
      <c r="DY534" s="12">
        <v>0</v>
      </c>
      <c r="DZ534" s="2" t="s">
        <v>102</v>
      </c>
      <c r="EA534" s="2" t="s">
        <v>102</v>
      </c>
      <c r="EB534" s="2" t="s">
        <v>102</v>
      </c>
      <c r="EC534" s="2" t="str">
        <f>HYPERLINK(".\links\gpi\AGAP008100-PB-gpi.txt","Y-NoSP")</f>
        <v>Y-NoSP</v>
      </c>
      <c r="ED534" s="2">
        <v>0.18</v>
      </c>
      <c r="EF534" s="2">
        <v>32</v>
      </c>
      <c r="EG534" s="2" t="s">
        <v>102</v>
      </c>
      <c r="EH534" s="2" t="s">
        <v>102</v>
      </c>
      <c r="EI534" s="2">
        <v>17.238562091503301</v>
      </c>
      <c r="EJ534" s="2">
        <v>7.2712418300653603</v>
      </c>
      <c r="EK534" s="2">
        <v>8.1699346405228805</v>
      </c>
      <c r="EL534" s="2">
        <v>15.4411764705882</v>
      </c>
      <c r="EM534" s="2">
        <v>3</v>
      </c>
      <c r="EN534" s="2">
        <v>3</v>
      </c>
      <c r="EO534" s="2">
        <v>5</v>
      </c>
      <c r="EP534" s="2" t="s">
        <v>102</v>
      </c>
      <c r="EQ534" s="2" t="s">
        <v>102</v>
      </c>
      <c r="ER534" s="2" t="s">
        <v>102</v>
      </c>
      <c r="ES534" s="2" t="s">
        <v>102</v>
      </c>
      <c r="ET534" s="2" t="str">
        <f>HYPERLINK(".\links\REFSEQ-INVERTEBRATE\AGAP008100-PB-REFSEQ-INVERTEBRATE.txt","protein spire isoform X3")</f>
        <v>protein spire isoform X3</v>
      </c>
      <c r="EU534" s="2" t="str">
        <f>HYPERLINK("http://www.ncbi.nlm.nih.gov/sutils/blink.cgi?pid=XP_035915818.1","0.0")</f>
        <v>0.0</v>
      </c>
      <c r="EV534" s="2" t="str">
        <f>HYPERLINK("http://www.ncbi.nlm.nih.gov/protein/XP_035915818.1","XP_035915818.1")</f>
        <v>XP_035915818.1</v>
      </c>
      <c r="EW534" s="2">
        <v>81</v>
      </c>
      <c r="EX534" s="2">
        <v>83</v>
      </c>
      <c r="EY534" s="2">
        <v>106</v>
      </c>
      <c r="EZ534" s="2" t="s">
        <v>370</v>
      </c>
    </row>
    <row r="535" spans="1:156" x14ac:dyDescent="0.25">
      <c r="A535" s="2" t="s">
        <v>5540</v>
      </c>
      <c r="B535" s="2">
        <v>-0.529270347377233</v>
      </c>
      <c r="C535" s="2">
        <f t="shared" si="8"/>
        <v>0.69290508681257157</v>
      </c>
      <c r="D535" s="2">
        <v>5.4339761531528596</v>
      </c>
      <c r="E535" s="2">
        <v>19.580287492516501</v>
      </c>
      <c r="F535" s="2">
        <v>9.6459322052886799E-6</v>
      </c>
      <c r="G535" s="2">
        <v>3.8024264753248002E-3</v>
      </c>
      <c r="H535" s="2" t="s">
        <v>5541</v>
      </c>
      <c r="I535" s="2" t="s">
        <v>88</v>
      </c>
      <c r="J535" s="8" t="s">
        <v>5542</v>
      </c>
      <c r="Q535" s="9"/>
      <c r="W535" s="10"/>
      <c r="AB535" s="9"/>
      <c r="AC535" s="9"/>
      <c r="AJ535" s="9"/>
      <c r="AN535" s="9"/>
      <c r="AO535" s="11"/>
      <c r="AP535" s="9"/>
      <c r="AT535" s="9"/>
      <c r="BA535" s="9"/>
      <c r="BH535" s="9"/>
      <c r="BO535" s="9"/>
      <c r="BV535" s="9"/>
      <c r="CB535" s="9"/>
      <c r="CG535" s="9"/>
      <c r="CL535" s="9"/>
      <c r="CP535" s="9"/>
      <c r="DE535" s="2" t="s">
        <v>5540</v>
      </c>
      <c r="DF535" s="2" t="s">
        <v>5541</v>
      </c>
      <c r="DG535" s="2" t="s">
        <v>88</v>
      </c>
      <c r="DH535" s="8" t="s">
        <v>5542</v>
      </c>
      <c r="DI535" s="2" t="s">
        <v>118</v>
      </c>
      <c r="DJ535" s="2">
        <v>6287</v>
      </c>
      <c r="DQ535" s="2" t="s">
        <v>141</v>
      </c>
      <c r="DS535" s="2">
        <v>156529</v>
      </c>
      <c r="DT535" s="2">
        <v>8.23</v>
      </c>
      <c r="DX535" s="2">
        <v>1416</v>
      </c>
      <c r="DY535" s="12"/>
    </row>
    <row r="536" spans="1:156" x14ac:dyDescent="0.25">
      <c r="A536" s="2" t="s">
        <v>5543</v>
      </c>
      <c r="B536" s="2">
        <v>-0.529467358056396</v>
      </c>
      <c r="C536" s="2">
        <f t="shared" si="8"/>
        <v>0.69281047195801171</v>
      </c>
      <c r="D536" s="2">
        <v>5.1179054227681897</v>
      </c>
      <c r="E536" s="2">
        <v>20.405959299040202</v>
      </c>
      <c r="F536" s="2">
        <v>6.2634447785584696E-6</v>
      </c>
      <c r="G536" s="2">
        <v>3.0433115072762101E-3</v>
      </c>
      <c r="H536" s="2" t="s">
        <v>4914</v>
      </c>
      <c r="I536" s="2" t="s">
        <v>94</v>
      </c>
      <c r="J536" s="2" t="str">
        <f>HYPERLINK("https://vectorbase.org/vectorbase/app/record/gene/AGAP008516","AGAP008516-RA")</f>
        <v>AGAP008516-RA</v>
      </c>
      <c r="K536" s="2" t="str">
        <f>HYPERLINK(".\links\pep\AGAP008516-PA-pep.txt","AGAP008516-PA")</f>
        <v>AGAP008516-PA</v>
      </c>
      <c r="L536" s="12" t="s">
        <v>95</v>
      </c>
      <c r="M536" s="2">
        <v>813</v>
      </c>
      <c r="N536" s="2">
        <v>0</v>
      </c>
      <c r="O536" s="2">
        <v>1</v>
      </c>
      <c r="P536" s="2" t="s">
        <v>4915</v>
      </c>
      <c r="Q536" s="9" t="s">
        <v>5544</v>
      </c>
      <c r="R536" s="2" t="s">
        <v>2281</v>
      </c>
      <c r="S536" s="2" t="str">
        <f>HYPERLINK(".\links\CDD\AGAP008516-PA-CDD.txt","CDD")</f>
        <v>CDD</v>
      </c>
      <c r="T536" s="2">
        <v>0</v>
      </c>
      <c r="U536" s="2">
        <v>52.4</v>
      </c>
      <c r="V536" s="2" t="s">
        <v>5545</v>
      </c>
      <c r="W536" s="10" t="s">
        <v>183</v>
      </c>
      <c r="X536" s="2" t="s">
        <v>781</v>
      </c>
      <c r="Y536" s="2" t="str">
        <f>HYPERLINK(".\links\COG\AGAP008516-PA-COG.txt","COG")</f>
        <v>COG</v>
      </c>
      <c r="Z536" s="15">
        <v>1.9999999999999999E-40</v>
      </c>
      <c r="AA536" s="2">
        <v>49.8</v>
      </c>
      <c r="AB536" s="13" t="str">
        <f>HYPERLINK(".\links\pep\AGAP008516-PA-sulf.txt","3")</f>
        <v>3</v>
      </c>
      <c r="AC536" s="13" t="str">
        <f>HYPERLINK(".\links\Sigp\AGAP008516-PA-SigP.txt","CYT")</f>
        <v>CYT</v>
      </c>
      <c r="AD536" s="2" t="s">
        <v>102</v>
      </c>
      <c r="AE536" s="2">
        <v>89.918000000000006</v>
      </c>
      <c r="AF536" s="2">
        <v>4.6399999999999997</v>
      </c>
      <c r="AG536" s="2" t="s">
        <v>102</v>
      </c>
      <c r="AH536" s="2" t="s">
        <v>102</v>
      </c>
      <c r="AI536" s="2" t="s">
        <v>5546</v>
      </c>
      <c r="AJ536" s="13">
        <v>0</v>
      </c>
      <c r="AK536" s="2" t="s">
        <v>102</v>
      </c>
      <c r="AL536" s="2" t="s">
        <v>102</v>
      </c>
      <c r="AM536" s="2" t="s">
        <v>102</v>
      </c>
      <c r="AN536" s="13" t="str">
        <f>HYPERLINK(".\links\gpi\AGAP008516-PA-gpi.txt","N")</f>
        <v>N</v>
      </c>
      <c r="AO536" s="14" t="str">
        <f>HYPERLINK(".\links\netoglyc\AGAP008516-PA-netoglyc.txt","3")</f>
        <v>3</v>
      </c>
      <c r="AP536" s="13">
        <v>11.6</v>
      </c>
      <c r="AQ536" s="2">
        <v>7.9</v>
      </c>
      <c r="AR536" s="2">
        <v>4.5999999999999996</v>
      </c>
      <c r="AS536" s="2" t="s">
        <v>104</v>
      </c>
      <c r="AT536" s="9" t="str">
        <f>HYPERLINK(".\links\NR-LIGHT\AGAP008516-PA-NR-LIGHT.txt","nicotinate phosphoribosyltransferase isoform X1")</f>
        <v>nicotinate phosphoribosyltransferase isoform X1</v>
      </c>
      <c r="AU536" s="2" t="str">
        <f>HYPERLINK("http://www.ncbi.nlm.nih.gov/sutils/blink.cgi?pid=XP_021701522.1","0.0")</f>
        <v>0.0</v>
      </c>
      <c r="AV536" s="2" t="str">
        <f>HYPERLINK("http://www.ncbi.nlm.nih.gov/protein/XP_021701522.1","XP_021701522.1")</f>
        <v>XP_021701522.1</v>
      </c>
      <c r="AW536" s="2">
        <v>66</v>
      </c>
      <c r="AX536" s="2">
        <v>73</v>
      </c>
      <c r="AY536" s="2">
        <v>111</v>
      </c>
      <c r="AZ536" s="2" t="s">
        <v>391</v>
      </c>
      <c r="BA536" s="9" t="str">
        <f>HYPERLINK(".\links\REFSEQ-INVERTEBRATE\AGAP008516-PA-REFSEQ-INVERTEBRATE.txt","nicotinate phosphoribosyltransferase isoform X1")</f>
        <v>nicotinate phosphoribosyltransferase isoform X1</v>
      </c>
      <c r="BB536" s="2" t="str">
        <f>HYPERLINK("http://www.ncbi.nlm.nih.gov/sutils/blink.cgi?pid=XP_021701522.1","0.0")</f>
        <v>0.0</v>
      </c>
      <c r="BC536" s="2" t="str">
        <f>HYPERLINK("http://www.ncbi.nlm.nih.gov/protein/XP_021701522.1","XP_021701522.1")</f>
        <v>XP_021701522.1</v>
      </c>
      <c r="BD536" s="2">
        <v>66</v>
      </c>
      <c r="BE536" s="2">
        <v>73</v>
      </c>
      <c r="BF536" s="2">
        <v>111</v>
      </c>
      <c r="BG536" s="2" t="s">
        <v>391</v>
      </c>
      <c r="BH536" s="9" t="str">
        <f>HYPERLINK(".\links\REFSEQ-PROTOZOA\AGAP008516-PA-REFSEQ-PROTOZOA.txt","hypothetical protein")</f>
        <v>hypothetical protein</v>
      </c>
      <c r="BI536" s="2" t="str">
        <f>HYPERLINK("http://www.ncbi.nlm.nih.gov/sutils/blink.cgi?pid=XP_001745982.1","4E-091")</f>
        <v>4E-091</v>
      </c>
      <c r="BJ536" s="2" t="str">
        <f>HYPERLINK("http://www.ncbi.nlm.nih.gov/protein/XP_001745982.1","XP_001745982.1")</f>
        <v>XP_001745982.1</v>
      </c>
      <c r="BK536" s="2">
        <v>58</v>
      </c>
      <c r="BL536" s="2">
        <v>75</v>
      </c>
      <c r="BM536" s="2">
        <v>50</v>
      </c>
      <c r="BN536" s="2" t="s">
        <v>248</v>
      </c>
      <c r="BO536" s="9" t="str">
        <f>HYPERLINK(".\links\SWISSP\AGAP008516-PA-SWISSP.txt","Nicotinate phosphoribosyltransferase")</f>
        <v>Nicotinate phosphoribosyltransferase</v>
      </c>
      <c r="BP536" s="2" t="str">
        <f>HYPERLINK("http://www.uniprot.org/uniprot/Q9VQX4","1E-136")</f>
        <v>1E-136</v>
      </c>
      <c r="BQ536" s="2" t="str">
        <f>HYPERLINK("http://www.uniprot.org/uniprot/Q9VQX4#expression","Q9VQX4")</f>
        <v>Q9VQX4</v>
      </c>
      <c r="BR536" s="2">
        <v>83</v>
      </c>
      <c r="BS536" s="2">
        <v>90</v>
      </c>
      <c r="BT536" s="2">
        <v>52</v>
      </c>
      <c r="BU536" s="2" t="s">
        <v>107</v>
      </c>
      <c r="BV536" s="9" t="str">
        <f>HYPERLINK(".\links\FLYBASE\AGAP008516-PA-FLYBASE.txt","FBpp0077170")</f>
        <v>FBpp0077170</v>
      </c>
      <c r="BW536" s="2" t="str">
        <f>HYPERLINK("http://flybase.org/reports/FBgn0031589#alliance_summary_container","1E-161")</f>
        <v>1E-161</v>
      </c>
      <c r="BX536" s="2">
        <v>555</v>
      </c>
      <c r="BY536" s="2">
        <v>82</v>
      </c>
      <c r="BZ536" s="2">
        <v>89</v>
      </c>
      <c r="CA536" s="2">
        <v>53</v>
      </c>
      <c r="CB536" s="9" t="str">
        <f>HYPERLINK(".\links\CDD\AGAP008516-PA-CDD.txt","PLN02885, nicotinate phosphoribosyltransferase")</f>
        <v>PLN02885, nicotinate phosphoribosyltransferase</v>
      </c>
      <c r="CC536" s="15">
        <v>1E-127</v>
      </c>
      <c r="CD536" s="2">
        <v>52.5</v>
      </c>
      <c r="CE536" s="2" t="s">
        <v>4919</v>
      </c>
      <c r="CF536" s="2" t="s">
        <v>5547</v>
      </c>
      <c r="CG536" s="9" t="str">
        <f>HYPERLINK(".\links\KOG\AGAP008516-PA-KOG.txt","Nicotinic acid phosphoribosyltransferase")</f>
        <v>Nicotinic acid phosphoribosyltransferase</v>
      </c>
      <c r="CH536" s="15">
        <v>1E-83</v>
      </c>
      <c r="CI536" s="2">
        <v>54.5</v>
      </c>
      <c r="CJ536" s="2" t="s">
        <v>4921</v>
      </c>
      <c r="CK536" s="2" t="s">
        <v>786</v>
      </c>
      <c r="CL536" s="9" t="str">
        <f>HYPERLINK(".\links\PFAM\AGAP008516-PA-PFAM.txt","NAPRTase, Nicotinate phosphoribosyltransferase (NAPRTase) family")</f>
        <v>NAPRTase, Nicotinate phosphoribosyltransferase (NAPRTase) family</v>
      </c>
      <c r="CM536" s="15">
        <v>7.9999999999999996E-6</v>
      </c>
      <c r="CN536" s="2">
        <v>53.2</v>
      </c>
      <c r="CO536" s="2" t="s">
        <v>4922</v>
      </c>
      <c r="CP536" s="9" t="str">
        <f>HYPERLINK(".\links\SMART\AGAP008516-PA-SMART.txt","Glyco_10, Glycosyl hydrolase family 10")</f>
        <v>Glyco_10, Glycosyl hydrolase family 10</v>
      </c>
      <c r="CQ536" s="15">
        <v>0.88</v>
      </c>
      <c r="CR536" s="2">
        <v>17.100000000000001</v>
      </c>
      <c r="CS536" s="2" t="s">
        <v>4923</v>
      </c>
      <c r="CT536" s="2" t="s">
        <v>5545</v>
      </c>
      <c r="CU536" s="2" t="s">
        <v>5545</v>
      </c>
      <c r="CV536" s="2" t="s">
        <v>5545</v>
      </c>
      <c r="CW536" s="2" t="str">
        <f>HYPERLINK(".\links\pep\AGAP008516-PA-pep.txt","AGAP008516-PA")</f>
        <v>AGAP008516-PA</v>
      </c>
      <c r="CX536" s="2" t="s">
        <v>95</v>
      </c>
      <c r="CY536" s="2">
        <v>813</v>
      </c>
      <c r="CZ536" s="2" t="s">
        <v>113</v>
      </c>
      <c r="DA536" s="2" t="s">
        <v>4924</v>
      </c>
      <c r="DB536" s="2">
        <v>0</v>
      </c>
      <c r="DC536" s="2">
        <v>1</v>
      </c>
      <c r="DD536" s="2" t="str">
        <f>HYPERLINK("https://www.kegg.jp/kegg-bin/search_pathway_text?map=aga&amp;keyword=AGAP008516&amp;mode=1&amp;viewImage=true","AGAP008516")</f>
        <v>AGAP008516</v>
      </c>
      <c r="DE536" s="2" t="s">
        <v>5543</v>
      </c>
      <c r="DF536" s="2" t="s">
        <v>4914</v>
      </c>
      <c r="DG536" s="2" t="s">
        <v>94</v>
      </c>
      <c r="DH536" s="2" t="str">
        <f>HYPERLINK("https://vectorbase.org/vectorbase/app/record/gene/AGAP008516","AGAP008516-RA")</f>
        <v>AGAP008516-RA</v>
      </c>
      <c r="DI536" s="2" t="s">
        <v>115</v>
      </c>
      <c r="DJ536" s="2">
        <v>6315</v>
      </c>
      <c r="DK536" s="2" t="str">
        <f>HYPERLINK(".\links\netoglyc\AGAP008516-PA-netoglyc.txt","3")</f>
        <v>3</v>
      </c>
      <c r="DL536" s="2">
        <v>11.6</v>
      </c>
      <c r="DM536" s="2">
        <v>7.9</v>
      </c>
      <c r="DN536" s="2">
        <v>4.5999999999999996</v>
      </c>
      <c r="DO536" s="2" t="s">
        <v>104</v>
      </c>
      <c r="DP536" s="2" t="s">
        <v>102</v>
      </c>
      <c r="DQ536" s="2" t="str">
        <f>HYPERLINK(".\links\Sigp\AGAP008516-PA-SigP.txt","CYT")</f>
        <v>CYT</v>
      </c>
      <c r="DR536" s="2" t="s">
        <v>102</v>
      </c>
      <c r="DS536" s="2">
        <v>89.918000000000006</v>
      </c>
      <c r="DT536" s="2">
        <v>4.6399999999999997</v>
      </c>
      <c r="DU536" s="2" t="s">
        <v>102</v>
      </c>
      <c r="DV536" s="2" t="s">
        <v>102</v>
      </c>
      <c r="DW536" s="2" t="s">
        <v>5546</v>
      </c>
      <c r="DX536" s="2">
        <v>813</v>
      </c>
      <c r="DY536" s="12">
        <v>0</v>
      </c>
      <c r="DZ536" s="2" t="s">
        <v>102</v>
      </c>
      <c r="EA536" s="2" t="s">
        <v>102</v>
      </c>
      <c r="EB536" s="2" t="s">
        <v>102</v>
      </c>
      <c r="EC536" s="2" t="str">
        <f>HYPERLINK(".\links\gpi\AGAP008516-PA-gpi.txt","N")</f>
        <v>N</v>
      </c>
      <c r="ED536" s="2">
        <v>0.18</v>
      </c>
      <c r="EF536" s="2">
        <v>18</v>
      </c>
      <c r="EG536" s="2" t="str">
        <f>HYPERLINK(".\links\pep\AGAP008516-PA-sulf.txt","3")</f>
        <v>3</v>
      </c>
      <c r="EH536" s="2" t="s">
        <v>102</v>
      </c>
      <c r="EI536" s="2">
        <v>11.562115621156201</v>
      </c>
      <c r="EJ536" s="2">
        <v>4.5510455104550998</v>
      </c>
      <c r="EK536" s="2">
        <v>7.8720787207872096</v>
      </c>
      <c r="EL536" s="2">
        <v>12.4231242312423</v>
      </c>
      <c r="EM536" s="2" t="s">
        <v>102</v>
      </c>
      <c r="EN536" s="2">
        <v>2</v>
      </c>
      <c r="EO536" s="2">
        <v>3</v>
      </c>
      <c r="EP536" s="2" t="s">
        <v>102</v>
      </c>
      <c r="EQ536" s="2" t="s">
        <v>102</v>
      </c>
      <c r="ER536" s="2" t="s">
        <v>102</v>
      </c>
      <c r="ES536" s="2" t="s">
        <v>102</v>
      </c>
      <c r="ET536" s="2" t="str">
        <f>HYPERLINK(".\links\REFSEQ-INVERTEBRATE\AGAP008516-PA-REFSEQ-INVERTEBRATE.txt","nicotinate phosphoribosyltransferase isoform X1")</f>
        <v>nicotinate phosphoribosyltransferase isoform X1</v>
      </c>
      <c r="EU536" s="2" t="str">
        <f>HYPERLINK("http://www.ncbi.nlm.nih.gov/sutils/blink.cgi?pid=XP_035910930.1","0.0")</f>
        <v>0.0</v>
      </c>
      <c r="EV536" s="2" t="str">
        <f>HYPERLINK("http://www.ncbi.nlm.nih.gov/protein/XP_035910930.1","XP_035910930.1")</f>
        <v>XP_035910930.1</v>
      </c>
      <c r="EW536" s="2">
        <v>80</v>
      </c>
      <c r="EX536" s="2">
        <v>83</v>
      </c>
      <c r="EY536" s="2">
        <v>110</v>
      </c>
      <c r="EZ536" s="2" t="s">
        <v>370</v>
      </c>
    </row>
    <row r="537" spans="1:156" x14ac:dyDescent="0.25">
      <c r="A537" s="2" t="s">
        <v>5548</v>
      </c>
      <c r="B537" s="2">
        <v>-0.54102726317012795</v>
      </c>
      <c r="C537" s="2">
        <f t="shared" si="8"/>
        <v>0.68728135983973782</v>
      </c>
      <c r="D537" s="2">
        <v>6.6468918108933002</v>
      </c>
      <c r="E537" s="2">
        <v>10.565917855050399</v>
      </c>
      <c r="F537" s="2">
        <v>1.1519182356919801E-3</v>
      </c>
      <c r="G537" s="2">
        <v>3.4090553191424698E-2</v>
      </c>
      <c r="H537" s="2" t="s">
        <v>5549</v>
      </c>
      <c r="I537" s="2" t="s">
        <v>94</v>
      </c>
      <c r="J537" s="2" t="str">
        <f>HYPERLINK("https://vectorbase.org/vectorbase/app/record/gene/AGAP007970","AGAP007970-RA")</f>
        <v>AGAP007970-RA</v>
      </c>
      <c r="K537" s="2" t="str">
        <f>HYPERLINK(".\links\pep\AGAP007970-PA-pep.txt","AGAP007970-PA")</f>
        <v>AGAP007970-PA</v>
      </c>
      <c r="L537" s="12" t="s">
        <v>95</v>
      </c>
      <c r="M537" s="2">
        <v>477</v>
      </c>
      <c r="N537" s="2">
        <v>0</v>
      </c>
      <c r="O537" s="2">
        <v>2</v>
      </c>
      <c r="P537" s="2" t="s">
        <v>5550</v>
      </c>
      <c r="Q537" s="9" t="s">
        <v>5551</v>
      </c>
      <c r="R537" s="2" t="s">
        <v>771</v>
      </c>
      <c r="S537" s="2" t="str">
        <f>HYPERLINK(".\links\NR-LIGHT\AGAP007970-PA-NR-LIGHT.txt","NR-LIGHT")</f>
        <v>NR-LIGHT</v>
      </c>
      <c r="T537" s="2">
        <v>0</v>
      </c>
      <c r="U537" s="2">
        <v>100</v>
      </c>
      <c r="V537" s="2" t="s">
        <v>5552</v>
      </c>
      <c r="W537" s="10" t="s">
        <v>5553</v>
      </c>
      <c r="X537" s="2" t="s">
        <v>771</v>
      </c>
      <c r="Y537" s="2" t="str">
        <f>HYPERLINK(".\links\ARTHORPODA\AGAP007970-PA-ARTHORPODA.txt","ARTHORPODA")</f>
        <v>ARTHORPODA</v>
      </c>
      <c r="Z537" s="2">
        <v>0</v>
      </c>
      <c r="AA537" s="2">
        <v>100</v>
      </c>
      <c r="AB537" s="13" t="s">
        <v>102</v>
      </c>
      <c r="AC537" s="13" t="str">
        <f>HYPERLINK(".\links\Sigp\AGAP007970-PA-SigP.txt","CYT")</f>
        <v>CYT</v>
      </c>
      <c r="AD537" s="2" t="s">
        <v>102</v>
      </c>
      <c r="AE537" s="2">
        <v>52.311999999999998</v>
      </c>
      <c r="AF537" s="2">
        <v>5.98</v>
      </c>
      <c r="AG537" s="2" t="s">
        <v>102</v>
      </c>
      <c r="AH537" s="2" t="s">
        <v>102</v>
      </c>
      <c r="AI537" s="2" t="s">
        <v>5554</v>
      </c>
      <c r="AJ537" s="13">
        <v>0</v>
      </c>
      <c r="AK537" s="2" t="s">
        <v>102</v>
      </c>
      <c r="AL537" s="2" t="s">
        <v>102</v>
      </c>
      <c r="AM537" s="2" t="s">
        <v>102</v>
      </c>
      <c r="AN537" s="13" t="str">
        <f>HYPERLINK(".\links\gpi\AGAP007970-PA-gpi.txt","N")</f>
        <v>N</v>
      </c>
      <c r="AO537" s="14" t="str">
        <f>HYPERLINK(".\links\netoglyc\AGAP007970-PA-netoglyc.txt","3")</f>
        <v>3</v>
      </c>
      <c r="AP537" s="13">
        <v>15.3</v>
      </c>
      <c r="AQ537" s="2">
        <v>6.1</v>
      </c>
      <c r="AR537" s="2">
        <v>4</v>
      </c>
      <c r="AS537" s="2" t="s">
        <v>104</v>
      </c>
      <c r="AT537" s="9" t="str">
        <f>HYPERLINK(".\links\NR-LIGHT\AGAP007970-PA-NR-LIGHT.txt","autophagy-specific 18")</f>
        <v>autophagy-specific 18</v>
      </c>
      <c r="AU537" s="2" t="str">
        <f>HYPERLINK("http://www.ncbi.nlm.nih.gov/sutils/blink.cgi?pid=ETN63953.1","0.0")</f>
        <v>0.0</v>
      </c>
      <c r="AV537" s="2" t="str">
        <f>HYPERLINK("http://www.ncbi.nlm.nih.gov/protein/ETN63953.1","ETN63953.1")</f>
        <v>ETN63953.1</v>
      </c>
      <c r="AW537" s="2">
        <v>88</v>
      </c>
      <c r="AX537" s="2">
        <v>92</v>
      </c>
      <c r="AY537" s="2">
        <v>100</v>
      </c>
      <c r="AZ537" s="2" t="s">
        <v>360</v>
      </c>
      <c r="BA537" s="9" t="str">
        <f>HYPERLINK(".\links\REFSEQ-INVERTEBRATE\AGAP007970-PA-REFSEQ-INVERTEBRATE.txt","WD repeat domain phosphoinositide-interacting protein 2-like isoform X2")</f>
        <v>WD repeat domain phosphoinositide-interacting protein 2-like isoform X2</v>
      </c>
      <c r="BB537" s="2" t="str">
        <f>HYPERLINK("http://www.ncbi.nlm.nih.gov/sutils/blink.cgi?pid=XP_019560100.1","0.0")</f>
        <v>0.0</v>
      </c>
      <c r="BC537" s="2" t="str">
        <f>HYPERLINK("http://www.ncbi.nlm.nih.gov/protein/XP_019560100.1","XP_019560100.1")</f>
        <v>XP_019560100.1</v>
      </c>
      <c r="BD537" s="2">
        <v>80</v>
      </c>
      <c r="BE537" s="2">
        <v>88</v>
      </c>
      <c r="BF537" s="2">
        <v>101</v>
      </c>
      <c r="BG537" s="2" t="s">
        <v>361</v>
      </c>
      <c r="BH537" s="9" t="str">
        <f>HYPERLINK(".\links\REFSEQ-PROTOZOA\AGAP007970-PA-REFSEQ-PROTOZOA.txt","WD repeat domain phosphoinositide-interacting protein 2")</f>
        <v>WD repeat domain phosphoinositide-interacting protein 2</v>
      </c>
      <c r="BI537" s="2" t="str">
        <f>HYPERLINK("http://www.ncbi.nlm.nih.gov/sutils/blink.cgi?pid=XP_004345680.2","6E-047")</f>
        <v>6E-047</v>
      </c>
      <c r="BJ537" s="2" t="str">
        <f>HYPERLINK("http://www.ncbi.nlm.nih.gov/protein/XP_004345680.2","XP_004345680.2")</f>
        <v>XP_004345680.2</v>
      </c>
      <c r="BK537" s="2">
        <v>32</v>
      </c>
      <c r="BL537" s="2">
        <v>53</v>
      </c>
      <c r="BM537" s="2">
        <v>104</v>
      </c>
      <c r="BN537" s="2" t="s">
        <v>106</v>
      </c>
      <c r="BO537" s="9" t="str">
        <f>HYPERLINK(".\links\SWISSP\AGAP007970-PA-SWISSP.txt","WD repeat domain phosphoinositide-interacting protein 2")</f>
        <v>WD repeat domain phosphoinositide-interacting protein 2</v>
      </c>
      <c r="BP537" s="2" t="str">
        <f>HYPERLINK("http://www.uniprot.org/uniprot/Q7ZWU5","1E-092")</f>
        <v>1E-092</v>
      </c>
      <c r="BQ537" s="2" t="str">
        <f>HYPERLINK("http://www.uniprot.org/uniprot/Q7ZWU5#expression","Q7ZWU5")</f>
        <v>Q7ZWU5</v>
      </c>
      <c r="BR537" s="2">
        <v>46</v>
      </c>
      <c r="BS537" s="2">
        <v>63</v>
      </c>
      <c r="BT537" s="2">
        <v>95</v>
      </c>
      <c r="BU537" s="2" t="s">
        <v>625</v>
      </c>
      <c r="BV537" s="9" t="str">
        <f>HYPERLINK(".\links\FLYBASE\AGAP007970-PA-FLYBASE.txt","FBpp0304068")</f>
        <v>FBpp0304068</v>
      </c>
      <c r="BW537" s="2" t="str">
        <f>HYPERLINK("http://flybase.org/reports/FBgn0032935#alliance_summary_container","1E-152")</f>
        <v>1E-152</v>
      </c>
      <c r="BX537" s="2">
        <v>471</v>
      </c>
      <c r="BY537" s="2">
        <v>49</v>
      </c>
      <c r="BZ537" s="2">
        <v>66</v>
      </c>
      <c r="CA537" s="2">
        <v>101</v>
      </c>
      <c r="CB537" s="9" t="str">
        <f>HYPERLINK(".\links\CDD\AGAP007970-PA-CDD.txt","COG2319, FOG: WD40 repeat")</f>
        <v>COG2319, FOG: WD40 repeat</v>
      </c>
      <c r="CC537" s="15">
        <v>4.0000000000000003E-5</v>
      </c>
      <c r="CD537" s="2">
        <v>54.7</v>
      </c>
      <c r="CE537" s="2" t="s">
        <v>5555</v>
      </c>
      <c r="CF537" s="2" t="s">
        <v>5556</v>
      </c>
      <c r="CG537" s="9" t="str">
        <f>HYPERLINK(".\links\KOG\AGAP007970-PA-KOG.txt","contains WD40 repeats")</f>
        <v>contains WD40 repeats</v>
      </c>
      <c r="CH537" s="15">
        <v>1.0000000000000001E-101</v>
      </c>
      <c r="CI537" s="2">
        <v>96.2</v>
      </c>
      <c r="CJ537" s="2" t="s">
        <v>5557</v>
      </c>
      <c r="CK537" s="2" t="s">
        <v>284</v>
      </c>
      <c r="CL537" s="9" t="str">
        <f>HYPERLINK(".\links\PFAM\AGAP007970-PA-PFAM.txt","WD40, WD domain, G-beta repeat")</f>
        <v>WD40, WD domain, G-beta repeat</v>
      </c>
      <c r="CM537" s="15">
        <v>0.11</v>
      </c>
      <c r="CN537" s="2">
        <v>87.2</v>
      </c>
      <c r="CO537" s="2" t="s">
        <v>1871</v>
      </c>
      <c r="CP537" s="9" t="str">
        <f>HYPERLINK(".\links\SMART\AGAP007970-PA-SMART.txt","WD40, WD40 repeats")</f>
        <v>WD40, WD40 repeats</v>
      </c>
      <c r="CQ537" s="15">
        <v>4.0000000000000001E-3</v>
      </c>
      <c r="CR537" s="2">
        <v>72.5</v>
      </c>
      <c r="CS537" s="2" t="s">
        <v>1720</v>
      </c>
      <c r="CT537" s="2" t="s">
        <v>5552</v>
      </c>
      <c r="CU537" s="2" t="s">
        <v>5552</v>
      </c>
      <c r="CV537" s="2" t="s">
        <v>5552</v>
      </c>
      <c r="CW537" s="2" t="str">
        <f>HYPERLINK(".\links\pep\AGAP007970-PA-pep.txt","AGAP007970-PA")</f>
        <v>AGAP007970-PA</v>
      </c>
      <c r="CX537" s="2" t="s">
        <v>95</v>
      </c>
      <c r="CY537" s="2">
        <v>477</v>
      </c>
      <c r="CZ537" s="2" t="s">
        <v>113</v>
      </c>
      <c r="DA537" s="2" t="s">
        <v>5558</v>
      </c>
      <c r="DB537" s="2">
        <v>0</v>
      </c>
      <c r="DC537" s="2">
        <v>2</v>
      </c>
      <c r="DD537" s="2" t="str">
        <f>HYPERLINK("https://www.kegg.jp/kegg-bin/search_pathway_text?map=aga&amp;keyword=AGAP007970&amp;mode=1&amp;viewImage=true","AGAP007970")</f>
        <v>AGAP007970</v>
      </c>
      <c r="DE537" s="2" t="s">
        <v>5548</v>
      </c>
      <c r="DF537" s="2" t="s">
        <v>5549</v>
      </c>
      <c r="DG537" s="2" t="s">
        <v>94</v>
      </c>
      <c r="DH537" s="2" t="str">
        <f>HYPERLINK("https://vectorbase.org/vectorbase/app/record/gene/AGAP007970","AGAP007970-RA")</f>
        <v>AGAP007970-RA</v>
      </c>
      <c r="DI537" s="2" t="s">
        <v>135</v>
      </c>
      <c r="DJ537" s="2">
        <v>2165</v>
      </c>
      <c r="DK537" s="2" t="str">
        <f>HYPERLINK(".\links\netoglyc\AGAP007970-PA-netoglyc.txt","3")</f>
        <v>3</v>
      </c>
      <c r="DL537" s="2">
        <v>15.3</v>
      </c>
      <c r="DM537" s="2">
        <v>6.1</v>
      </c>
      <c r="DN537" s="2">
        <v>4</v>
      </c>
      <c r="DO537" s="2" t="s">
        <v>104</v>
      </c>
      <c r="DP537" s="2" t="s">
        <v>5559</v>
      </c>
      <c r="DQ537" s="2" t="str">
        <f>HYPERLINK(".\links\Sigp\AGAP007970-PA-SigP.txt","CYT")</f>
        <v>CYT</v>
      </c>
      <c r="DR537" s="2" t="s">
        <v>102</v>
      </c>
      <c r="DS537" s="2">
        <v>52.311999999999998</v>
      </c>
      <c r="DT537" s="2">
        <v>5.98</v>
      </c>
      <c r="DU537" s="2" t="s">
        <v>102</v>
      </c>
      <c r="DV537" s="2" t="s">
        <v>102</v>
      </c>
      <c r="DW537" s="2" t="s">
        <v>5554</v>
      </c>
      <c r="DX537" s="2">
        <v>477</v>
      </c>
      <c r="DY537" s="12">
        <v>0</v>
      </c>
      <c r="DZ537" s="2" t="s">
        <v>102</v>
      </c>
      <c r="EA537" s="2" t="s">
        <v>102</v>
      </c>
      <c r="EB537" s="2" t="s">
        <v>102</v>
      </c>
      <c r="EC537" s="2" t="str">
        <f>HYPERLINK(".\links\gpi\AGAP007970-PA-gpi.txt","Y-NoSP")</f>
        <v>Y-NoSP</v>
      </c>
      <c r="ED537" s="2">
        <v>0.14000000000000001</v>
      </c>
      <c r="EF537" s="2">
        <v>13</v>
      </c>
      <c r="EG537" s="2" t="s">
        <v>102</v>
      </c>
      <c r="EH537" s="2" t="s">
        <v>102</v>
      </c>
      <c r="EI537" s="2">
        <v>15.3039832285115</v>
      </c>
      <c r="EJ537" s="2">
        <v>3.9832285115303998</v>
      </c>
      <c r="EK537" s="2">
        <v>6.0796645702306096</v>
      </c>
      <c r="EL537" s="2">
        <v>10.062893081761001</v>
      </c>
      <c r="EM537" s="2">
        <v>1</v>
      </c>
      <c r="EN537" s="2">
        <v>4</v>
      </c>
      <c r="EO537" s="2">
        <v>4</v>
      </c>
      <c r="EP537" s="2" t="s">
        <v>102</v>
      </c>
      <c r="EQ537" s="2" t="s">
        <v>102</v>
      </c>
      <c r="ER537" s="2" t="s">
        <v>102</v>
      </c>
      <c r="ES537" s="2" t="s">
        <v>102</v>
      </c>
      <c r="ET537" s="2" t="str">
        <f>HYPERLINK(".\links\REFSEQ-INVERTEBRATE\AGAP007970-PA-REFSEQ-INVERTEBRATE.txt","WD repeat domain phosphoinositide-interacting protein 2-like isoform X2")</f>
        <v>WD repeat domain phosphoinositide-interacting protein 2-like isoform X2</v>
      </c>
      <c r="EU537" s="2" t="str">
        <f>HYPERLINK("http://www.ncbi.nlm.nih.gov/sutils/blink.cgi?pid=XP_035916102.1","0.0")</f>
        <v>0.0</v>
      </c>
      <c r="EV537" s="2" t="str">
        <f>HYPERLINK("http://www.ncbi.nlm.nih.gov/protein/XP_035916102.1","XP_035916102.1")</f>
        <v>XP_035916102.1</v>
      </c>
      <c r="EW537" s="2">
        <v>93</v>
      </c>
      <c r="EX537" s="2">
        <v>95</v>
      </c>
      <c r="EY537" s="2">
        <v>101</v>
      </c>
      <c r="EZ537" s="2" t="s">
        <v>370</v>
      </c>
    </row>
    <row r="538" spans="1:156" x14ac:dyDescent="0.25">
      <c r="A538" s="2" t="s">
        <v>5560</v>
      </c>
      <c r="B538" s="2">
        <v>-0.54591252018976599</v>
      </c>
      <c r="C538" s="2">
        <f t="shared" si="8"/>
        <v>0.68495802210111989</v>
      </c>
      <c r="D538" s="2">
        <v>5.0028170361760704</v>
      </c>
      <c r="E538" s="2">
        <v>16.277201571861902</v>
      </c>
      <c r="F538" s="2">
        <v>5.4718363156613803E-5</v>
      </c>
      <c r="G538" s="2">
        <v>8.4581920422063892E-3</v>
      </c>
      <c r="H538" s="2" t="s">
        <v>93</v>
      </c>
      <c r="I538" s="2" t="s">
        <v>94</v>
      </c>
      <c r="J538" s="2" t="str">
        <f>HYPERLINK("https://vectorbase.org/vectorbase/app/record/gene/AGAP001269","AGAP001269-RB")</f>
        <v>AGAP001269-RB</v>
      </c>
      <c r="K538" s="2" t="str">
        <f>HYPERLINK(".\links\pep\AGAP001269-PB-pep.txt","AGAP001269-PB")</f>
        <v>AGAP001269-PB</v>
      </c>
      <c r="L538" s="12" t="s">
        <v>95</v>
      </c>
      <c r="M538" s="2">
        <v>690</v>
      </c>
      <c r="N538" s="2">
        <v>0</v>
      </c>
      <c r="O538" s="2">
        <v>0</v>
      </c>
      <c r="P538" s="2" t="s">
        <v>102</v>
      </c>
      <c r="Q538" s="9" t="s">
        <v>5561</v>
      </c>
      <c r="R538" s="2" t="s">
        <v>564</v>
      </c>
      <c r="S538" s="2" t="str">
        <f>HYPERLINK(".\links\SWISSP\AGAP001269-PB-SWISSP.txt","SWISSP")</f>
        <v>SWISSP</v>
      </c>
      <c r="T538" s="2">
        <v>5.9999999999999998E-22</v>
      </c>
      <c r="U538" s="2">
        <v>74</v>
      </c>
      <c r="V538" s="2" t="s">
        <v>5562</v>
      </c>
      <c r="W538" s="10" t="s">
        <v>5563</v>
      </c>
      <c r="X538" s="2" t="s">
        <v>420</v>
      </c>
      <c r="Y538" s="2" t="str">
        <f>HYPERLINK(".\links\UNIPROTKB\AGAP001269-PB-UNIPROTKB.txt","UNIPROTKB")</f>
        <v>UNIPROTKB</v>
      </c>
      <c r="Z538" s="15">
        <v>3.0000000000000003E-20</v>
      </c>
      <c r="AA538" s="2">
        <v>95.5</v>
      </c>
      <c r="AB538" s="13" t="str">
        <f>HYPERLINK(".\links\pep\AGAP001269-PB-sulf.txt","1")</f>
        <v>1</v>
      </c>
      <c r="AC538" s="13" t="str">
        <f>HYPERLINK(".\links\Sigp\AGAP001269-PB-SigP.txt","CYT")</f>
        <v>CYT</v>
      </c>
      <c r="AD538" s="2" t="s">
        <v>102</v>
      </c>
      <c r="AE538" s="2">
        <v>74.430000000000007</v>
      </c>
      <c r="AF538" s="2">
        <v>8.58</v>
      </c>
      <c r="AG538" s="2" t="s">
        <v>102</v>
      </c>
      <c r="AH538" s="2" t="s">
        <v>102</v>
      </c>
      <c r="AI538" s="2" t="s">
        <v>198</v>
      </c>
      <c r="AJ538" s="13">
        <v>0</v>
      </c>
      <c r="AK538" s="2" t="s">
        <v>102</v>
      </c>
      <c r="AL538" s="2" t="s">
        <v>102</v>
      </c>
      <c r="AM538" s="2" t="s">
        <v>102</v>
      </c>
      <c r="AN538" s="13" t="str">
        <f>HYPERLINK(".\links\gpi\AGAP001269-PB-gpi.txt","N")</f>
        <v>N</v>
      </c>
      <c r="AO538" s="14" t="str">
        <f>HYPERLINK(".\links\netoglyc\AGAP001269-PB-netoglyc.txt","31")</f>
        <v>31</v>
      </c>
      <c r="AP538" s="13">
        <v>17.399999999999999</v>
      </c>
      <c r="AQ538" s="2">
        <v>8.6</v>
      </c>
      <c r="AR538" s="2">
        <v>8.6</v>
      </c>
      <c r="AS538" s="2" t="s">
        <v>104</v>
      </c>
      <c r="AT538" s="9" t="str">
        <f>HYPERLINK(".\links\NR-LIGHT\AGAP001269-PB-NR-LIGHT.txt","AGAP001269-PB")</f>
        <v>AGAP001269-PB</v>
      </c>
      <c r="AU538" s="2" t="str">
        <f>HYPERLINK("http://www.ncbi.nlm.nih.gov/sutils/blink.cgi?pid=XP_003435794.1","0.0")</f>
        <v>0.0</v>
      </c>
      <c r="AV538" s="2" t="str">
        <f>HYPERLINK("http://www.ncbi.nlm.nih.gov/protein/XP_003435794.1","XP_003435794.1")</f>
        <v>XP_003435794.1</v>
      </c>
      <c r="AW538" s="2">
        <v>100</v>
      </c>
      <c r="AX538" s="2">
        <v>100</v>
      </c>
      <c r="AY538" s="2">
        <v>91</v>
      </c>
      <c r="AZ538" s="2" t="s">
        <v>105</v>
      </c>
      <c r="BA538" s="9" t="str">
        <f>HYPERLINK(".\links\REFSEQ-INVERTEBRATE\AGAP001269-PB-REFSEQ-INVERTEBRATE.txt","AGAP001269-PB")</f>
        <v>AGAP001269-PB</v>
      </c>
      <c r="BB538" s="2" t="str">
        <f>HYPERLINK("http://www.ncbi.nlm.nih.gov/sutils/blink.cgi?pid=XP_003435794.1","0.0")</f>
        <v>0.0</v>
      </c>
      <c r="BC538" s="2" t="str">
        <f>HYPERLINK("http://www.ncbi.nlm.nih.gov/protein/XP_003435794.1","XP_003435794.1")</f>
        <v>XP_003435794.1</v>
      </c>
      <c r="BD538" s="2">
        <v>100</v>
      </c>
      <c r="BE538" s="2">
        <v>100</v>
      </c>
      <c r="BF538" s="2">
        <v>91</v>
      </c>
      <c r="BG538" s="2" t="s">
        <v>105</v>
      </c>
      <c r="BH538" s="9" t="str">
        <f>HYPERLINK(".\links\REFSEQ-PROTOZOA\AGAP001269-PB-REFSEQ-PROTOZOA.txt","hypothetical protein PTSG_10036")</f>
        <v>hypothetical protein PTSG_10036</v>
      </c>
      <c r="BI538" s="2" t="str">
        <f>HYPERLINK("http://www.ncbi.nlm.nih.gov/sutils/blink.cgi?pid=XP_004988952.1","1E-024")</f>
        <v>1E-024</v>
      </c>
      <c r="BJ538" s="2" t="str">
        <f>HYPERLINK("http://www.ncbi.nlm.nih.gov/protein/XP_004988952.1","XP_004988952.1")</f>
        <v>XP_004988952.1</v>
      </c>
      <c r="BK538" s="2">
        <v>23</v>
      </c>
      <c r="BL538" s="2">
        <v>34</v>
      </c>
      <c r="BM538" s="2">
        <v>76</v>
      </c>
      <c r="BN538" s="2" t="s">
        <v>435</v>
      </c>
      <c r="BO538" s="9" t="str">
        <f>HYPERLINK(".\links\SWISSP\AGAP001269-PB-SWISSP.txt","Gastrula zinc finger protein XlCGF46.1 (Fragment)")</f>
        <v>Gastrula zinc finger protein XlCGF46.1 (Fragment)</v>
      </c>
      <c r="BP538" s="2" t="str">
        <f>HYPERLINK("http://www.uniprot.org/uniprot/P18722","4E-023")</f>
        <v>4E-023</v>
      </c>
      <c r="BQ538" s="2" t="str">
        <f>HYPERLINK("http://www.uniprot.org/uniprot/P18722#expression","P18722")</f>
        <v>P18722</v>
      </c>
      <c r="BR538" s="2">
        <v>40</v>
      </c>
      <c r="BS538" s="2">
        <v>57</v>
      </c>
      <c r="BT538" s="2">
        <v>43</v>
      </c>
      <c r="BU538" s="2" t="s">
        <v>625</v>
      </c>
      <c r="BV538" s="9" t="str">
        <f>HYPERLINK(".\links\FLYBASE\AGAP001269-PB-FLYBASE.txt","FBpp0297929")</f>
        <v>FBpp0297929</v>
      </c>
      <c r="BW538" s="2" t="str">
        <f>HYPERLINK("http://flybase.org/reports/FBgn0265276#alliance_summary_container","8E-60")</f>
        <v>8E-60</v>
      </c>
      <c r="BX538" s="2">
        <v>360</v>
      </c>
      <c r="BY538" s="2">
        <v>52</v>
      </c>
      <c r="BZ538" s="2">
        <v>67</v>
      </c>
      <c r="CA538" s="2">
        <v>50</v>
      </c>
      <c r="CB538" s="9" t="str">
        <f>HYPERLINK(".\links\CDD\AGAP001269-PB-CDD.txt","ZF_C2H2, Zinc finger, C2H2 type")</f>
        <v>ZF_C2H2, Zinc finger, C2H2 type</v>
      </c>
      <c r="CC538" s="15">
        <v>5.9999999999999998E-21</v>
      </c>
      <c r="CD538" s="2">
        <v>100</v>
      </c>
      <c r="CE538" s="2" t="s">
        <v>569</v>
      </c>
      <c r="CF538" s="2" t="s">
        <v>5564</v>
      </c>
      <c r="CG538" s="9" t="str">
        <f>HYPERLINK(".\links\KOG\AGAP001269-PB-KOG.txt","C2H2-type Zn-finger protein")</f>
        <v>C2H2-type Zn-finger protein</v>
      </c>
      <c r="CH538" s="15">
        <v>9.9999999999999998E-13</v>
      </c>
      <c r="CI538" s="2">
        <v>40.1</v>
      </c>
      <c r="CJ538" s="2" t="s">
        <v>743</v>
      </c>
      <c r="CK538" s="2" t="s">
        <v>309</v>
      </c>
      <c r="CL538" s="9" t="str">
        <f>HYPERLINK(".\links\PFAM\AGAP001269-PB-PFAM.txt","PAT1, Topoisomerase II-associated protein PAT1")</f>
        <v>PAT1, Topoisomerase II-associated protein PAT1</v>
      </c>
      <c r="CM538" s="15">
        <v>1E-4</v>
      </c>
      <c r="CN538" s="2">
        <v>17.100000000000001</v>
      </c>
      <c r="CO538" s="2" t="s">
        <v>3695</v>
      </c>
      <c r="CP538" s="9" t="str">
        <f>HYPERLINK(".\links\SMART\AGAP001269-PB-SMART.txt","ZnF_C2H2, zinc finger")</f>
        <v>ZnF_C2H2, zinc finger</v>
      </c>
      <c r="CQ538" s="15">
        <v>1E-3</v>
      </c>
      <c r="CR538" s="2">
        <v>91.3</v>
      </c>
      <c r="CS538" s="2" t="s">
        <v>573</v>
      </c>
      <c r="CT538" s="2" t="s">
        <v>5562</v>
      </c>
      <c r="CU538" s="2" t="s">
        <v>5562</v>
      </c>
      <c r="CV538" s="2" t="s">
        <v>5562</v>
      </c>
      <c r="CW538" s="2" t="str">
        <f>HYPERLINK(".\links\pep\AGAP001269-PB-pep.txt","AGAP001269-PB")</f>
        <v>AGAP001269-PB</v>
      </c>
      <c r="CX538" s="2" t="s">
        <v>95</v>
      </c>
      <c r="CY538" s="2">
        <v>690</v>
      </c>
      <c r="CZ538" s="2" t="s">
        <v>113</v>
      </c>
      <c r="DA538" s="2" t="s">
        <v>5565</v>
      </c>
      <c r="DB538" s="2">
        <v>0</v>
      </c>
      <c r="DC538" s="2">
        <v>0</v>
      </c>
      <c r="DD538" s="2" t="str">
        <f>HYPERLINK("https://www.kegg.jp/kegg-bin/search_pathway_text?map=aga&amp;keyword=AGAP001269&amp;mode=1&amp;viewImage=true","AGAP001269")</f>
        <v>AGAP001269</v>
      </c>
      <c r="DE538" s="2" t="s">
        <v>5560</v>
      </c>
      <c r="DF538" s="2" t="s">
        <v>93</v>
      </c>
      <c r="DG538" s="2" t="s">
        <v>94</v>
      </c>
      <c r="DH538" s="2" t="str">
        <f>HYPERLINK("https://vectorbase.org/vectorbase/app/record/gene/AGAP001269","AGAP001269-RB")</f>
        <v>AGAP001269-RB</v>
      </c>
      <c r="DI538" s="2" t="s">
        <v>118</v>
      </c>
      <c r="DJ538" s="2">
        <v>3857</v>
      </c>
      <c r="DK538" s="2" t="str">
        <f>HYPERLINK(".\links\netoglyc\AGAP001269-PB-netoglyc.txt","31")</f>
        <v>31</v>
      </c>
      <c r="DL538" s="2">
        <v>17.399999999999999</v>
      </c>
      <c r="DM538" s="2">
        <v>8.6</v>
      </c>
      <c r="DN538" s="2">
        <v>8.6</v>
      </c>
      <c r="DO538" s="2" t="s">
        <v>104</v>
      </c>
      <c r="DP538" s="2" t="s">
        <v>5566</v>
      </c>
      <c r="DQ538" s="2" t="str">
        <f>HYPERLINK(".\links\Sigp\AGAP001269-PB-SigP.txt","CYT")</f>
        <v>CYT</v>
      </c>
      <c r="DR538" s="2" t="s">
        <v>102</v>
      </c>
      <c r="DS538" s="2">
        <v>74.430000000000007</v>
      </c>
      <c r="DT538" s="2">
        <v>8.58</v>
      </c>
      <c r="DU538" s="2" t="s">
        <v>102</v>
      </c>
      <c r="DV538" s="2" t="s">
        <v>102</v>
      </c>
      <c r="DW538" s="2" t="s">
        <v>198</v>
      </c>
      <c r="DX538" s="2">
        <v>690</v>
      </c>
      <c r="DY538" s="12">
        <v>0</v>
      </c>
      <c r="DZ538" s="2" t="s">
        <v>102</v>
      </c>
      <c r="EA538" s="2" t="s">
        <v>102</v>
      </c>
      <c r="EB538" s="2" t="s">
        <v>102</v>
      </c>
      <c r="EC538" s="2" t="str">
        <f>HYPERLINK(".\links\gpi\AGAP001269-PB-gpi.txt","Y-NoSP")</f>
        <v>Y-NoSP</v>
      </c>
      <c r="ED538" s="2">
        <v>0.4</v>
      </c>
      <c r="EF538" s="2">
        <v>10</v>
      </c>
      <c r="EG538" s="2" t="str">
        <f>HYPERLINK(".\links\pep\AGAP001269-PB-sulf.txt","1")</f>
        <v>1</v>
      </c>
      <c r="EH538" s="2" t="s">
        <v>102</v>
      </c>
      <c r="EI538" s="2">
        <v>17.3913043478261</v>
      </c>
      <c r="EJ538" s="2">
        <v>8.5507246376811601</v>
      </c>
      <c r="EK538" s="2">
        <v>8.5507246376811601</v>
      </c>
      <c r="EL538" s="2">
        <v>17.101449275362299</v>
      </c>
      <c r="EM538" s="2">
        <v>3</v>
      </c>
      <c r="EN538" s="2">
        <v>2</v>
      </c>
      <c r="EO538" s="2">
        <v>3</v>
      </c>
      <c r="EP538" s="2" t="s">
        <v>102</v>
      </c>
      <c r="EQ538" s="2" t="s">
        <v>102</v>
      </c>
      <c r="ER538" s="2" t="s">
        <v>102</v>
      </c>
      <c r="ES538" s="2" t="s">
        <v>102</v>
      </c>
      <c r="ET538" s="2" t="str">
        <f>HYPERLINK(".\links\REFSEQ-INVERTEBRATE\AGAP001269-PB-REFSEQ-INVERTEBRATE.txt","AGAP001269-PB")</f>
        <v>AGAP001269-PB</v>
      </c>
      <c r="EU538" s="2" t="str">
        <f>HYPERLINK("http://www.ncbi.nlm.nih.gov/sutils/blink.cgi?pid=XP_003435794.1","0.0")</f>
        <v>0.0</v>
      </c>
      <c r="EV538" s="2" t="str">
        <f>HYPERLINK("http://www.ncbi.nlm.nih.gov/protein/XP_003435794.1","XP_003435794.1")</f>
        <v>XP_003435794.1</v>
      </c>
      <c r="EW538" s="2">
        <v>100</v>
      </c>
      <c r="EX538" s="2">
        <v>100</v>
      </c>
      <c r="EY538" s="2">
        <v>91</v>
      </c>
      <c r="EZ538" s="2" t="s">
        <v>105</v>
      </c>
    </row>
    <row r="539" spans="1:156" x14ac:dyDescent="0.25">
      <c r="A539" s="2" t="s">
        <v>5567</v>
      </c>
      <c r="B539" s="2">
        <v>-0.558095649262906</v>
      </c>
      <c r="C539" s="2">
        <f t="shared" si="8"/>
        <v>0.67919811061469348</v>
      </c>
      <c r="D539" s="2">
        <v>7.1440474086869701</v>
      </c>
      <c r="E539" s="2">
        <v>10.652629292153</v>
      </c>
      <c r="F539" s="2">
        <v>1.0991453948635201E-3</v>
      </c>
      <c r="G539" s="2">
        <v>3.3690006379902E-2</v>
      </c>
      <c r="H539" s="2" t="s">
        <v>93</v>
      </c>
      <c r="I539" s="2" t="s">
        <v>94</v>
      </c>
      <c r="J539" s="2" t="str">
        <f>HYPERLINK("https://vectorbase.org/vectorbase/app/record/gene/AGAP002321","AGAP002321-RA")</f>
        <v>AGAP002321-RA</v>
      </c>
      <c r="K539" s="2" t="str">
        <f>HYPERLINK(".\links\pep\AGAP002321-PA-pep.txt","AGAP002321-PA")</f>
        <v>AGAP002321-PA</v>
      </c>
      <c r="L539" s="12" t="s">
        <v>95</v>
      </c>
      <c r="M539" s="2">
        <v>4128</v>
      </c>
      <c r="N539" s="2">
        <v>0</v>
      </c>
      <c r="O539" s="2">
        <v>5</v>
      </c>
      <c r="P539" s="2" t="s">
        <v>102</v>
      </c>
      <c r="Q539" s="9" t="s">
        <v>5568</v>
      </c>
      <c r="R539" s="2" t="s">
        <v>444</v>
      </c>
      <c r="S539" s="2" t="str">
        <f>HYPERLINK(".\links\REFSEQ-INVERTEBRATE\AGAP002321-PA-REFSEQ-INVERTEBRATE.txt","REFSEQ-INVERTEBRATE")</f>
        <v>REFSEQ-INVERTEBRATE</v>
      </c>
      <c r="T539" s="2">
        <v>0</v>
      </c>
      <c r="U539" s="2">
        <v>114.8</v>
      </c>
      <c r="V539" s="2" t="s">
        <v>5569</v>
      </c>
      <c r="W539" s="10" t="s">
        <v>5570</v>
      </c>
      <c r="X539" s="2" t="s">
        <v>196</v>
      </c>
      <c r="Y539" s="2" t="str">
        <f>HYPERLINK(".\links\ARTHORPODA\AGAP002321-PA-ARTHORPODA.txt","ARTHORPODA")</f>
        <v>ARTHORPODA</v>
      </c>
      <c r="Z539" s="2">
        <v>0</v>
      </c>
      <c r="AA539" s="2">
        <v>93.5</v>
      </c>
      <c r="AB539" s="13" t="str">
        <f>HYPERLINK(".\links\pep\AGAP002321-PA-sulf.txt","2")</f>
        <v>2</v>
      </c>
      <c r="AC539" s="13" t="str">
        <f>HYPERLINK(".\links\Sigp\AGAP002321-PA-SigP.txt","CYT")</f>
        <v>CYT</v>
      </c>
      <c r="AD539" s="2" t="s">
        <v>102</v>
      </c>
      <c r="AE539" s="2">
        <v>432.95600000000002</v>
      </c>
      <c r="AF539" s="2">
        <v>6.81</v>
      </c>
      <c r="AG539" s="2" t="s">
        <v>102</v>
      </c>
      <c r="AH539" s="2" t="s">
        <v>102</v>
      </c>
      <c r="AI539" s="2" t="s">
        <v>1167</v>
      </c>
      <c r="AJ539" s="13">
        <v>0</v>
      </c>
      <c r="AK539" s="2" t="s">
        <v>102</v>
      </c>
      <c r="AL539" s="2" t="s">
        <v>102</v>
      </c>
      <c r="AM539" s="2" t="s">
        <v>102</v>
      </c>
      <c r="AN539" s="13" t="str">
        <f>HYPERLINK(".\links\gpi\AGAP002321-PA-gpi.txt","N")</f>
        <v>N</v>
      </c>
      <c r="AO539" s="14" t="str">
        <f>HYPERLINK(".\links\netoglyc\AGAP002321-PA-netoglyc.txt","49")</f>
        <v>49</v>
      </c>
      <c r="AP539" s="13">
        <v>20.9</v>
      </c>
      <c r="AQ539" s="2">
        <v>7.8</v>
      </c>
      <c r="AR539" s="2">
        <v>7.8</v>
      </c>
      <c r="AS539" s="2" t="s">
        <v>104</v>
      </c>
      <c r="AT539" s="9" t="str">
        <f>HYPERLINK(".\links\NR-LIGHT\AGAP002321-PA-NR-LIGHT.txt","AGAP002321-PA")</f>
        <v>AGAP002321-PA</v>
      </c>
      <c r="AU539" s="2" t="str">
        <f>HYPERLINK("http://www.ncbi.nlm.nih.gov/sutils/blink.cgi?pid=XP_001688399.2","0.0")</f>
        <v>0.0</v>
      </c>
      <c r="AV539" s="2" t="str">
        <f>HYPERLINK("http://www.ncbi.nlm.nih.gov/protein/XP_001688399.2","XP_001688399.2")</f>
        <v>XP_001688399.2</v>
      </c>
      <c r="AW539" s="2">
        <v>97</v>
      </c>
      <c r="AX539" s="2">
        <v>97</v>
      </c>
      <c r="AY539" s="2">
        <v>102</v>
      </c>
      <c r="AZ539" s="2" t="s">
        <v>105</v>
      </c>
      <c r="BA539" s="9" t="str">
        <f>HYPERLINK(".\links\REFSEQ-INVERTEBRATE\AGAP002321-PA-REFSEQ-INVERTEBRATE.txt","AGAP002321-PA")</f>
        <v>AGAP002321-PA</v>
      </c>
      <c r="BB539" s="2" t="str">
        <f>HYPERLINK("http://www.ncbi.nlm.nih.gov/sutils/blink.cgi?pid=XP_001688399.2","0.0")</f>
        <v>0.0</v>
      </c>
      <c r="BC539" s="2" t="str">
        <f>HYPERLINK("http://www.ncbi.nlm.nih.gov/protein/XP_001688399.2","XP_001688399.2")</f>
        <v>XP_001688399.2</v>
      </c>
      <c r="BD539" s="2">
        <v>97</v>
      </c>
      <c r="BE539" s="2">
        <v>97</v>
      </c>
      <c r="BF539" s="2">
        <v>102</v>
      </c>
      <c r="BG539" s="2" t="s">
        <v>105</v>
      </c>
      <c r="BH539" s="9" t="str">
        <f>HYPERLINK(".\links\REFSEQ-PROTOZOA\AGAP002321-PA-REFSEQ-PROTOZOA.txt","hypothetical protein, conserved")</f>
        <v>hypothetical protein, conserved</v>
      </c>
      <c r="BI539" s="2" t="str">
        <f>HYPERLINK("http://www.ncbi.nlm.nih.gov/sutils/blink.cgi?pid=XP_013350917.1","4E-051")</f>
        <v>4E-051</v>
      </c>
      <c r="BJ539" s="2" t="str">
        <f>HYPERLINK("http://www.ncbi.nlm.nih.gov/protein/XP_013350917.1","XP_013350917.1")</f>
        <v>XP_013350917.1</v>
      </c>
      <c r="BK539" s="2">
        <v>23</v>
      </c>
      <c r="BL539" s="2">
        <v>33</v>
      </c>
      <c r="BM539" s="2">
        <v>78</v>
      </c>
      <c r="BN539" s="2" t="s">
        <v>568</v>
      </c>
      <c r="BO539" s="9" t="str">
        <f>HYPERLINK(".\links\SWISSP\AGAP002321-PA-SWISSP.txt","Mucin-4")</f>
        <v>Mucin-4</v>
      </c>
      <c r="BP539" s="2" t="str">
        <f>HYPERLINK("http://www.uniprot.org/uniprot/Q8JZM8","1E-045")</f>
        <v>1E-045</v>
      </c>
      <c r="BQ539" s="2" t="str">
        <f>HYPERLINK("http://www.uniprot.org/uniprot/Q8JZM8#expression","Q8JZM8")</f>
        <v>Q8JZM8</v>
      </c>
      <c r="BR539" s="2">
        <v>19</v>
      </c>
      <c r="BS539" s="2">
        <v>33</v>
      </c>
      <c r="BT539" s="2">
        <v>77</v>
      </c>
      <c r="BU539" s="2" t="s">
        <v>662</v>
      </c>
      <c r="BV539" s="9" t="str">
        <f>HYPERLINK(".\links\FLYBASE\AGAP002321-PA-FLYBASE.txt","FBpp0303331")</f>
        <v>FBpp0303331</v>
      </c>
      <c r="BW539" s="2" t="str">
        <f>HYPERLINK("http://flybase.org/reports/FBgn0039633#alliance_summary_container","2E-26")</f>
        <v>2E-26</v>
      </c>
      <c r="BX539" s="2">
        <v>3003</v>
      </c>
      <c r="BY539" s="2">
        <v>40</v>
      </c>
      <c r="BZ539" s="2">
        <v>61</v>
      </c>
      <c r="CA539" s="2">
        <v>5</v>
      </c>
      <c r="CB539" s="9" t="str">
        <f>HYPERLINK(".\links\CDD\AGAP002321-PA-CDD.txt","GLTSCR1, Conserved region of unknown function on GLTSCR protein")</f>
        <v>GLTSCR1, Conserved region of unknown function on GLTSCR protein</v>
      </c>
      <c r="CC539" s="15">
        <v>1.0000000000000001E-31</v>
      </c>
      <c r="CD539" s="2">
        <v>100</v>
      </c>
      <c r="CE539" s="2" t="s">
        <v>5571</v>
      </c>
      <c r="CF539" s="2" t="s">
        <v>5572</v>
      </c>
      <c r="CG539" s="9" t="str">
        <f>HYPERLINK(".\links\KOG\AGAP002321-PA-KOG.txt","subunit TRAP230")</f>
        <v>subunit TRAP230</v>
      </c>
      <c r="CH539" s="15">
        <v>9.0000000000000003E-16</v>
      </c>
      <c r="CI539" s="2">
        <v>13.9</v>
      </c>
      <c r="CJ539" s="2" t="s">
        <v>4038</v>
      </c>
      <c r="CK539" s="2" t="s">
        <v>309</v>
      </c>
      <c r="CL539" s="9" t="str">
        <f>HYPERLINK(".\links\PFAM\AGAP002321-PA-PFAM.txt","GLTSCR1, Conserved region of unknown function on GLTSCR protein")</f>
        <v>GLTSCR1, Conserved region of unknown function on GLTSCR protein</v>
      </c>
      <c r="CM539" s="15">
        <v>2.0000000000000001E-32</v>
      </c>
      <c r="CN539" s="2">
        <v>100</v>
      </c>
      <c r="CO539" s="2" t="s">
        <v>5571</v>
      </c>
      <c r="CP539" s="9" t="str">
        <f>HYPERLINK(".\links\SMART\AGAP002321-PA-SMART.txt","Amelogenin, Amelogenins, cell adhesion proteins, play a role in the biomineralisation of teeth")</f>
        <v>Amelogenin, Amelogenins, cell adhesion proteins, play a role in the biomineralisation of teeth</v>
      </c>
      <c r="CQ539" s="15">
        <v>1E-4</v>
      </c>
      <c r="CR539" s="2">
        <v>58.2</v>
      </c>
      <c r="CS539" s="2" t="s">
        <v>311</v>
      </c>
      <c r="CT539" s="2" t="s">
        <v>5569</v>
      </c>
      <c r="CU539" s="2" t="s">
        <v>5569</v>
      </c>
      <c r="CV539" s="2" t="s">
        <v>5569</v>
      </c>
      <c r="CW539" s="2" t="str">
        <f>HYPERLINK(".\links\pep\AGAP002321-PA-pep.txt","AGAP002321-PA")</f>
        <v>AGAP002321-PA</v>
      </c>
      <c r="CX539" s="2" t="s">
        <v>95</v>
      </c>
      <c r="CY539" s="2">
        <v>4128</v>
      </c>
      <c r="CZ539" s="2" t="s">
        <v>113</v>
      </c>
      <c r="DA539" s="2" t="s">
        <v>5573</v>
      </c>
      <c r="DB539" s="2">
        <v>0</v>
      </c>
      <c r="DC539" s="2">
        <v>5</v>
      </c>
      <c r="DD539" s="2" t="str">
        <f>HYPERLINK("https://www.kegg.jp/kegg-bin/search_pathway_text?map=aga&amp;keyword=AGAP002321&amp;mode=1&amp;viewImage=true","AGAP002321")</f>
        <v>AGAP002321</v>
      </c>
      <c r="DE539" s="2" t="s">
        <v>5567</v>
      </c>
      <c r="DF539" s="2" t="s">
        <v>93</v>
      </c>
      <c r="DG539" s="2" t="s">
        <v>94</v>
      </c>
      <c r="DH539" s="2" t="str">
        <f>HYPERLINK("https://vectorbase.org/vectorbase/app/record/gene/AGAP002321","AGAP002321-RA")</f>
        <v>AGAP002321-RA</v>
      </c>
      <c r="DI539" s="2" t="s">
        <v>135</v>
      </c>
      <c r="DJ539" s="2">
        <v>16157</v>
      </c>
      <c r="DK539" s="2" t="str">
        <f>HYPERLINK(".\links\netoglyc\AGAP002321-PA-netoglyc.txt","49")</f>
        <v>49</v>
      </c>
      <c r="DL539" s="2">
        <v>20.9</v>
      </c>
      <c r="DM539" s="2">
        <v>7.8</v>
      </c>
      <c r="DN539" s="2">
        <v>7.8</v>
      </c>
      <c r="DO539" s="2" t="s">
        <v>104</v>
      </c>
      <c r="DP539" s="2" t="s">
        <v>102</v>
      </c>
      <c r="DQ539" s="2" t="str">
        <f>HYPERLINK(".\links\Sigp\AGAP002321-PA-SigP.txt","CYT")</f>
        <v>CYT</v>
      </c>
      <c r="DR539" s="2" t="s">
        <v>102</v>
      </c>
      <c r="DS539" s="2">
        <v>432.95600000000002</v>
      </c>
      <c r="DT539" s="2">
        <v>6.81</v>
      </c>
      <c r="DU539" s="2" t="s">
        <v>102</v>
      </c>
      <c r="DV539" s="2" t="s">
        <v>102</v>
      </c>
      <c r="DW539" s="2" t="s">
        <v>1167</v>
      </c>
      <c r="DX539" s="2">
        <v>4128</v>
      </c>
      <c r="DY539" s="12">
        <v>0</v>
      </c>
      <c r="DZ539" s="2" t="s">
        <v>102</v>
      </c>
      <c r="EA539" s="2" t="s">
        <v>102</v>
      </c>
      <c r="EB539" s="2" t="s">
        <v>102</v>
      </c>
      <c r="EC539" s="2" t="str">
        <f>HYPERLINK(".\links\gpi\AGAP002321-PA-gpi.txt","Y-NoSP")</f>
        <v>Y-NoSP</v>
      </c>
      <c r="ED539" s="2">
        <v>0.44</v>
      </c>
      <c r="EF539" s="2">
        <v>23</v>
      </c>
      <c r="EG539" s="2" t="str">
        <f>HYPERLINK(".\links\pep\AGAP002321-PA-sulf.txt","2")</f>
        <v>2</v>
      </c>
      <c r="EH539" s="2" t="s">
        <v>102</v>
      </c>
      <c r="EI539" s="2">
        <v>20.881782945736401</v>
      </c>
      <c r="EJ539" s="2">
        <v>7.8488372093023298</v>
      </c>
      <c r="EK539" s="2">
        <v>7.8488372093023298</v>
      </c>
      <c r="EL539" s="2">
        <v>15.6976744186047</v>
      </c>
      <c r="EM539" s="2">
        <v>13</v>
      </c>
      <c r="EN539" s="2">
        <v>8</v>
      </c>
      <c r="EO539" s="2">
        <v>12</v>
      </c>
      <c r="EP539" s="2" t="s">
        <v>102</v>
      </c>
      <c r="EQ539" s="2" t="s">
        <v>102</v>
      </c>
      <c r="ER539" s="2" t="s">
        <v>102</v>
      </c>
      <c r="ES539" s="2" t="s">
        <v>102</v>
      </c>
      <c r="ET539" s="2" t="str">
        <f>HYPERLINK(".\links\REFSEQ-INVERTEBRATE\AGAP002321-PA-REFSEQ-INVERTEBRATE.txt","AGAP002321-PA")</f>
        <v>AGAP002321-PA</v>
      </c>
      <c r="EU539" s="2" t="str">
        <f>HYPERLINK("http://www.ncbi.nlm.nih.gov/sutils/blink.cgi?pid=XP_001688399.2","0.0")</f>
        <v>0.0</v>
      </c>
      <c r="EV539" s="2" t="str">
        <f>HYPERLINK("http://www.ncbi.nlm.nih.gov/protein/XP_001688399.2","XP_001688399.2")</f>
        <v>XP_001688399.2</v>
      </c>
      <c r="EW539" s="2">
        <v>99</v>
      </c>
      <c r="EX539" s="2">
        <v>99</v>
      </c>
      <c r="EY539" s="2">
        <v>94</v>
      </c>
      <c r="EZ539" s="2" t="s">
        <v>105</v>
      </c>
    </row>
    <row r="540" spans="1:156" x14ac:dyDescent="0.25">
      <c r="A540" s="2" t="s">
        <v>5574</v>
      </c>
      <c r="B540" s="2">
        <v>-0.559191669791541</v>
      </c>
      <c r="C540" s="2">
        <f t="shared" si="8"/>
        <v>0.67868231735599083</v>
      </c>
      <c r="D540" s="2">
        <v>6.8511280564099097</v>
      </c>
      <c r="E540" s="2">
        <v>12.426090331513</v>
      </c>
      <c r="F540" s="2">
        <v>4.2337728751721501E-4</v>
      </c>
      <c r="G540" s="2">
        <v>2.3572786262611101E-2</v>
      </c>
      <c r="H540" s="2" t="s">
        <v>5575</v>
      </c>
      <c r="I540" s="2" t="s">
        <v>94</v>
      </c>
      <c r="J540" s="2" t="str">
        <f>HYPERLINK("https://vectorbase.org/vectorbase/app/record/gene/AGAP012186","AGAP012186-RA")</f>
        <v>AGAP012186-RA</v>
      </c>
      <c r="K540" s="2" t="str">
        <f>HYPERLINK(".\links\pep\AGAP012186-PA-pep.txt","AGAP012186-PA")</f>
        <v>AGAP012186-PA</v>
      </c>
      <c r="L540" s="12" t="s">
        <v>95</v>
      </c>
      <c r="M540" s="2">
        <v>431</v>
      </c>
      <c r="N540" s="2">
        <v>0</v>
      </c>
      <c r="O540" s="2">
        <v>0</v>
      </c>
      <c r="P540" s="2" t="s">
        <v>5576</v>
      </c>
      <c r="Q540" s="9" t="s">
        <v>5577</v>
      </c>
      <c r="R540" s="2" t="s">
        <v>781</v>
      </c>
      <c r="S540" s="2" t="str">
        <f>HYPERLINK(".\links\KOG\AGAP012186-PA-KOG.txt","KOG")</f>
        <v>KOG</v>
      </c>
      <c r="T540" s="2">
        <v>2E-91</v>
      </c>
      <c r="U540" s="2">
        <v>102.3</v>
      </c>
      <c r="V540" s="2" t="s">
        <v>5578</v>
      </c>
      <c r="W540" s="10" t="s">
        <v>5579</v>
      </c>
      <c r="X540" s="2" t="s">
        <v>447</v>
      </c>
      <c r="Y540" s="2" t="str">
        <f>HYPERLINK(".\links\REFSEQVERTEBRATE95\AGAP012186-PA-REFSEQVERTEBRATE95.txt","REFSEQVERTEBRATE95")</f>
        <v>REFSEQVERTEBRATE95</v>
      </c>
      <c r="Z540" s="15">
        <v>4.9999999999999996E-77</v>
      </c>
      <c r="AA540" s="2">
        <v>76.599999999999994</v>
      </c>
      <c r="AB540" s="13" t="s">
        <v>102</v>
      </c>
      <c r="AC540" s="13" t="str">
        <f>HYPERLINK(".\links\Sigp\AGAP012186-PA-SigP.txt","CYT")</f>
        <v>CYT</v>
      </c>
      <c r="AD540" s="2" t="s">
        <v>102</v>
      </c>
      <c r="AE540" s="2">
        <v>47.768999999999998</v>
      </c>
      <c r="AF540" s="2">
        <v>9.41</v>
      </c>
      <c r="AG540" s="2" t="s">
        <v>102</v>
      </c>
      <c r="AH540" s="2" t="s">
        <v>102</v>
      </c>
      <c r="AI540" s="2" t="s">
        <v>5580</v>
      </c>
      <c r="AJ540" s="13">
        <v>0</v>
      </c>
      <c r="AK540" s="2" t="s">
        <v>102</v>
      </c>
      <c r="AL540" s="2" t="s">
        <v>102</v>
      </c>
      <c r="AM540" s="2" t="s">
        <v>102</v>
      </c>
      <c r="AN540" s="13" t="str">
        <f>HYPERLINK(".\links\gpi\AGAP012186-PA-gpi.txt","N")</f>
        <v>N</v>
      </c>
      <c r="AO540" s="14" t="str">
        <f>HYPERLINK(".\links\netoglyc\AGAP012186-PA-netoglyc.txt","4")</f>
        <v>4</v>
      </c>
      <c r="AP540" s="13">
        <v>15.5</v>
      </c>
      <c r="AQ540" s="2">
        <v>6.7</v>
      </c>
      <c r="AR540" s="2">
        <v>4.4000000000000004</v>
      </c>
      <c r="AS540" s="2" t="s">
        <v>104</v>
      </c>
      <c r="AT540" s="9" t="str">
        <f>HYPERLINK(".\links\NR-LIGHT\AGAP012186-PA-NR-LIGHT.txt","AGAP012186-PA")</f>
        <v>AGAP012186-PA</v>
      </c>
      <c r="AU540" s="2" t="str">
        <f>HYPERLINK("http://www.ncbi.nlm.nih.gov/sutils/blink.cgi?pid=XP_320349.4","0.0")</f>
        <v>0.0</v>
      </c>
      <c r="AV540" s="2" t="str">
        <f>HYPERLINK("http://www.ncbi.nlm.nih.gov/protein/XP_320349.4","XP_320349.4")</f>
        <v>XP_320349.4</v>
      </c>
      <c r="AW540" s="2">
        <v>100</v>
      </c>
      <c r="AX540" s="2">
        <v>100</v>
      </c>
      <c r="AY540" s="2">
        <v>100</v>
      </c>
      <c r="AZ540" s="2" t="s">
        <v>105</v>
      </c>
      <c r="BA540" s="9" t="str">
        <f>HYPERLINK(".\links\REFSEQ-INVERTEBRATE\AGAP012186-PA-REFSEQ-INVERTEBRATE.txt","AGAP012186-PA")</f>
        <v>AGAP012186-PA</v>
      </c>
      <c r="BB540" s="2" t="str">
        <f>HYPERLINK("http://www.ncbi.nlm.nih.gov/sutils/blink.cgi?pid=XP_320349.4","0.0")</f>
        <v>0.0</v>
      </c>
      <c r="BC540" s="2" t="str">
        <f>HYPERLINK("http://www.ncbi.nlm.nih.gov/protein/XP_320349.4","XP_320349.4")</f>
        <v>XP_320349.4</v>
      </c>
      <c r="BD540" s="2">
        <v>100</v>
      </c>
      <c r="BE540" s="2">
        <v>100</v>
      </c>
      <c r="BF540" s="2">
        <v>100</v>
      </c>
      <c r="BG540" s="2" t="s">
        <v>105</v>
      </c>
      <c r="BH540" s="9" t="str">
        <f>HYPERLINK(".\links\REFSEQ-PROTOZOA\AGAP012186-PA-REFSEQ-PROTOZOA.txt","lipoate-protein ligase A")</f>
        <v>lipoate-protein ligase A</v>
      </c>
      <c r="BI540" s="2" t="str">
        <f>HYPERLINK("http://www.ncbi.nlm.nih.gov/sutils/blink.cgi?pid=XP_004343803.1","6E-046")</f>
        <v>6E-046</v>
      </c>
      <c r="BJ540" s="2" t="str">
        <f>HYPERLINK("http://www.ncbi.nlm.nih.gov/protein/XP_004343803.1","XP_004343803.1")</f>
        <v>XP_004343803.1</v>
      </c>
      <c r="BK540" s="2">
        <v>37</v>
      </c>
      <c r="BL540" s="2">
        <v>53</v>
      </c>
      <c r="BM540" s="2">
        <v>62</v>
      </c>
      <c r="BN540" s="2" t="s">
        <v>106</v>
      </c>
      <c r="BO540" s="9" t="str">
        <f>HYPERLINK(".\links\SWISSP\AGAP012186-PA-SWISSP.txt","Lipoyltransferase 1, mitochondrial")</f>
        <v>Lipoyltransferase 1, mitochondrial</v>
      </c>
      <c r="BP540" s="2" t="str">
        <f>HYPERLINK("http://www.uniprot.org/uniprot/Q8VCM4","6E-059")</f>
        <v>6E-059</v>
      </c>
      <c r="BQ540" s="2" t="str">
        <f>HYPERLINK("http://www.uniprot.org/uniprot/Q8VCM4#expression","Q8VCM4")</f>
        <v>Q8VCM4</v>
      </c>
      <c r="BR540" s="2">
        <v>43</v>
      </c>
      <c r="BS540" s="2">
        <v>61</v>
      </c>
      <c r="BT540" s="2">
        <v>79</v>
      </c>
      <c r="BU540" s="2" t="s">
        <v>662</v>
      </c>
      <c r="BV540" s="9" t="str">
        <f>HYPERLINK(".\links\FLYBASE\AGAP012186-PA-FLYBASE.txt","FBpp0308232")</f>
        <v>FBpp0308232</v>
      </c>
      <c r="BW540" s="2" t="str">
        <f>HYPERLINK("http://flybase.org/reports/FBgn0265178#alliance_summary_container","1E-171")</f>
        <v>1E-171</v>
      </c>
      <c r="BX540" s="2">
        <v>396</v>
      </c>
      <c r="BY540" s="2">
        <v>64</v>
      </c>
      <c r="BZ540" s="2">
        <v>80</v>
      </c>
      <c r="CA540" s="2">
        <v>87</v>
      </c>
      <c r="CB540" s="9" t="str">
        <f>HYPERLINK(".\links\CDD\AGAP012186-PA-CDD.txt","LplA, lipoate-protein ligase")</f>
        <v>LplA, lipoate-protein ligase</v>
      </c>
      <c r="CC540" s="15">
        <v>9.9999999999999994E-50</v>
      </c>
      <c r="CD540" s="2">
        <v>99</v>
      </c>
      <c r="CE540" s="2" t="s">
        <v>5581</v>
      </c>
      <c r="CF540" s="2" t="s">
        <v>5582</v>
      </c>
      <c r="CG540" s="9" t="str">
        <f>HYPERLINK(".\links\KOG\AGAP012186-PA-KOG.txt","Lipoate-protein ligase A")</f>
        <v>Lipoate-protein ligase A</v>
      </c>
      <c r="CH540" s="15">
        <v>2E-91</v>
      </c>
      <c r="CI540" s="2">
        <v>102.4</v>
      </c>
      <c r="CJ540" s="2" t="s">
        <v>5583</v>
      </c>
      <c r="CK540" s="2" t="s">
        <v>786</v>
      </c>
      <c r="CL540" s="9" t="str">
        <f>HYPERLINK(".\links\PFAM\AGAP012186-PA-PFAM.txt","BPL_LplA_LipB, Biotin/lipoate A/B protein ligase family")</f>
        <v>BPL_LplA_LipB, Biotin/lipoate A/B protein ligase family</v>
      </c>
      <c r="CM540" s="15">
        <v>1.7000000000000001E-2</v>
      </c>
      <c r="CN540" s="2">
        <v>79.099999999999994</v>
      </c>
      <c r="CO540" s="2" t="s">
        <v>5584</v>
      </c>
      <c r="CP540" s="9" t="str">
        <f>HYPERLINK(".\links\SMART\AGAP012186-PA-SMART.txt","Beach, Beige/BEACH domain")</f>
        <v>Beach, Beige/BEACH domain</v>
      </c>
      <c r="CQ540" s="15">
        <v>2.2000000000000002</v>
      </c>
      <c r="CR540" s="2">
        <v>6.1</v>
      </c>
      <c r="CS540" s="2" t="s">
        <v>4072</v>
      </c>
      <c r="CT540" s="2" t="s">
        <v>5578</v>
      </c>
      <c r="CU540" s="2" t="s">
        <v>5578</v>
      </c>
      <c r="CV540" s="2" t="s">
        <v>5578</v>
      </c>
      <c r="CW540" s="2" t="str">
        <f>HYPERLINK(".\links\pep\AGAP012186-PA-pep.txt","AGAP012186-PA")</f>
        <v>AGAP012186-PA</v>
      </c>
      <c r="CX540" s="2" t="s">
        <v>95</v>
      </c>
      <c r="CY540" s="2">
        <v>431</v>
      </c>
      <c r="CZ540" s="2" t="s">
        <v>113</v>
      </c>
      <c r="DA540" s="2" t="s">
        <v>5585</v>
      </c>
      <c r="DB540" s="2">
        <v>0</v>
      </c>
      <c r="DC540" s="2">
        <v>0</v>
      </c>
      <c r="DD540" s="2" t="str">
        <f>HYPERLINK("https://www.kegg.jp/kegg-bin/search_pathway_text?map=aga&amp;keyword=AGAP012186&amp;mode=1&amp;viewImage=true","AGAP012186")</f>
        <v>AGAP012186</v>
      </c>
      <c r="DE540" s="2" t="s">
        <v>5574</v>
      </c>
      <c r="DF540" s="2" t="s">
        <v>5575</v>
      </c>
      <c r="DG540" s="2" t="s">
        <v>94</v>
      </c>
      <c r="DH540" s="2" t="str">
        <f>HYPERLINK("https://vectorbase.org/vectorbase/app/record/gene/AGAP012186","AGAP012186-RA")</f>
        <v>AGAP012186-RA</v>
      </c>
      <c r="DI540" s="2" t="s">
        <v>115</v>
      </c>
      <c r="DJ540" s="2">
        <v>4473</v>
      </c>
      <c r="DK540" s="2" t="str">
        <f>HYPERLINK(".\links\netoglyc\AGAP012186-PA-netoglyc.txt","4")</f>
        <v>4</v>
      </c>
      <c r="DL540" s="2">
        <v>15.5</v>
      </c>
      <c r="DM540" s="2">
        <v>6.7</v>
      </c>
      <c r="DN540" s="2">
        <v>4.4000000000000004</v>
      </c>
      <c r="DO540" s="2" t="s">
        <v>104</v>
      </c>
      <c r="DP540" s="2" t="s">
        <v>102</v>
      </c>
      <c r="DQ540" s="2" t="str">
        <f>HYPERLINK(".\links\Sigp\AGAP012186-PA-SigP.txt","CYT")</f>
        <v>CYT</v>
      </c>
      <c r="DR540" s="2" t="s">
        <v>102</v>
      </c>
      <c r="DS540" s="2">
        <v>47.768999999999998</v>
      </c>
      <c r="DT540" s="2">
        <v>9.41</v>
      </c>
      <c r="DU540" s="2" t="s">
        <v>102</v>
      </c>
      <c r="DV540" s="2" t="s">
        <v>102</v>
      </c>
      <c r="DW540" s="2" t="s">
        <v>5580</v>
      </c>
      <c r="DX540" s="2">
        <v>431</v>
      </c>
      <c r="DY540" s="12">
        <v>0</v>
      </c>
      <c r="DZ540" s="2" t="s">
        <v>102</v>
      </c>
      <c r="EA540" s="2" t="s">
        <v>102</v>
      </c>
      <c r="EB540" s="2" t="s">
        <v>102</v>
      </c>
      <c r="EC540" s="2" t="str">
        <f>HYPERLINK(".\links\gpi\AGAP012186-PA-gpi.txt","N")</f>
        <v>N</v>
      </c>
      <c r="ED540" s="2">
        <v>0.14000000000000001</v>
      </c>
      <c r="EF540" s="2">
        <v>5</v>
      </c>
      <c r="EG540" s="2" t="s">
        <v>102</v>
      </c>
      <c r="EH540" s="2" t="s">
        <v>102</v>
      </c>
      <c r="EI540" s="2">
        <v>15.5452436194896</v>
      </c>
      <c r="EJ540" s="2">
        <v>4.4083526682134604</v>
      </c>
      <c r="EK540" s="2">
        <v>6.7285382830626403</v>
      </c>
      <c r="EL540" s="2">
        <v>11.136890951276101</v>
      </c>
      <c r="EM540" s="2" t="s">
        <v>102</v>
      </c>
      <c r="EN540" s="2">
        <v>1</v>
      </c>
      <c r="EO540" s="2">
        <v>1</v>
      </c>
      <c r="EP540" s="2" t="s">
        <v>102</v>
      </c>
      <c r="EQ540" s="2" t="s">
        <v>102</v>
      </c>
      <c r="ER540" s="2" t="s">
        <v>102</v>
      </c>
      <c r="ES540" s="2" t="s">
        <v>102</v>
      </c>
      <c r="ET540" s="2" t="str">
        <f>HYPERLINK(".\links\REFSEQ-INVERTEBRATE\AGAP012186-PA-REFSEQ-INVERTEBRATE.txt","AGAP012186-PA")</f>
        <v>AGAP012186-PA</v>
      </c>
      <c r="EU540" s="2" t="str">
        <f>HYPERLINK("http://www.ncbi.nlm.nih.gov/sutils/blink.cgi?pid=XP_320349.4","0.0")</f>
        <v>0.0</v>
      </c>
      <c r="EV540" s="2" t="str">
        <f>HYPERLINK("http://www.ncbi.nlm.nih.gov/protein/XP_320349.4","XP_320349.4")</f>
        <v>XP_320349.4</v>
      </c>
      <c r="EW540" s="2">
        <v>100</v>
      </c>
      <c r="EX540" s="2">
        <v>100</v>
      </c>
      <c r="EY540" s="2">
        <v>100</v>
      </c>
      <c r="EZ540" s="2" t="s">
        <v>105</v>
      </c>
    </row>
    <row r="541" spans="1:156" x14ac:dyDescent="0.25">
      <c r="A541" s="2" t="s">
        <v>5586</v>
      </c>
      <c r="B541" s="2">
        <v>-0.56384878866808397</v>
      </c>
      <c r="C541" s="2">
        <f t="shared" si="8"/>
        <v>0.6764950164078356</v>
      </c>
      <c r="D541" s="2">
        <v>5.4550720451835799</v>
      </c>
      <c r="E541" s="2">
        <v>9.3619418404267307</v>
      </c>
      <c r="F541" s="2">
        <v>2.2153731610396999E-3</v>
      </c>
      <c r="G541" s="2">
        <v>4.5136090286305802E-2</v>
      </c>
      <c r="H541" s="2" t="s">
        <v>5587</v>
      </c>
      <c r="I541" s="2" t="s">
        <v>102</v>
      </c>
      <c r="J541" s="2" t="str">
        <f>HYPERLINK("https://vectorbase.org/vectorbase/app/record/gene/AGAP011603","AGAP011603-RA")</f>
        <v>AGAP011603-RA</v>
      </c>
      <c r="K541" s="2" t="str">
        <f>HYPERLINK(".\links\pep\AGAP011603-PA-pep.txt","AGAP011603-PA")</f>
        <v>AGAP011603-PA</v>
      </c>
      <c r="L541" s="12" t="s">
        <v>95</v>
      </c>
      <c r="M541" s="2">
        <v>710</v>
      </c>
      <c r="N541" s="2">
        <v>0</v>
      </c>
      <c r="O541" s="2">
        <v>2</v>
      </c>
      <c r="P541" s="2" t="s">
        <v>5588</v>
      </c>
      <c r="Q541" s="9" t="s">
        <v>5589</v>
      </c>
      <c r="R541" s="2" t="s">
        <v>181</v>
      </c>
      <c r="S541" s="2" t="str">
        <f>HYPERLINK(".\links\CDD\AGAP011603-PA-CDD.txt","CDD")</f>
        <v>CDD</v>
      </c>
      <c r="T541" s="2">
        <v>0</v>
      </c>
      <c r="U541" s="2">
        <v>107.2</v>
      </c>
      <c r="V541" s="2" t="s">
        <v>5590</v>
      </c>
      <c r="W541" s="10" t="s">
        <v>183</v>
      </c>
      <c r="X541" s="2" t="s">
        <v>181</v>
      </c>
      <c r="Y541" s="2" t="str">
        <f>HYPERLINK(".\links\COG\AGAP011603-PA-COG.txt","COG")</f>
        <v>COG</v>
      </c>
      <c r="Z541" s="2">
        <v>0</v>
      </c>
      <c r="AA541" s="2">
        <v>103.4</v>
      </c>
      <c r="AB541" s="13" t="s">
        <v>102</v>
      </c>
      <c r="AC541" s="13" t="str">
        <f>HYPERLINK(".\links\Sigp\AGAP011603-PA-SigP.txt","BL")</f>
        <v>BL</v>
      </c>
      <c r="AD541" s="2" t="s">
        <v>5591</v>
      </c>
      <c r="AE541" s="2">
        <v>78.844999999999999</v>
      </c>
      <c r="AF541" s="2">
        <v>6.5</v>
      </c>
      <c r="AG541" s="2">
        <v>76.978999999999999</v>
      </c>
      <c r="AH541" s="2">
        <v>6.23</v>
      </c>
      <c r="AI541" s="2" t="s">
        <v>5592</v>
      </c>
      <c r="AJ541" s="13">
        <v>0</v>
      </c>
      <c r="AK541" s="2" t="s">
        <v>102</v>
      </c>
      <c r="AL541" s="2" t="s">
        <v>102</v>
      </c>
      <c r="AM541" s="2" t="s">
        <v>102</v>
      </c>
      <c r="AN541" s="13" t="str">
        <f>HYPERLINK(".\links\gpi\AGAP011603-PA-gpi.txt","N")</f>
        <v>N</v>
      </c>
      <c r="AO541" s="14" t="str">
        <f>HYPERLINK(".\links\netoglyc\AGAP011603-PA-netoglyc.txt","0")</f>
        <v>0</v>
      </c>
      <c r="AP541" s="13">
        <v>10.4</v>
      </c>
      <c r="AQ541" s="2">
        <v>7.7</v>
      </c>
      <c r="AR541" s="2">
        <v>5.9</v>
      </c>
      <c r="AS541" s="2" t="s">
        <v>104</v>
      </c>
      <c r="AT541" s="9" t="str">
        <f>HYPERLINK(".\links\NR-LIGHT\AGAP011603-PA-NR-LIGHT.txt","hypothetical protein ZHAS_00017497")</f>
        <v>hypothetical protein ZHAS_00017497</v>
      </c>
      <c r="AU541" s="2" t="str">
        <f>HYPERLINK("http://www.ncbi.nlm.nih.gov/sutils/blink.cgi?pid=KFB49397.1","0.0")</f>
        <v>0.0</v>
      </c>
      <c r="AV541" s="2" t="str">
        <f>HYPERLINK("http://www.ncbi.nlm.nih.gov/protein/KFB49397.1","KFB49397.1")</f>
        <v>KFB49397.1</v>
      </c>
      <c r="AW541" s="2">
        <v>94</v>
      </c>
      <c r="AX541" s="2">
        <v>97</v>
      </c>
      <c r="AY541" s="2">
        <v>99</v>
      </c>
      <c r="AZ541" s="2" t="s">
        <v>1522</v>
      </c>
      <c r="BA541" s="9" t="str">
        <f>HYPERLINK(".\links\REFSEQ-INVERTEBRATE\AGAP011603-PA-REFSEQ-INVERTEBRATE.txt","long-chain-fatty-acid--CoA ligase 1 isoform X1")</f>
        <v>long-chain-fatty-acid--CoA ligase 1 isoform X1</v>
      </c>
      <c r="BB541" s="2" t="str">
        <f>HYPERLINK("http://www.ncbi.nlm.nih.gov/sutils/blink.cgi?pid=XP_021709360.1","0.0")</f>
        <v>0.0</v>
      </c>
      <c r="BC541" s="2" t="str">
        <f>HYPERLINK("http://www.ncbi.nlm.nih.gov/protein/XP_021709360.1","XP_021709360.1")</f>
        <v>XP_021709360.1</v>
      </c>
      <c r="BD541" s="2">
        <v>86</v>
      </c>
      <c r="BE541" s="2">
        <v>93</v>
      </c>
      <c r="BF541" s="2">
        <v>99</v>
      </c>
      <c r="BG541" s="2" t="s">
        <v>391</v>
      </c>
      <c r="BH541" s="9" t="str">
        <f>HYPERLINK(".\links\REFSEQ-PROTOZOA\AGAP011603-PA-REFSEQ-PROTOZOA.txt","acylCoA synthetase, putative")</f>
        <v>acylCoA synthetase, putative</v>
      </c>
      <c r="BI541" s="2" t="str">
        <f>HYPERLINK("http://www.ncbi.nlm.nih.gov/sutils/blink.cgi?pid=XP_004337827.1","1E-155")</f>
        <v>1E-155</v>
      </c>
      <c r="BJ541" s="2" t="str">
        <f>HYPERLINK("http://www.ncbi.nlm.nih.gov/protein/XP_004337827.1","XP_004337827.1")</f>
        <v>XP_004337827.1</v>
      </c>
      <c r="BK541" s="2">
        <v>43</v>
      </c>
      <c r="BL541" s="2">
        <v>62</v>
      </c>
      <c r="BM541" s="2">
        <v>100</v>
      </c>
      <c r="BN541" s="2" t="s">
        <v>600</v>
      </c>
      <c r="BO541" s="9" t="str">
        <f>HYPERLINK(".\links\SWISSP\AGAP011603-PA-SWISSP.txt","Long-chain-fatty-acid--CoA ligase 1")</f>
        <v>Long-chain-fatty-acid--CoA ligase 1</v>
      </c>
      <c r="BP541" s="2" t="str">
        <f>HYPERLINK("http://www.uniprot.org/uniprot/P41216","0.0")</f>
        <v>0.0</v>
      </c>
      <c r="BQ541" s="2" t="str">
        <f>HYPERLINK("http://www.uniprot.org/uniprot/P41216#expression","P41216")</f>
        <v>P41216</v>
      </c>
      <c r="BR541" s="2">
        <v>51</v>
      </c>
      <c r="BS541" s="2">
        <v>69</v>
      </c>
      <c r="BT541" s="2">
        <v>95</v>
      </c>
      <c r="BU541" s="2" t="s">
        <v>662</v>
      </c>
      <c r="BV541" s="9" t="str">
        <f>HYPERLINK(".\links\FLYBASE\AGAP011603-PA-FLYBASE.txt","FBpp0074845")</f>
        <v>FBpp0074845</v>
      </c>
      <c r="BW541" s="2" t="str">
        <f>HYPERLINK("http://flybase.org/reports/FBgn0036821#alliance_summary_container","0.0")</f>
        <v>0.0</v>
      </c>
      <c r="BX541" s="2">
        <v>704</v>
      </c>
      <c r="BY541" s="2">
        <v>70</v>
      </c>
      <c r="BZ541" s="2">
        <v>85</v>
      </c>
      <c r="CA541" s="2">
        <v>98</v>
      </c>
      <c r="CB541" s="9" t="str">
        <f>HYPERLINK(".\links\CDD\AGAP011603-PA-CDD.txt","LC-FACS_euk, Eukaryotic long-chain fatty acid CoA synthetase (LC-FACS)")</f>
        <v>LC-FACS_euk, Eukaryotic long-chain fatty acid CoA synthetase (LC-FACS)</v>
      </c>
      <c r="CC541" s="15">
        <v>0</v>
      </c>
      <c r="CD541" s="2">
        <v>107.2</v>
      </c>
      <c r="CE541" s="2" t="s">
        <v>5593</v>
      </c>
      <c r="CF541" s="2" t="s">
        <v>5594</v>
      </c>
      <c r="CG541" s="9" t="str">
        <f>HYPERLINK(".\links\KOG\AGAP011603-PA-KOG.txt","Long-chain acyl-CoA synthetases (AMP-forming)")</f>
        <v>Long-chain acyl-CoA synthetases (AMP-forming)</v>
      </c>
      <c r="CH541" s="15">
        <v>0</v>
      </c>
      <c r="CI541" s="2">
        <v>97.4</v>
      </c>
      <c r="CJ541" s="2" t="s">
        <v>5595</v>
      </c>
      <c r="CK541" s="2" t="s">
        <v>3802</v>
      </c>
      <c r="CL541" s="9" t="str">
        <f>HYPERLINK(".\links\PFAM\AGAP011603-PA-PFAM.txt","AMP-binding, AMP-binding enzyme")</f>
        <v>AMP-binding, AMP-binding enzyme</v>
      </c>
      <c r="CM541" s="15">
        <v>1E-91</v>
      </c>
      <c r="CN541" s="2">
        <v>108.6</v>
      </c>
      <c r="CO541" s="2" t="s">
        <v>527</v>
      </c>
      <c r="CP541" s="9" t="str">
        <f>HYPERLINK(".\links\SMART\AGAP011603-PA-SMART.txt","POLAc, DNA polymerase A domain")</f>
        <v>POLAc, DNA polymerase A domain</v>
      </c>
      <c r="CQ541" s="15">
        <v>1.8</v>
      </c>
      <c r="CR541" s="2">
        <v>7.2</v>
      </c>
      <c r="CS541" s="2" t="s">
        <v>5596</v>
      </c>
      <c r="CT541" s="2" t="s">
        <v>5590</v>
      </c>
      <c r="CU541" s="2" t="s">
        <v>5590</v>
      </c>
      <c r="CV541" s="2" t="s">
        <v>5590</v>
      </c>
      <c r="CW541" s="2" t="str">
        <f>HYPERLINK(".\links\pep\AGAP011603-PA-pep.txt","AGAP011603-PA")</f>
        <v>AGAP011603-PA</v>
      </c>
      <c r="CX541" s="2" t="s">
        <v>95</v>
      </c>
      <c r="CY541" s="2">
        <v>710</v>
      </c>
      <c r="CZ541" s="2" t="s">
        <v>113</v>
      </c>
      <c r="DA541" s="2">
        <v>0</v>
      </c>
      <c r="DB541" s="2">
        <v>2</v>
      </c>
      <c r="DD541" s="2" t="str">
        <f>HYPERLINK("https://www.kegg.jp/kegg-bin/search_pathway_text?map=aga&amp;keyword=AGAP011603&amp;mode=1&amp;viewImage=true","AGAP011603")</f>
        <v>AGAP011603</v>
      </c>
      <c r="DE541" s="2" t="s">
        <v>5586</v>
      </c>
      <c r="DF541" s="2" t="s">
        <v>5587</v>
      </c>
      <c r="DG541" s="2" t="s">
        <v>102</v>
      </c>
      <c r="DH541" s="2" t="str">
        <f>HYPERLINK("https://vectorbase.org/vectorbase/app/record/gene/AGAP011603","AGAP011603-RA")</f>
        <v>AGAP011603-RA</v>
      </c>
      <c r="DI541" s="2" t="s">
        <v>90</v>
      </c>
      <c r="DJ541" s="2">
        <v>5339</v>
      </c>
      <c r="DK541" s="2" t="str">
        <f>HYPERLINK(".\links\netoglyc\AGAP011603-PA-netoglyc.txt","0")</f>
        <v>0</v>
      </c>
      <c r="DL541" s="2">
        <v>10.4</v>
      </c>
      <c r="DM541" s="2">
        <v>7.7</v>
      </c>
      <c r="DN541" s="2">
        <v>5.9</v>
      </c>
      <c r="DO541" s="2" t="s">
        <v>104</v>
      </c>
      <c r="DP541" s="2" t="s">
        <v>102</v>
      </c>
      <c r="DQ541" s="2" t="str">
        <f>HYPERLINK(".\links\Sigp\AGAP011603-PA-SigP.txt","BL")</f>
        <v>BL</v>
      </c>
      <c r="DR541" s="2" t="s">
        <v>5591</v>
      </c>
      <c r="DS541" s="2">
        <v>78.844999999999999</v>
      </c>
      <c r="DT541" s="2">
        <v>6.5</v>
      </c>
      <c r="DU541" s="2">
        <v>76.978999999999999</v>
      </c>
      <c r="DV541" s="2">
        <v>6.23</v>
      </c>
      <c r="DW541" s="2" t="s">
        <v>5592</v>
      </c>
      <c r="DX541" s="2">
        <v>710</v>
      </c>
      <c r="DY541" s="12">
        <v>0</v>
      </c>
      <c r="DZ541" s="2" t="s">
        <v>102</v>
      </c>
      <c r="EA541" s="2" t="s">
        <v>102</v>
      </c>
      <c r="EB541" s="2" t="s">
        <v>102</v>
      </c>
      <c r="EC541" s="2" t="str">
        <f>HYPERLINK(".\links\gpi\AGAP011603-PA-gpi.txt","Y-NoSP")</f>
        <v>Y-NoSP</v>
      </c>
      <c r="ED541" s="2">
        <v>0.19</v>
      </c>
      <c r="EF541" s="2">
        <v>17</v>
      </c>
      <c r="EG541" s="2" t="s">
        <v>102</v>
      </c>
      <c r="EH541" s="2" t="s">
        <v>102</v>
      </c>
      <c r="EI541" s="2">
        <v>10.422535211267601</v>
      </c>
      <c r="EJ541" s="2">
        <v>5.9154929577464799</v>
      </c>
      <c r="EK541" s="2">
        <v>7.7464788732394396</v>
      </c>
      <c r="EL541" s="2">
        <v>13.6619718309859</v>
      </c>
      <c r="EM541" s="2" t="s">
        <v>102</v>
      </c>
      <c r="EN541" s="2">
        <v>3</v>
      </c>
      <c r="EO541" s="2">
        <v>4</v>
      </c>
      <c r="EP541" s="2" t="s">
        <v>102</v>
      </c>
      <c r="EQ541" s="2" t="s">
        <v>102</v>
      </c>
      <c r="ER541" s="2" t="s">
        <v>102</v>
      </c>
      <c r="ES541" s="2" t="s">
        <v>102</v>
      </c>
      <c r="ET541" s="2" t="str">
        <f>HYPERLINK(".\links\REFSEQ-INVERTEBRATE\AGAP011603-PA-REFSEQ-INVERTEBRATE.txt","long-chain-fatty-acid--CoA ligase 1 isoform X1")</f>
        <v>long-chain-fatty-acid--CoA ligase 1 isoform X1</v>
      </c>
      <c r="EU541" s="2" t="str">
        <f>HYPERLINK("http://www.ncbi.nlm.nih.gov/sutils/blink.cgi?pid=XP_035901836.1","0.0")</f>
        <v>0.0</v>
      </c>
      <c r="EV541" s="2" t="str">
        <f>HYPERLINK("http://www.ncbi.nlm.nih.gov/protein/XP_035901836.1","XP_035901836.1")</f>
        <v>XP_035901836.1</v>
      </c>
      <c r="EW541" s="2">
        <v>97</v>
      </c>
      <c r="EX541" s="2">
        <v>98</v>
      </c>
      <c r="EY541" s="2">
        <v>100</v>
      </c>
      <c r="EZ541" s="2" t="s">
        <v>370</v>
      </c>
    </row>
    <row r="542" spans="1:156" x14ac:dyDescent="0.25">
      <c r="A542" s="2" t="s">
        <v>5597</v>
      </c>
      <c r="B542" s="2">
        <v>-0.56842195886383795</v>
      </c>
      <c r="C542" s="2">
        <f t="shared" si="8"/>
        <v>0.67435400353641928</v>
      </c>
      <c r="D542" s="2">
        <v>5.6277868406591098</v>
      </c>
      <c r="E542" s="2">
        <v>13.5231601553981</v>
      </c>
      <c r="F542" s="2">
        <v>2.3563728805420001E-4</v>
      </c>
      <c r="G542" s="2">
        <v>1.7201522027956599E-2</v>
      </c>
      <c r="H542" s="2" t="s">
        <v>93</v>
      </c>
      <c r="I542" s="2" t="s">
        <v>94</v>
      </c>
      <c r="J542" s="2" t="str">
        <f>HYPERLINK("https://vectorbase.org/vectorbase/app/record/gene/AGAP009041","AGAP009041-RA")</f>
        <v>AGAP009041-RA</v>
      </c>
      <c r="K542" s="2" t="str">
        <f>HYPERLINK(".\links\pep\AGAP009041-PA-pep.txt","AGAP009041-PA")</f>
        <v>AGAP009041-PA</v>
      </c>
      <c r="L542" s="12" t="s">
        <v>95</v>
      </c>
      <c r="M542" s="2">
        <v>2403</v>
      </c>
      <c r="N542" s="2">
        <v>0</v>
      </c>
      <c r="O542" s="2">
        <v>3</v>
      </c>
      <c r="P542" s="2" t="s">
        <v>102</v>
      </c>
      <c r="Q542" s="9" t="s">
        <v>5598</v>
      </c>
      <c r="R542" s="2" t="s">
        <v>196</v>
      </c>
      <c r="S542" s="2" t="str">
        <f>HYPERLINK(".\links\REFSEQ-INVERTEBRATE\AGAP009041-PA-REFSEQ-INVERTEBRATE.txt","REFSEQ-INVERTEBRATE")</f>
        <v>REFSEQ-INVERTEBRATE</v>
      </c>
      <c r="T542" s="2">
        <v>0</v>
      </c>
      <c r="U542" s="2">
        <v>100.9</v>
      </c>
      <c r="V542" s="2" t="s">
        <v>5599</v>
      </c>
      <c r="W542" s="10" t="s">
        <v>5600</v>
      </c>
      <c r="X542" s="2" t="s">
        <v>358</v>
      </c>
      <c r="Y542" s="2" t="str">
        <f>HYPERLINK(".\links\REFSEQ-INVERTEBRATE\AGAP009041-PA-REFSEQ-INVERTEBRATE.txt","REFSEQ-INVERTEBRATE")</f>
        <v>REFSEQ-INVERTEBRATE</v>
      </c>
      <c r="Z542" s="2">
        <v>0</v>
      </c>
      <c r="AA542" s="2">
        <v>105.1</v>
      </c>
      <c r="AB542" s="13" t="str">
        <f>HYPERLINK(".\links\pep\AGAP009041-PA-sulf.txt","5")</f>
        <v>5</v>
      </c>
      <c r="AC542" s="13" t="str">
        <f>HYPERLINK(".\links\Sigp\AGAP009041-PA-SigP.txt","CYT")</f>
        <v>CYT</v>
      </c>
      <c r="AD542" s="2" t="s">
        <v>102</v>
      </c>
      <c r="AE542" s="2">
        <v>265.03800000000001</v>
      </c>
      <c r="AF542" s="2">
        <v>5.47</v>
      </c>
      <c r="AG542" s="2" t="s">
        <v>102</v>
      </c>
      <c r="AH542" s="2" t="s">
        <v>102</v>
      </c>
      <c r="AI542" s="2" t="s">
        <v>124</v>
      </c>
      <c r="AJ542" s="13">
        <v>0</v>
      </c>
      <c r="AK542" s="2" t="s">
        <v>102</v>
      </c>
      <c r="AL542" s="2" t="s">
        <v>102</v>
      </c>
      <c r="AM542" s="2" t="s">
        <v>102</v>
      </c>
      <c r="AN542" s="13" t="str">
        <f>HYPERLINK(".\links\gpi\AGAP009041-PA-gpi.txt","N")</f>
        <v>N</v>
      </c>
      <c r="AO542" s="14" t="str">
        <f>HYPERLINK(".\links\netoglyc\AGAP009041-PA-netoglyc.txt","25")</f>
        <v>25</v>
      </c>
      <c r="AP542" s="13">
        <v>18.8</v>
      </c>
      <c r="AQ542" s="2">
        <v>3.8</v>
      </c>
      <c r="AR542" s="2">
        <v>7.7</v>
      </c>
      <c r="AS542" s="2" t="s">
        <v>104</v>
      </c>
      <c r="AT542" s="9" t="str">
        <f>HYPERLINK(".\links\NR-LIGHT\AGAP009041-PA-NR-LIGHT.txt","hypothetical protein ZHAS_00010852")</f>
        <v>hypothetical protein ZHAS_00010852</v>
      </c>
      <c r="AU542" s="2" t="str">
        <f>HYPERLINK("http://www.ncbi.nlm.nih.gov/sutils/blink.cgi?pid=KFB42977.1","0.0")</f>
        <v>0.0</v>
      </c>
      <c r="AV542" s="2" t="str">
        <f>HYPERLINK("http://www.ncbi.nlm.nih.gov/protein/KFB42977.1","KFB42977.1")</f>
        <v>KFB42977.1</v>
      </c>
      <c r="AW542" s="2">
        <v>51</v>
      </c>
      <c r="AX542" s="2">
        <v>61</v>
      </c>
      <c r="AY542" s="2">
        <v>109</v>
      </c>
      <c r="AZ542" s="2" t="s">
        <v>1522</v>
      </c>
      <c r="BA542" s="9" t="str">
        <f>HYPERLINK(".\links\REFSEQ-INVERTEBRATE\AGAP009041-PA-REFSEQ-INVERTEBRATE.txt","uncharacterized protein LOC109405690")</f>
        <v>uncharacterized protein LOC109405690</v>
      </c>
      <c r="BB542" s="2" t="str">
        <f>HYPERLINK("http://www.ncbi.nlm.nih.gov/sutils/blink.cgi?pid=XP_019534296.1","0.0")</f>
        <v>0.0</v>
      </c>
      <c r="BC542" s="2" t="str">
        <f>HYPERLINK("http://www.ncbi.nlm.nih.gov/protein/XP_019534296.1","XP_019534296.1")</f>
        <v>XP_019534296.1</v>
      </c>
      <c r="BD542" s="2">
        <v>33</v>
      </c>
      <c r="BE542" s="2">
        <v>48</v>
      </c>
      <c r="BF542" s="2">
        <v>101</v>
      </c>
      <c r="BG542" s="2" t="s">
        <v>361</v>
      </c>
      <c r="BH542" s="9" t="str">
        <f>HYPERLINK(".\links\REFSEQ-PROTOZOA\AGAP009041-PA-REFSEQ-PROTOZOA.txt","hypothetical protein PHYSODRAFT_337852, partial")</f>
        <v>hypothetical protein PHYSODRAFT_337852, partial</v>
      </c>
      <c r="BI542" s="2" t="str">
        <f>HYPERLINK("http://www.ncbi.nlm.nih.gov/sutils/blink.cgi?pid=XP_009533834.1","4E-022")</f>
        <v>4E-022</v>
      </c>
      <c r="BJ542" s="2" t="str">
        <f>HYPERLINK("http://www.ncbi.nlm.nih.gov/protein/XP_009533834.1","XP_009533834.1")</f>
        <v>XP_009533834.1</v>
      </c>
      <c r="BK542" s="2">
        <v>17</v>
      </c>
      <c r="BL542" s="2">
        <v>34</v>
      </c>
      <c r="BM542" s="2">
        <v>93</v>
      </c>
      <c r="BN542" s="2" t="s">
        <v>718</v>
      </c>
      <c r="BO542" s="9" t="str">
        <f>HYPERLINK(".\links\SWISSP\AGAP009041-PA-SWISSP.txt","Centrosome-associated protein 350")</f>
        <v>Centrosome-associated protein 350</v>
      </c>
      <c r="BP542" s="2" t="str">
        <f>HYPERLINK("http://www.uniprot.org/uniprot/Q5VT06","2E-024")</f>
        <v>2E-024</v>
      </c>
      <c r="BQ542" s="2" t="str">
        <f>HYPERLINK("http://www.uniprot.org/uniprot/Q5VT06#expression","Q5VT06")</f>
        <v>Q5VT06</v>
      </c>
      <c r="BR542" s="2">
        <v>26</v>
      </c>
      <c r="BS542" s="2">
        <v>46</v>
      </c>
      <c r="BT542" s="2">
        <v>15</v>
      </c>
      <c r="BU542" s="2" t="s">
        <v>127</v>
      </c>
      <c r="BV542" s="9"/>
      <c r="CB542" s="9" t="str">
        <f>HYPERLINK(".\links\CDD\AGAP009041-PA-CDD.txt","Secretin_N_2, Secretin N-terminal domain")</f>
        <v>Secretin_N_2, Secretin N-terminal domain</v>
      </c>
      <c r="CC542" s="15">
        <v>1E-3</v>
      </c>
      <c r="CD542" s="2">
        <v>60.4</v>
      </c>
      <c r="CE542" s="2" t="s">
        <v>5601</v>
      </c>
      <c r="CF542" s="2" t="s">
        <v>5602</v>
      </c>
      <c r="CG542" s="9" t="str">
        <f>HYPERLINK(".\links\KOG\AGAP009041-PA-KOG.txt","MAPK-activating protein DENN")</f>
        <v>MAPK-activating protein DENN</v>
      </c>
      <c r="CH542" s="15">
        <v>1E-4</v>
      </c>
      <c r="CI542" s="2">
        <v>15.5</v>
      </c>
      <c r="CJ542" s="2" t="s">
        <v>5603</v>
      </c>
      <c r="CK542" s="2" t="s">
        <v>173</v>
      </c>
      <c r="CL542" s="9" t="str">
        <f>HYPERLINK(".\links\PFAM\AGAP009041-PA-PFAM.txt","Secretin_N_2, Secretin N-terminal domain")</f>
        <v>Secretin_N_2, Secretin N-terminal domain</v>
      </c>
      <c r="CM542" s="15">
        <v>2.0000000000000001E-4</v>
      </c>
      <c r="CN542" s="2">
        <v>60.4</v>
      </c>
      <c r="CO542" s="2" t="s">
        <v>5601</v>
      </c>
      <c r="CP542" s="9" t="str">
        <f>HYPERLINK(".\links\SMART\AGAP009041-PA-SMART.txt","Spc7, Spc7 kinetochore protein")</f>
        <v>Spc7, Spc7 kinetochore protein</v>
      </c>
      <c r="CQ542" s="15">
        <v>0.76</v>
      </c>
      <c r="CR542" s="2">
        <v>30.8</v>
      </c>
      <c r="CS542" s="2" t="s">
        <v>1061</v>
      </c>
      <c r="CT542" s="2" t="s">
        <v>5599</v>
      </c>
      <c r="CU542" s="2" t="s">
        <v>5599</v>
      </c>
      <c r="CV542" s="2" t="s">
        <v>5599</v>
      </c>
      <c r="CW542" s="2" t="str">
        <f>HYPERLINK(".\links\pep\AGAP009041-PA-pep.txt","AGAP009041-PA")</f>
        <v>AGAP009041-PA</v>
      </c>
      <c r="CX542" s="2" t="s">
        <v>95</v>
      </c>
      <c r="CY542" s="2">
        <v>2411</v>
      </c>
      <c r="CZ542" s="2" t="s">
        <v>113</v>
      </c>
      <c r="DA542" s="2" t="s">
        <v>5604</v>
      </c>
      <c r="DB542" s="2">
        <v>0</v>
      </c>
      <c r="DC542" s="2">
        <v>3</v>
      </c>
      <c r="DD542" s="2" t="str">
        <f>HYPERLINK("https://www.kegg.jp/kegg-bin/search_pathway_text?map=aga&amp;keyword=AGAP009041&amp;mode=1&amp;viewImage=true","AGAP009041")</f>
        <v>AGAP009041</v>
      </c>
      <c r="DE542" s="2" t="s">
        <v>5597</v>
      </c>
      <c r="DF542" s="2" t="s">
        <v>93</v>
      </c>
      <c r="DG542" s="2" t="s">
        <v>94</v>
      </c>
      <c r="DH542" s="2" t="str">
        <f>HYPERLINK("https://vectorbase.org/vectorbase/app/record/gene/AGAP009041","AGAP009041-RA")</f>
        <v>AGAP009041-RA</v>
      </c>
      <c r="DI542" s="2" t="s">
        <v>135</v>
      </c>
      <c r="DJ542" s="2">
        <v>7991</v>
      </c>
      <c r="DK542" s="2" t="str">
        <f>HYPERLINK(".\links\netoglyc\AGAP009041-PA-netoglyc.txt","24")</f>
        <v>24</v>
      </c>
      <c r="DL542" s="2">
        <v>18.8</v>
      </c>
      <c r="DM542" s="2">
        <v>3.8</v>
      </c>
      <c r="DN542" s="2">
        <v>7.7</v>
      </c>
      <c r="DO542" s="2" t="s">
        <v>104</v>
      </c>
      <c r="DP542" s="2" t="s">
        <v>5605</v>
      </c>
      <c r="DQ542" s="2" t="str">
        <f>HYPERLINK(".\links\Sigp\AGAP009041-PA-SigP.txt","CYT")</f>
        <v>CYT</v>
      </c>
      <c r="DR542" s="2" t="s">
        <v>102</v>
      </c>
      <c r="DS542" s="2">
        <v>265.88900000000001</v>
      </c>
      <c r="DT542" s="2">
        <v>5.48</v>
      </c>
      <c r="DU542" s="2" t="s">
        <v>102</v>
      </c>
      <c r="DV542" s="2" t="s">
        <v>102</v>
      </c>
      <c r="DW542" s="2" t="s">
        <v>124</v>
      </c>
      <c r="DX542" s="2">
        <v>2411</v>
      </c>
      <c r="DY542" s="12">
        <v>0</v>
      </c>
      <c r="DZ542" s="2" t="s">
        <v>102</v>
      </c>
      <c r="EA542" s="2" t="s">
        <v>102</v>
      </c>
      <c r="EB542" s="2" t="s">
        <v>102</v>
      </c>
      <c r="EC542" s="2" t="str">
        <f>HYPERLINK(".\links\gpi\AGAP009041-PA-gpi.txt","N")</f>
        <v>N</v>
      </c>
      <c r="ED542" s="2">
        <v>0.25</v>
      </c>
      <c r="EF542" s="2">
        <v>12</v>
      </c>
      <c r="EG542" s="2" t="str">
        <f>HYPERLINK(".\links\pep\AGAP009041-PA-sulf.txt","5")</f>
        <v>5</v>
      </c>
      <c r="EH542" s="2" t="s">
        <v>102</v>
      </c>
      <c r="EI542" s="2">
        <v>18.830360846121899</v>
      </c>
      <c r="EJ542" s="2">
        <v>7.6731646619659903</v>
      </c>
      <c r="EK542" s="2">
        <v>3.8158440481128202</v>
      </c>
      <c r="EL542" s="2">
        <v>11.489008710078799</v>
      </c>
      <c r="EM542" s="2">
        <v>3</v>
      </c>
      <c r="EN542" s="2">
        <v>7</v>
      </c>
      <c r="EO542" s="2">
        <v>7</v>
      </c>
      <c r="EP542" s="2" t="s">
        <v>102</v>
      </c>
      <c r="EQ542" s="2" t="s">
        <v>102</v>
      </c>
      <c r="ER542" s="2" t="s">
        <v>102</v>
      </c>
      <c r="ES542" s="2" t="s">
        <v>102</v>
      </c>
      <c r="ET542" s="2" t="str">
        <f>HYPERLINK(".\links\REFSEQ-INVERTEBRATE\AGAP009041-PA-REFSEQ-INVERTEBRATE.txt","microtubule-associated protein futsch-like")</f>
        <v>microtubule-associated protein futsch-like</v>
      </c>
      <c r="EU542" s="2" t="str">
        <f>HYPERLINK("http://www.ncbi.nlm.nih.gov/sutils/blink.cgi?pid=XP_035917336.1","0.0")</f>
        <v>0.0</v>
      </c>
      <c r="EV542" s="2" t="str">
        <f>HYPERLINK("http://www.ncbi.nlm.nih.gov/protein/XP_035917336.1","XP_035917336.1")</f>
        <v>XP_035917336.1</v>
      </c>
      <c r="EW542" s="2">
        <v>60</v>
      </c>
      <c r="EX542" s="2">
        <v>70</v>
      </c>
      <c r="EY542" s="2">
        <v>105</v>
      </c>
      <c r="EZ542" s="2" t="s">
        <v>370</v>
      </c>
    </row>
    <row r="543" spans="1:156" x14ac:dyDescent="0.25">
      <c r="A543" s="2" t="s">
        <v>5606</v>
      </c>
      <c r="B543" s="2">
        <v>-0.61741365487417399</v>
      </c>
      <c r="C543" s="2">
        <f t="shared" si="8"/>
        <v>0.6518384432961164</v>
      </c>
      <c r="D543" s="2">
        <v>6.5951516006534501</v>
      </c>
      <c r="E543" s="2">
        <v>18.7046774729166</v>
      </c>
      <c r="F543" s="2">
        <v>1.5260767629009199E-5</v>
      </c>
      <c r="G543" s="2">
        <v>5.1290491904634498E-3</v>
      </c>
      <c r="H543" s="2" t="s">
        <v>5607</v>
      </c>
      <c r="I543" s="2" t="s">
        <v>94</v>
      </c>
      <c r="J543" s="2" t="str">
        <f>HYPERLINK("https://vectorbase.org/vectorbase/app/record/gene/AGAP011030","AGAP011030-RA")</f>
        <v>AGAP011030-RA</v>
      </c>
      <c r="K543" s="2" t="str">
        <f>HYPERLINK(".\links\pep\AGAP011030-PA-pep.txt","AGAP011030-PA")</f>
        <v>AGAP011030-PA</v>
      </c>
      <c r="L543" s="12" t="s">
        <v>95</v>
      </c>
      <c r="M543" s="2">
        <v>2309</v>
      </c>
      <c r="N543" s="2">
        <v>0</v>
      </c>
      <c r="O543" s="2">
        <v>3</v>
      </c>
      <c r="P543" s="2" t="s">
        <v>5608</v>
      </c>
      <c r="Q543" s="9" t="s">
        <v>5609</v>
      </c>
      <c r="R543" s="2" t="s">
        <v>355</v>
      </c>
      <c r="S543" s="2" t="str">
        <f>HYPERLINK(".\links\KOG\AGAP011030-PA-KOG.txt","KOG")</f>
        <v>KOG</v>
      </c>
      <c r="T543" s="2">
        <v>0</v>
      </c>
      <c r="U543" s="2">
        <v>41.4</v>
      </c>
      <c r="V543" s="2" t="s">
        <v>5610</v>
      </c>
      <c r="W543" s="10" t="s">
        <v>5611</v>
      </c>
      <c r="X543" s="2" t="s">
        <v>358</v>
      </c>
      <c r="Y543" s="2" t="str">
        <f>HYPERLINK(".\links\REFSEQVERTEBRATE95\AGAP011030-PA-REFSEQVERTEBRATE95.txt","REFSEQVERTEBRATE95")</f>
        <v>REFSEQVERTEBRATE95</v>
      </c>
      <c r="Z543" s="2">
        <v>0</v>
      </c>
      <c r="AA543" s="2">
        <v>52.1</v>
      </c>
      <c r="AB543" s="13" t="str">
        <f>HYPERLINK(".\links\pep\AGAP011030-PA-sulf.txt","4")</f>
        <v>4</v>
      </c>
      <c r="AC543" s="13" t="str">
        <f>HYPERLINK(".\links\Sigp\AGAP011030-PA-SigP.txt","CYT")</f>
        <v>CYT</v>
      </c>
      <c r="AD543" s="2" t="s">
        <v>102</v>
      </c>
      <c r="AE543" s="2">
        <v>242.714</v>
      </c>
      <c r="AF543" s="2">
        <v>9.01</v>
      </c>
      <c r="AG543" s="2" t="s">
        <v>102</v>
      </c>
      <c r="AH543" s="2" t="s">
        <v>102</v>
      </c>
      <c r="AI543" s="2" t="s">
        <v>2212</v>
      </c>
      <c r="AJ543" s="13">
        <v>0</v>
      </c>
      <c r="AK543" s="2" t="s">
        <v>102</v>
      </c>
      <c r="AL543" s="2" t="s">
        <v>102</v>
      </c>
      <c r="AM543" s="2" t="s">
        <v>102</v>
      </c>
      <c r="AN543" s="13" t="str">
        <f>HYPERLINK(".\links\gpi\AGAP011030-PA-gpi.txt","N")</f>
        <v>N</v>
      </c>
      <c r="AO543" s="14" t="str">
        <f>HYPERLINK(".\links\netoglyc\AGAP011030-PA-netoglyc.txt","41")</f>
        <v>41</v>
      </c>
      <c r="AP543" s="13">
        <v>20.8</v>
      </c>
      <c r="AQ543" s="2">
        <v>8.5</v>
      </c>
      <c r="AR543" s="2">
        <v>8.4</v>
      </c>
      <c r="AS543" s="2" t="s">
        <v>104</v>
      </c>
      <c r="AT543" s="9" t="str">
        <f>HYPERLINK(".\links\NR-LIGHT\AGAP011030-PA-NR-LIGHT.txt","hypothetical protein ZHAS_00014763")</f>
        <v>hypothetical protein ZHAS_00014763</v>
      </c>
      <c r="AU543" s="2" t="str">
        <f>HYPERLINK("http://www.ncbi.nlm.nih.gov/sutils/blink.cgi?pid=KFB46761.1","0.0")</f>
        <v>0.0</v>
      </c>
      <c r="AV543" s="2" t="str">
        <f>HYPERLINK("http://www.ncbi.nlm.nih.gov/protein/KFB46761.1","KFB46761.1")</f>
        <v>KFB46761.1</v>
      </c>
      <c r="AW543" s="2">
        <v>72</v>
      </c>
      <c r="AX543" s="2">
        <v>77</v>
      </c>
      <c r="AY543" s="2">
        <v>105</v>
      </c>
      <c r="AZ543" s="2" t="s">
        <v>1522</v>
      </c>
      <c r="BA543" s="9" t="str">
        <f>HYPERLINK(".\links\REFSEQ-INVERTEBRATE\AGAP011030-PA-REFSEQ-INVERTEBRATE.txt","microtubule-associated serine/threonine-protein kinase 1")</f>
        <v>microtubule-associated serine/threonine-protein kinase 1</v>
      </c>
      <c r="BB543" s="2" t="str">
        <f>HYPERLINK("http://www.ncbi.nlm.nih.gov/sutils/blink.cgi?pid=XP_001858196.1","0.0")</f>
        <v>0.0</v>
      </c>
      <c r="BC543" s="2" t="str">
        <f>HYPERLINK("http://www.ncbi.nlm.nih.gov/protein/XP_001858196.1","XP_001858196.1")</f>
        <v>XP_001858196.1</v>
      </c>
      <c r="BD543" s="2">
        <v>63</v>
      </c>
      <c r="BE543" s="2">
        <v>70</v>
      </c>
      <c r="BF543" s="2">
        <v>117</v>
      </c>
      <c r="BG543" s="2" t="s">
        <v>3607</v>
      </c>
      <c r="BH543" s="9" t="str">
        <f>HYPERLINK(".\links\REFSEQ-PROTOZOA\AGAP011030-PA-REFSEQ-PROTOZOA.txt","AGC/MAST/MAST protein kinase")</f>
        <v>AGC/MAST/MAST protein kinase</v>
      </c>
      <c r="BI543" s="2" t="str">
        <f>HYPERLINK("http://www.ncbi.nlm.nih.gov/sutils/blink.cgi?pid=XP_004993793.1","2E-096")</f>
        <v>2E-096</v>
      </c>
      <c r="BJ543" s="2" t="str">
        <f>HYPERLINK("http://www.ncbi.nlm.nih.gov/protein/XP_004993793.1","XP_004993793.1")</f>
        <v>XP_004993793.1</v>
      </c>
      <c r="BK543" s="2">
        <v>45</v>
      </c>
      <c r="BL543" s="2">
        <v>58</v>
      </c>
      <c r="BM543" s="2">
        <v>21</v>
      </c>
      <c r="BN543" s="2" t="s">
        <v>435</v>
      </c>
      <c r="BO543" s="9" t="str">
        <f>HYPERLINK(".\links\SWISSP\AGAP011030-PA-SWISSP.txt","Microtubule-associated serine/threonine-protein kinase 4")</f>
        <v>Microtubule-associated serine/threonine-protein kinase 4</v>
      </c>
      <c r="BP543" s="2" t="str">
        <f>HYPERLINK("http://www.uniprot.org/uniprot/O15021","1E-150")</f>
        <v>1E-150</v>
      </c>
      <c r="BQ543" s="2" t="str">
        <f>HYPERLINK("http://www.uniprot.org/uniprot/O15021#expression","O15021")</f>
        <v>O15021</v>
      </c>
      <c r="BR543" s="2">
        <v>66</v>
      </c>
      <c r="BS543" s="2">
        <v>82</v>
      </c>
      <c r="BT543" s="2">
        <v>15</v>
      </c>
      <c r="BU543" s="2" t="s">
        <v>127</v>
      </c>
      <c r="BV543" s="9" t="str">
        <f>HYPERLINK(".\links\FLYBASE\AGAP011030-PA-FLYBASE.txt","FBpp0304401")</f>
        <v>FBpp0304401</v>
      </c>
      <c r="BW543" s="2" t="str">
        <f>HYPERLINK("http://flybase.org/reports/FBgn0267390#alliance_summary_container","0.0")</f>
        <v>0.0</v>
      </c>
      <c r="BX543" s="2">
        <v>2139</v>
      </c>
      <c r="BY543" s="2">
        <v>71</v>
      </c>
      <c r="BZ543" s="2">
        <v>80</v>
      </c>
      <c r="CA543" s="2">
        <v>31</v>
      </c>
      <c r="CB543" s="9" t="str">
        <f>HYPERLINK(".\links\CDD\AGAP011030-PA-CDD.txt","STKc_MAST, Catalytic domain of the Protein Serine/Threonine Kinase, Microtubule-associated serine/threonine kinase")</f>
        <v>STKc_MAST, Catalytic domain of the Protein Serine/Threonine Kinase, Microtubule-associated serine/threonine kinase</v>
      </c>
      <c r="CC543" s="15">
        <v>0</v>
      </c>
      <c r="CD543" s="2">
        <v>100.4</v>
      </c>
      <c r="CE543" s="2" t="s">
        <v>5612</v>
      </c>
      <c r="CF543" s="2" t="s">
        <v>5613</v>
      </c>
      <c r="CG543" s="9" t="str">
        <f>HYPERLINK(".\links\KOG\AGAP011030-PA-KOG.txt","Microtubule-associated serine/threonine kinase and related proteins")</f>
        <v>Microtubule-associated serine/threonine kinase and related proteins</v>
      </c>
      <c r="CH543" s="15">
        <v>1.0000000000000001E-122</v>
      </c>
      <c r="CI543" s="2">
        <v>41.5</v>
      </c>
      <c r="CJ543" s="2" t="s">
        <v>5614</v>
      </c>
      <c r="CK543" s="2" t="s">
        <v>367</v>
      </c>
      <c r="CL543" s="9" t="str">
        <f>HYPERLINK(".\links\PFAM\AGAP011030-PA-PFAM.txt","DUF1908, Domain of unknown function (DUF1908)")</f>
        <v>DUF1908, Domain of unknown function (DUF1908)</v>
      </c>
      <c r="CM543" s="15">
        <v>9.9999999999999996E-104</v>
      </c>
      <c r="CN543" s="2">
        <v>71.3</v>
      </c>
      <c r="CO543" s="2" t="s">
        <v>5615</v>
      </c>
      <c r="CP543" s="9" t="str">
        <f>HYPERLINK(".\links\SMART\AGAP011030-PA-SMART.txt","S_TKc, Serine/Threonine protein kinases, catalytic domain")</f>
        <v>S_TKc, Serine/Threonine protein kinases, catalytic domain</v>
      </c>
      <c r="CQ543" s="15">
        <v>3.0000000000000002E-91</v>
      </c>
      <c r="CR543" s="2">
        <v>108.3</v>
      </c>
      <c r="CS543" s="2" t="s">
        <v>1575</v>
      </c>
      <c r="CT543" s="2" t="s">
        <v>5610</v>
      </c>
      <c r="CU543" s="2" t="s">
        <v>5610</v>
      </c>
      <c r="CV543" s="2" t="s">
        <v>5610</v>
      </c>
      <c r="CW543" s="2" t="str">
        <f>HYPERLINK(".\links\pep\AGAP011030-PA-pep.txt","AGAP011030-PA")</f>
        <v>AGAP011030-PA</v>
      </c>
      <c r="CX543" s="2" t="s">
        <v>95</v>
      </c>
      <c r="CY543" s="2">
        <v>2309</v>
      </c>
      <c r="CZ543" s="2" t="s">
        <v>113</v>
      </c>
      <c r="DA543" s="2" t="s">
        <v>5616</v>
      </c>
      <c r="DB543" s="2">
        <v>0</v>
      </c>
      <c r="DC543" s="2">
        <v>3</v>
      </c>
      <c r="DD543" s="2" t="str">
        <f>HYPERLINK("https://www.kegg.jp/kegg-bin/search_pathway_text?map=aga&amp;keyword=AGAP011030&amp;mode=1&amp;viewImage=true","AGAP011030")</f>
        <v>AGAP011030</v>
      </c>
      <c r="DE543" s="2" t="s">
        <v>5606</v>
      </c>
      <c r="DF543" s="2" t="s">
        <v>5607</v>
      </c>
      <c r="DG543" s="2" t="s">
        <v>94</v>
      </c>
      <c r="DH543" s="2" t="str">
        <f>HYPERLINK("https://vectorbase.org/vectorbase/app/record/gene/AGAP011030","AGAP011030-RA")</f>
        <v>AGAP011030-RA</v>
      </c>
      <c r="DI543" s="2" t="s">
        <v>90</v>
      </c>
      <c r="DJ543" s="2">
        <v>11937</v>
      </c>
      <c r="DK543" s="2" t="str">
        <f>HYPERLINK(".\links\netoglyc\AGAP011030-PA-netoglyc.txt","41")</f>
        <v>41</v>
      </c>
      <c r="DL543" s="2">
        <v>20.8</v>
      </c>
      <c r="DM543" s="2">
        <v>8.5</v>
      </c>
      <c r="DN543" s="2">
        <v>8.4</v>
      </c>
      <c r="DO543" s="2" t="s">
        <v>104</v>
      </c>
      <c r="DP543" s="2" t="s">
        <v>102</v>
      </c>
      <c r="DQ543" s="2" t="str">
        <f>HYPERLINK(".\links\Sigp\AGAP011030-PA-SigP.txt","CYT")</f>
        <v>CYT</v>
      </c>
      <c r="DR543" s="2" t="s">
        <v>102</v>
      </c>
      <c r="DS543" s="2">
        <v>242.714</v>
      </c>
      <c r="DT543" s="2">
        <v>9.01</v>
      </c>
      <c r="DU543" s="2" t="s">
        <v>102</v>
      </c>
      <c r="DV543" s="2" t="s">
        <v>102</v>
      </c>
      <c r="DW543" s="2" t="s">
        <v>2212</v>
      </c>
      <c r="DX543" s="2">
        <v>2309</v>
      </c>
      <c r="DY543" s="12">
        <v>0</v>
      </c>
      <c r="DZ543" s="2" t="s">
        <v>102</v>
      </c>
      <c r="EA543" s="2" t="s">
        <v>102</v>
      </c>
      <c r="EB543" s="2" t="s">
        <v>102</v>
      </c>
      <c r="EC543" s="2" t="str">
        <f>HYPERLINK(".\links\gpi\AGAP011030-PA-gpi.txt","Y-NoSP")</f>
        <v>Y-NoSP</v>
      </c>
      <c r="ED543" s="2">
        <v>0.28000000000000003</v>
      </c>
      <c r="EF543" s="2">
        <v>27</v>
      </c>
      <c r="EG543" s="2" t="str">
        <f>HYPERLINK(".\links\pep\AGAP011030-PA-sulf.txt","4")</f>
        <v>4</v>
      </c>
      <c r="EH543" s="2" t="s">
        <v>102</v>
      </c>
      <c r="EI543" s="2">
        <v>20.831528800346501</v>
      </c>
      <c r="EJ543" s="2">
        <v>8.3585967951494204</v>
      </c>
      <c r="EK543" s="2">
        <v>8.4885231702035497</v>
      </c>
      <c r="EL543" s="2">
        <v>16.847119965352999</v>
      </c>
      <c r="EM543" s="2">
        <v>2</v>
      </c>
      <c r="EN543" s="2">
        <v>2</v>
      </c>
      <c r="EO543" s="2">
        <v>2</v>
      </c>
      <c r="EP543" s="2" t="s">
        <v>102</v>
      </c>
      <c r="EQ543" s="2" t="s">
        <v>102</v>
      </c>
      <c r="ER543" s="2" t="s">
        <v>102</v>
      </c>
      <c r="ES543" s="2" t="s">
        <v>102</v>
      </c>
      <c r="ET543" s="2" t="str">
        <f>HYPERLINK(".\links\REFSEQ-INVERTEBRATE\AGAP011030-PA-REFSEQ-INVERTEBRATE.txt","microtubule-associated serine/threonine-protein kinase 1 isoform X1")</f>
        <v>microtubule-associated serine/threonine-protein kinase 1 isoform X1</v>
      </c>
      <c r="EU543" s="2" t="str">
        <f>HYPERLINK("http://www.ncbi.nlm.nih.gov/sutils/blink.cgi?pid=XP_035893385.1","0.0")</f>
        <v>0.0</v>
      </c>
      <c r="EV543" s="2" t="str">
        <f>HYPERLINK("http://www.ncbi.nlm.nih.gov/protein/XP_035893385.1","XP_035893385.1")</f>
        <v>XP_035893385.1</v>
      </c>
      <c r="EW543" s="2">
        <v>81</v>
      </c>
      <c r="EX543" s="2">
        <v>84</v>
      </c>
      <c r="EY543" s="2">
        <v>79</v>
      </c>
      <c r="EZ543" s="2" t="s">
        <v>370</v>
      </c>
    </row>
    <row r="544" spans="1:156" x14ac:dyDescent="0.25">
      <c r="A544" s="2" t="s">
        <v>5617</v>
      </c>
      <c r="B544" s="2">
        <v>-0.63013990882739002</v>
      </c>
      <c r="C544" s="2">
        <f t="shared" si="8"/>
        <v>0.64611375384249892</v>
      </c>
      <c r="D544" s="2">
        <v>4.7863956480560601</v>
      </c>
      <c r="E544" s="2">
        <v>9.2274544945679402</v>
      </c>
      <c r="F544" s="2">
        <v>2.3841287042397799E-3</v>
      </c>
      <c r="G544" s="2">
        <v>4.63542925914135E-2</v>
      </c>
      <c r="H544" s="2" t="s">
        <v>549</v>
      </c>
      <c r="I544" s="2" t="s">
        <v>88</v>
      </c>
      <c r="J544" s="8" t="s">
        <v>5618</v>
      </c>
      <c r="Q544" s="9"/>
      <c r="W544" s="10"/>
      <c r="AB544" s="9"/>
      <c r="AC544" s="9"/>
      <c r="AJ544" s="9"/>
      <c r="AN544" s="9"/>
      <c r="AO544" s="11"/>
      <c r="AP544" s="9"/>
      <c r="AT544" s="9"/>
      <c r="BA544" s="9"/>
      <c r="BH544" s="9"/>
      <c r="BO544" s="9"/>
      <c r="BV544" s="9"/>
      <c r="CB544" s="9"/>
      <c r="CG544" s="9"/>
      <c r="CL544" s="9"/>
      <c r="CP544" s="9"/>
      <c r="DE544" s="2" t="s">
        <v>5617</v>
      </c>
      <c r="DF544" s="2" t="s">
        <v>549</v>
      </c>
      <c r="DG544" s="2" t="s">
        <v>88</v>
      </c>
      <c r="DH544" s="8" t="s">
        <v>5618</v>
      </c>
      <c r="DI544" s="2" t="s">
        <v>135</v>
      </c>
      <c r="DJ544" s="2">
        <v>5080</v>
      </c>
      <c r="DQ544" s="2" t="s">
        <v>141</v>
      </c>
      <c r="DS544" s="2">
        <v>148413</v>
      </c>
      <c r="DT544" s="2">
        <v>7.19</v>
      </c>
      <c r="DX544" s="2">
        <v>1369</v>
      </c>
      <c r="DY544" s="12"/>
    </row>
    <row r="545" spans="1:156" x14ac:dyDescent="0.25">
      <c r="A545" s="2" t="s">
        <v>5619</v>
      </c>
      <c r="B545" s="2">
        <v>-0.63371910142221999</v>
      </c>
      <c r="C545" s="2">
        <f t="shared" si="8"/>
        <v>0.644512792282249</v>
      </c>
      <c r="D545" s="2">
        <v>4.8655669968935698</v>
      </c>
      <c r="E545" s="2">
        <v>20.3394436999071</v>
      </c>
      <c r="F545" s="2">
        <v>6.4849864690817197E-6</v>
      </c>
      <c r="G545" s="2">
        <v>3.0433115072762101E-3</v>
      </c>
      <c r="H545" s="2" t="s">
        <v>5620</v>
      </c>
      <c r="I545" s="2" t="s">
        <v>88</v>
      </c>
      <c r="J545" s="8" t="s">
        <v>5621</v>
      </c>
      <c r="Q545" s="9"/>
      <c r="W545" s="10"/>
      <c r="AB545" s="9"/>
      <c r="AC545" s="9"/>
      <c r="AJ545" s="9"/>
      <c r="AN545" s="9"/>
      <c r="AO545" s="11"/>
      <c r="AP545" s="9"/>
      <c r="AT545" s="9"/>
      <c r="BA545" s="9"/>
      <c r="BH545" s="9"/>
      <c r="BO545" s="9"/>
      <c r="BV545" s="9"/>
      <c r="CB545" s="9"/>
      <c r="CG545" s="9"/>
      <c r="CL545" s="9"/>
      <c r="CP545" s="9"/>
      <c r="DE545" s="2" t="s">
        <v>5619</v>
      </c>
      <c r="DF545" s="2" t="s">
        <v>5620</v>
      </c>
      <c r="DG545" s="2" t="s">
        <v>88</v>
      </c>
      <c r="DH545" s="8" t="s">
        <v>5621</v>
      </c>
      <c r="DI545" s="2" t="s">
        <v>118</v>
      </c>
      <c r="DJ545" s="2">
        <v>3486</v>
      </c>
      <c r="DQ545" s="2" t="s">
        <v>141</v>
      </c>
      <c r="DS545" s="2">
        <v>80665</v>
      </c>
      <c r="DT545" s="2">
        <v>8.15</v>
      </c>
      <c r="DX545" s="2">
        <v>735</v>
      </c>
      <c r="DY545" s="12"/>
    </row>
    <row r="546" spans="1:156" x14ac:dyDescent="0.25">
      <c r="A546" s="2" t="s">
        <v>5622</v>
      </c>
      <c r="B546" s="2">
        <v>-0.66740482966249903</v>
      </c>
      <c r="C546" s="2">
        <f t="shared" si="8"/>
        <v>0.62963828456255333</v>
      </c>
      <c r="D546" s="2">
        <v>6.7762945620682702</v>
      </c>
      <c r="E546" s="2">
        <v>10.1810240202588</v>
      </c>
      <c r="F546" s="2">
        <v>1.41893356307411E-3</v>
      </c>
      <c r="G546" s="2">
        <v>3.7152645524746501E-2</v>
      </c>
      <c r="H546" s="2" t="s">
        <v>549</v>
      </c>
      <c r="I546" s="2" t="s">
        <v>88</v>
      </c>
      <c r="J546" s="8" t="s">
        <v>5623</v>
      </c>
      <c r="Q546" s="9"/>
      <c r="W546" s="10"/>
      <c r="AB546" s="9"/>
      <c r="AC546" s="9"/>
      <c r="AJ546" s="9"/>
      <c r="AN546" s="9"/>
      <c r="AO546" s="11"/>
      <c r="AP546" s="9"/>
      <c r="AT546" s="9"/>
      <c r="BA546" s="9"/>
      <c r="BH546" s="9"/>
      <c r="BO546" s="9"/>
      <c r="BV546" s="9"/>
      <c r="CB546" s="9"/>
      <c r="CG546" s="9"/>
      <c r="CL546" s="9"/>
      <c r="CP546" s="9"/>
      <c r="DE546" s="2" t="s">
        <v>5622</v>
      </c>
      <c r="DF546" s="2" t="s">
        <v>549</v>
      </c>
      <c r="DG546" s="2" t="s">
        <v>88</v>
      </c>
      <c r="DH546" s="8" t="s">
        <v>5623</v>
      </c>
      <c r="DI546" s="2" t="s">
        <v>118</v>
      </c>
      <c r="DJ546" s="2">
        <v>15996</v>
      </c>
      <c r="DQ546" s="2" t="s">
        <v>141</v>
      </c>
      <c r="DS546" s="2">
        <v>78477</v>
      </c>
      <c r="DT546" s="2">
        <v>6.43</v>
      </c>
      <c r="DX546" s="2">
        <v>720</v>
      </c>
      <c r="DY546" s="12"/>
    </row>
    <row r="547" spans="1:156" x14ac:dyDescent="0.25">
      <c r="A547" s="2" t="s">
        <v>5624</v>
      </c>
      <c r="B547" s="2">
        <v>-0.67413501446270196</v>
      </c>
      <c r="C547" s="2">
        <f t="shared" si="8"/>
        <v>0.62670785708739174</v>
      </c>
      <c r="D547" s="2">
        <v>6.4856612127422899</v>
      </c>
      <c r="E547" s="2">
        <v>13.2655876990128</v>
      </c>
      <c r="F547" s="2">
        <v>2.7032269916421202E-4</v>
      </c>
      <c r="G547" s="2">
        <v>1.86084079363509E-2</v>
      </c>
      <c r="H547" s="2" t="s">
        <v>5625</v>
      </c>
      <c r="I547" s="2" t="s">
        <v>102</v>
      </c>
      <c r="J547" s="2" t="str">
        <f>HYPERLINK("https://vectorbase.org/vectorbase/app/record/gene/AGAP011347","AGAP011347-RA")</f>
        <v>AGAP011347-RA</v>
      </c>
      <c r="K547" s="2" t="str">
        <f>HYPERLINK(".\links\pep\AGAP011347-PA-pep.txt","AGAP011347-PA")</f>
        <v>AGAP011347-PA</v>
      </c>
      <c r="L547" s="12" t="s">
        <v>95</v>
      </c>
      <c r="M547" s="2">
        <v>653</v>
      </c>
      <c r="N547" s="2">
        <v>0</v>
      </c>
      <c r="O547" s="2">
        <v>6</v>
      </c>
      <c r="P547" s="2" t="s">
        <v>5626</v>
      </c>
      <c r="Q547" s="9" t="s">
        <v>5627</v>
      </c>
      <c r="R547" s="2" t="s">
        <v>318</v>
      </c>
      <c r="S547" s="2" t="str">
        <f>HYPERLINK(".\links\REFSEQ-INVERTEBRATE\AGAP011347-PA-REFSEQ-INVERTEBRATE.txt","REFSEQ-INVERTEBRATE")</f>
        <v>REFSEQ-INVERTEBRATE</v>
      </c>
      <c r="T547" s="2">
        <v>0</v>
      </c>
      <c r="U547" s="2">
        <v>99.4</v>
      </c>
      <c r="V547" s="2" t="s">
        <v>5628</v>
      </c>
      <c r="W547" s="10" t="s">
        <v>5629</v>
      </c>
      <c r="X547" s="2" t="s">
        <v>318</v>
      </c>
      <c r="Y547" s="2" t="str">
        <f>HYPERLINK(".\links\REFSEQVERTEBRATE95\AGAP011347-PA-REFSEQVERTEBRATE95.txt","REFSEQVERTEBRATE95")</f>
        <v>REFSEQVERTEBRATE95</v>
      </c>
      <c r="Z547" s="15">
        <v>0</v>
      </c>
      <c r="AA547" s="2">
        <v>102.3</v>
      </c>
      <c r="AB547" s="13" t="str">
        <f>HYPERLINK(".\links\pep\AGAP011347-PA-sulf.txt","2")</f>
        <v>2</v>
      </c>
      <c r="AC547" s="13" t="str">
        <f>HYPERLINK(".\links\Sigp\AGAP011347-PA-SigP.txt","SIG")</f>
        <v>SIG</v>
      </c>
      <c r="AD547" s="2" t="s">
        <v>1644</v>
      </c>
      <c r="AE547" s="2">
        <v>72.92</v>
      </c>
      <c r="AF547" s="2">
        <v>6.23</v>
      </c>
      <c r="AG547" s="2">
        <v>70.432000000000002</v>
      </c>
      <c r="AH547" s="2">
        <v>6.13</v>
      </c>
      <c r="AI547" s="2" t="s">
        <v>5630</v>
      </c>
      <c r="AJ547" s="13" t="str">
        <f>HYPERLINK(".\links\tmhmm\AGAP011347-PA-tmhmm.txt","1")</f>
        <v>1</v>
      </c>
      <c r="AK547" s="2">
        <v>3.4</v>
      </c>
      <c r="AL547" s="2">
        <v>88.4</v>
      </c>
      <c r="AM547" s="2">
        <v>8.3000000000000007</v>
      </c>
      <c r="AN547" s="13" t="str">
        <f>HYPERLINK(".\links\gpi\AGAP011347-PA-gpi.txt","N")</f>
        <v>N</v>
      </c>
      <c r="AO547" s="14" t="str">
        <f>HYPERLINK(".\links\netoglyc\AGAP011347-PA-netoglyc.txt","1")</f>
        <v>1</v>
      </c>
      <c r="AP547" s="13">
        <v>12.4</v>
      </c>
      <c r="AQ547" s="2">
        <v>7.7</v>
      </c>
      <c r="AR547" s="2">
        <v>6.1</v>
      </c>
      <c r="AS547" s="2" t="s">
        <v>104</v>
      </c>
      <c r="AT547" s="9" t="str">
        <f>HYPERLINK(".\links\NR-LIGHT\AGAP011347-PA-NR-LIGHT.txt","AGAP011347-PA, partial")</f>
        <v>AGAP011347-PA, partial</v>
      </c>
      <c r="AU547" s="2" t="str">
        <f>HYPERLINK("http://www.ncbi.nlm.nih.gov/sutils/blink.cgi?pid=XP_564139.3","0.0")</f>
        <v>0.0</v>
      </c>
      <c r="AV547" s="2" t="str">
        <f>HYPERLINK("http://www.ncbi.nlm.nih.gov/protein/XP_564139.3","XP_564139.3")</f>
        <v>XP_564139.3</v>
      </c>
      <c r="AW547" s="2">
        <v>100</v>
      </c>
      <c r="AX547" s="2">
        <v>100</v>
      </c>
      <c r="AY547" s="2">
        <v>100</v>
      </c>
      <c r="AZ547" s="2" t="s">
        <v>105</v>
      </c>
      <c r="BA547" s="9" t="str">
        <f>HYPERLINK(".\links\REFSEQ-INVERTEBRATE\AGAP011347-PA-REFSEQ-INVERTEBRATE.txt","AGAP011347-PA, partial")</f>
        <v>AGAP011347-PA, partial</v>
      </c>
      <c r="BB547" s="2" t="str">
        <f>HYPERLINK("http://www.ncbi.nlm.nih.gov/sutils/blink.cgi?pid=XP_564139.3","0.0")</f>
        <v>0.0</v>
      </c>
      <c r="BC547" s="2" t="str">
        <f>HYPERLINK("http://www.ncbi.nlm.nih.gov/protein/XP_564139.3","XP_564139.3")</f>
        <v>XP_564139.3</v>
      </c>
      <c r="BD547" s="2">
        <v>100</v>
      </c>
      <c r="BE547" s="2">
        <v>100</v>
      </c>
      <c r="BF547" s="2">
        <v>100</v>
      </c>
      <c r="BG547" s="2" t="s">
        <v>105</v>
      </c>
      <c r="BH547" s="9" t="str">
        <f>HYPERLINK(".\links\REFSEQ-PROTOZOA\AGAP011347-PA-REFSEQ-PROTOZOA.txt","putative arylsulfatase")</f>
        <v>putative arylsulfatase</v>
      </c>
      <c r="BI547" s="2" t="str">
        <f>HYPERLINK("http://www.ncbi.nlm.nih.gov/sutils/blink.cgi?pid=XP_009034961.1","2E-065")</f>
        <v>2E-065</v>
      </c>
      <c r="BJ547" s="2" t="str">
        <f>HYPERLINK("http://www.ncbi.nlm.nih.gov/protein/XP_009034961.1","XP_009034961.1")</f>
        <v>XP_009034961.1</v>
      </c>
      <c r="BK547" s="2">
        <v>33</v>
      </c>
      <c r="BL547" s="2">
        <v>51</v>
      </c>
      <c r="BM547" s="2">
        <v>80</v>
      </c>
      <c r="BN547" s="2" t="s">
        <v>230</v>
      </c>
      <c r="BO547" s="9" t="str">
        <f>HYPERLINK(".\links\SWISSP\AGAP011347-PA-SWISSP.txt","Arylsulfatase B")</f>
        <v>Arylsulfatase B</v>
      </c>
      <c r="BP547" s="2" t="str">
        <f>HYPERLINK("http://www.uniprot.org/uniprot/P50429","3E-091")</f>
        <v>3E-091</v>
      </c>
      <c r="BQ547" s="2" t="str">
        <f>HYPERLINK("http://www.uniprot.org/uniprot/P50429#expression","P50429")</f>
        <v>P50429</v>
      </c>
      <c r="BR547" s="2">
        <v>36</v>
      </c>
      <c r="BS547" s="2">
        <v>54</v>
      </c>
      <c r="BT547" s="2">
        <v>104</v>
      </c>
      <c r="BU547" s="2" t="s">
        <v>662</v>
      </c>
      <c r="BV547" s="9" t="str">
        <f>HYPERLINK(".\links\FLYBASE\AGAP011347-PA-FLYBASE.txt","FBpp0074909")</f>
        <v>FBpp0074909</v>
      </c>
      <c r="BW547" s="2" t="str">
        <f>HYPERLINK("http://flybase.org/reports/FBgn0036768#alliance_summary_container","1E-174")</f>
        <v>1E-174</v>
      </c>
      <c r="BX547" s="2">
        <v>579</v>
      </c>
      <c r="BY547" s="2">
        <v>47</v>
      </c>
      <c r="BZ547" s="2">
        <v>63</v>
      </c>
      <c r="CA547" s="2">
        <v>96</v>
      </c>
      <c r="CB547" s="9" t="str">
        <f>HYPERLINK(".\links\CDD\AGAP011347-PA-CDD.txt","4-S, N-acetylgalactosamine 4-sulfatase, also called arylsulftase B")</f>
        <v>4-S, N-acetylgalactosamine 4-sulfatase, also called arylsulftase B</v>
      </c>
      <c r="CC547" s="15">
        <v>1.0000000000000001E-152</v>
      </c>
      <c r="CD547" s="2">
        <v>99.7</v>
      </c>
      <c r="CE547" s="2" t="s">
        <v>5631</v>
      </c>
      <c r="CF547" s="2" t="s">
        <v>5632</v>
      </c>
      <c r="CG547" s="9" t="str">
        <f>HYPERLINK(".\links\KOG\AGAP011347-PA-KOG.txt","Sulfatase")</f>
        <v>Sulfatase</v>
      </c>
      <c r="CH547" s="15">
        <v>1.0000000000000001E-110</v>
      </c>
      <c r="CI547" s="2">
        <v>105.9</v>
      </c>
      <c r="CJ547" s="2" t="s">
        <v>5633</v>
      </c>
      <c r="CK547" s="2" t="s">
        <v>191</v>
      </c>
      <c r="CL547" s="9" t="str">
        <f>HYPERLINK(".\links\PFAM\AGAP011347-PA-PFAM.txt","Sulfatase, Sulfatase")</f>
        <v>Sulfatase, Sulfatase</v>
      </c>
      <c r="CM547" s="15">
        <v>1.9999999999999999E-49</v>
      </c>
      <c r="CN547" s="2">
        <v>110.4</v>
      </c>
      <c r="CO547" s="2" t="s">
        <v>5634</v>
      </c>
      <c r="CP547" s="9" t="str">
        <f>HYPERLINK(".\links\SMART\AGAP011347-PA-SMART.txt","alkPPc, Alkaline phosphatase homologues")</f>
        <v>alkPPc, Alkaline phosphatase homologues</v>
      </c>
      <c r="CQ547" s="15">
        <v>1</v>
      </c>
      <c r="CR547" s="2">
        <v>31.5</v>
      </c>
      <c r="CS547" s="2" t="s">
        <v>799</v>
      </c>
      <c r="CT547" s="2" t="s">
        <v>5628</v>
      </c>
      <c r="CU547" s="2" t="s">
        <v>5628</v>
      </c>
      <c r="CV547" s="2" t="s">
        <v>5628</v>
      </c>
      <c r="CW547" s="2" t="str">
        <f>HYPERLINK(".\links\pep\AGAP011347-PA-pep.txt","AGAP011347-PA")</f>
        <v>AGAP011347-PA</v>
      </c>
      <c r="CX547" s="2" t="s">
        <v>95</v>
      </c>
      <c r="CY547" s="2">
        <v>653</v>
      </c>
      <c r="CZ547" s="2" t="s">
        <v>113</v>
      </c>
      <c r="DA547" s="2">
        <v>0</v>
      </c>
      <c r="DB547" s="2">
        <v>6</v>
      </c>
      <c r="DD547" s="2" t="str">
        <f>HYPERLINK("https://www.kegg.jp/kegg-bin/search_pathway_text?map=aga&amp;keyword=AGAP011347&amp;mode=1&amp;viewImage=true","AGAP011347")</f>
        <v>AGAP011347</v>
      </c>
      <c r="DE547" s="2" t="s">
        <v>5624</v>
      </c>
      <c r="DF547" s="2" t="s">
        <v>5625</v>
      </c>
      <c r="DG547" s="2" t="s">
        <v>102</v>
      </c>
      <c r="DH547" s="2" t="str">
        <f>HYPERLINK("https://vectorbase.org/vectorbase/app/record/gene/AGAP011347","AGAP011347-RA")</f>
        <v>AGAP011347-RA</v>
      </c>
      <c r="DI547" s="2" t="s">
        <v>90</v>
      </c>
      <c r="DJ547" s="2">
        <v>3542</v>
      </c>
      <c r="DK547" s="2" t="str">
        <f>HYPERLINK(".\links\netoglyc\AGAP011347-PA-netoglyc.txt","1")</f>
        <v>1</v>
      </c>
      <c r="DL547" s="2">
        <v>12.4</v>
      </c>
      <c r="DM547" s="2">
        <v>7.7</v>
      </c>
      <c r="DN547" s="2">
        <v>6.1</v>
      </c>
      <c r="DO547" s="2" t="s">
        <v>104</v>
      </c>
      <c r="DP547" s="2" t="s">
        <v>102</v>
      </c>
      <c r="DQ547" s="2" t="str">
        <f>HYPERLINK(".\links\Sigp\AGAP011347-PA-SigP.txt","SIG")</f>
        <v>SIG</v>
      </c>
      <c r="DR547" s="2" t="s">
        <v>1644</v>
      </c>
      <c r="DS547" s="2">
        <v>72.92</v>
      </c>
      <c r="DT547" s="2">
        <v>6.23</v>
      </c>
      <c r="DU547" s="2">
        <v>70.432000000000002</v>
      </c>
      <c r="DV547" s="2">
        <v>6.13</v>
      </c>
      <c r="DW547" s="2" t="s">
        <v>5630</v>
      </c>
      <c r="DX547" s="2">
        <v>653</v>
      </c>
      <c r="DY547" s="12" t="str">
        <f>HYPERLINK(".\links\tmhmm\AGAP011347-PA-tmhmm.txt","1")</f>
        <v>1</v>
      </c>
      <c r="DZ547" s="2">
        <v>3.4</v>
      </c>
      <c r="EA547" s="2">
        <v>88.4</v>
      </c>
      <c r="EB547" s="2">
        <v>8.3000000000000007</v>
      </c>
      <c r="EC547" s="2" t="str">
        <f>HYPERLINK(".\links\gpi\AGAP011347-PA-gpi.txt","Y-NoSP")</f>
        <v>Y-NoSP</v>
      </c>
      <c r="ED547" s="2">
        <v>0.26</v>
      </c>
      <c r="EF547" s="2">
        <v>7</v>
      </c>
      <c r="EG547" s="2" t="str">
        <f>HYPERLINK(".\links\pep\AGAP011347-PA-sulf.txt","2")</f>
        <v>2</v>
      </c>
      <c r="EH547" s="2" t="s">
        <v>102</v>
      </c>
      <c r="EI547" s="2">
        <v>12.4042879019908</v>
      </c>
      <c r="EJ547" s="2">
        <v>6.12557427258806</v>
      </c>
      <c r="EK547" s="2">
        <v>7.6569678407350699</v>
      </c>
      <c r="EL547" s="2">
        <v>13.7825421133231</v>
      </c>
      <c r="EM547" s="2" t="s">
        <v>102</v>
      </c>
      <c r="EN547" s="2" t="s">
        <v>102</v>
      </c>
      <c r="EO547" s="2" t="s">
        <v>102</v>
      </c>
      <c r="EP547" s="2" t="s">
        <v>102</v>
      </c>
      <c r="EQ547" s="2" t="s">
        <v>102</v>
      </c>
      <c r="ER547" s="2" t="s">
        <v>102</v>
      </c>
      <c r="ES547" s="2" t="s">
        <v>102</v>
      </c>
      <c r="ET547" s="2" t="str">
        <f>HYPERLINK(".\links\REFSEQ-INVERTEBRATE\AGAP011347-PA-REFSEQ-INVERTEBRATE.txt","AGAP011347-PA, partial")</f>
        <v>AGAP011347-PA, partial</v>
      </c>
      <c r="EU547" s="2" t="str">
        <f>HYPERLINK("http://www.ncbi.nlm.nih.gov/sutils/blink.cgi?pid=XP_564139.3","0.0")</f>
        <v>0.0</v>
      </c>
      <c r="EV547" s="2" t="str">
        <f>HYPERLINK("http://www.ncbi.nlm.nih.gov/protein/XP_564139.3","XP_564139.3")</f>
        <v>XP_564139.3</v>
      </c>
      <c r="EW547" s="2">
        <v>100</v>
      </c>
      <c r="EX547" s="2">
        <v>100</v>
      </c>
      <c r="EY547" s="2">
        <v>100</v>
      </c>
      <c r="EZ547" s="2" t="s">
        <v>105</v>
      </c>
    </row>
    <row r="548" spans="1:156" x14ac:dyDescent="0.25">
      <c r="A548" s="2" t="s">
        <v>5635</v>
      </c>
      <c r="B548" s="2">
        <v>-0.69498228323288003</v>
      </c>
      <c r="C548" s="2">
        <f t="shared" si="8"/>
        <v>0.61771690428257486</v>
      </c>
      <c r="D548" s="2">
        <v>4.7658572938583603</v>
      </c>
      <c r="E548" s="2">
        <v>21.129068157311799</v>
      </c>
      <c r="F548" s="2">
        <v>4.2936549135662401E-6</v>
      </c>
      <c r="G548" s="2">
        <v>2.64462307332471E-3</v>
      </c>
      <c r="H548" s="2" t="s">
        <v>93</v>
      </c>
      <c r="I548" s="2" t="s">
        <v>94</v>
      </c>
      <c r="J548" s="2" t="str">
        <f>HYPERLINK("https://vectorbase.org/vectorbase/app/record/gene/AGAP011067","AGAP011067-RA")</f>
        <v>AGAP011067-RA</v>
      </c>
      <c r="K548" s="2" t="str">
        <f>HYPERLINK(".\links\pep\AGAP011067-PA-pep.txt","AGAP011067-PA")</f>
        <v>AGAP011067-PA</v>
      </c>
      <c r="L548" s="12" t="s">
        <v>95</v>
      </c>
      <c r="M548" s="2">
        <v>382</v>
      </c>
      <c r="N548" s="2">
        <v>0</v>
      </c>
      <c r="O548" s="2">
        <v>0</v>
      </c>
      <c r="P548" s="2" t="s">
        <v>102</v>
      </c>
      <c r="Q548" s="9" t="s">
        <v>5636</v>
      </c>
      <c r="R548" s="2" t="s">
        <v>564</v>
      </c>
      <c r="S548" s="2" t="str">
        <f>HYPERLINK(".\links\KOG\AGAP011067-PA-KOG.txt","KOG")</f>
        <v>KOG</v>
      </c>
      <c r="T548" s="2">
        <v>2.9999999999999999E-89</v>
      </c>
      <c r="U548" s="2">
        <v>87.1</v>
      </c>
      <c r="V548" s="2" t="s">
        <v>5637</v>
      </c>
      <c r="W548" s="10" t="s">
        <v>5638</v>
      </c>
      <c r="X548" s="2" t="s">
        <v>564</v>
      </c>
      <c r="Y548" s="2" t="str">
        <f>HYPERLINK(".\links\KOG\AGAP011067-PA-KOG.txt","KOG")</f>
        <v>KOG</v>
      </c>
      <c r="Z548" s="15">
        <v>3.0000000000000001E-80</v>
      </c>
      <c r="AA548" s="2">
        <v>55.2</v>
      </c>
      <c r="AB548" s="13" t="s">
        <v>102</v>
      </c>
      <c r="AC548" s="13" t="str">
        <f>HYPERLINK(".\links\Sigp\AGAP011067-PA-SigP.txt","CYT")</f>
        <v>CYT</v>
      </c>
      <c r="AD548" s="2" t="s">
        <v>102</v>
      </c>
      <c r="AE548" s="2">
        <v>42.383000000000003</v>
      </c>
      <c r="AF548" s="2">
        <v>8.84</v>
      </c>
      <c r="AG548" s="2" t="s">
        <v>102</v>
      </c>
      <c r="AH548" s="2" t="s">
        <v>102</v>
      </c>
      <c r="AI548" s="2" t="s">
        <v>211</v>
      </c>
      <c r="AJ548" s="13">
        <v>0</v>
      </c>
      <c r="AK548" s="2" t="s">
        <v>102</v>
      </c>
      <c r="AL548" s="2" t="s">
        <v>102</v>
      </c>
      <c r="AM548" s="2" t="s">
        <v>102</v>
      </c>
      <c r="AN548" s="13" t="str">
        <f>HYPERLINK(".\links\gpi\AGAP011067-PA-gpi.txt","N")</f>
        <v>N</v>
      </c>
      <c r="AO548" s="14" t="str">
        <f>HYPERLINK(".\links\netoglyc\AGAP011067-PA-netoglyc.txt","3")</f>
        <v>3</v>
      </c>
      <c r="AP548" s="13">
        <v>15.2</v>
      </c>
      <c r="AQ548" s="2">
        <v>8.6</v>
      </c>
      <c r="AR548" s="2">
        <v>7.3</v>
      </c>
      <c r="AS548" s="2" t="s">
        <v>104</v>
      </c>
      <c r="AT548" s="9" t="str">
        <f>HYPERLINK(".\links\NR-LIGHT\AGAP011067-PA-NR-LIGHT.txt","hypothetical protein AND_000140")</f>
        <v>hypothetical protein AND_000140</v>
      </c>
      <c r="AU548" s="2" t="str">
        <f>HYPERLINK("http://www.ncbi.nlm.nih.gov/sutils/blink.cgi?pid=ETN68028.1","1E-152")</f>
        <v>1E-152</v>
      </c>
      <c r="AV548" s="2" t="str">
        <f>HYPERLINK("http://www.ncbi.nlm.nih.gov/protein/ETN68028.1","ETN68028.1")</f>
        <v>ETN68028.1</v>
      </c>
      <c r="AW548" s="2">
        <v>69</v>
      </c>
      <c r="AX548" s="2">
        <v>76</v>
      </c>
      <c r="AY548" s="2">
        <v>92</v>
      </c>
      <c r="AZ548" s="2" t="s">
        <v>360</v>
      </c>
      <c r="BA548" s="9" t="str">
        <f>HYPERLINK(".\links\REFSEQ-INVERTEBRATE\AGAP011067-PA-REFSEQ-INVERTEBRATE.txt","AGAP011065-PA, partial")</f>
        <v>AGAP011065-PA, partial</v>
      </c>
      <c r="BB548" s="2" t="str">
        <f>HYPERLINK("http://www.ncbi.nlm.nih.gov/sutils/blink.cgi?pid=XP_309580.4","1E-133")</f>
        <v>1E-133</v>
      </c>
      <c r="BC548" s="2" t="str">
        <f>HYPERLINK("http://www.ncbi.nlm.nih.gov/protein/XP_309580.4","XP_309580.4")</f>
        <v>XP_309580.4</v>
      </c>
      <c r="BD548" s="2">
        <v>99</v>
      </c>
      <c r="BE548" s="2">
        <v>100</v>
      </c>
      <c r="BF548" s="2">
        <v>84</v>
      </c>
      <c r="BG548" s="2" t="s">
        <v>105</v>
      </c>
      <c r="BH548" s="9" t="str">
        <f>HYPERLINK(".\links\REFSEQ-PROTOZOA\AGAP011067-PA-REFSEQ-PROTOZOA.txt","hypothetical protein PPL_04726")</f>
        <v>hypothetical protein PPL_04726</v>
      </c>
      <c r="BI548" s="2" t="str">
        <f>HYPERLINK("http://www.ncbi.nlm.nih.gov/sutils/blink.cgi?pid=XP_020434419.1","2E-005")</f>
        <v>2E-005</v>
      </c>
      <c r="BJ548" s="2" t="str">
        <f>HYPERLINK("http://www.ncbi.nlm.nih.gov/protein/XP_020434419.1","XP_020434419.1")</f>
        <v>XP_020434419.1</v>
      </c>
      <c r="BK548" s="2">
        <v>27</v>
      </c>
      <c r="BL548" s="2">
        <v>49</v>
      </c>
      <c r="BM548" s="2">
        <v>15</v>
      </c>
      <c r="BN548" s="2" t="s">
        <v>762</v>
      </c>
      <c r="BO548" s="9" t="str">
        <f>HYPERLINK(".\links\SWISSP\AGAP011067-PA-SWISSP.txt","Homeobox protein SIX4")</f>
        <v>Homeobox protein SIX4</v>
      </c>
      <c r="BP548" s="2" t="str">
        <f>HYPERLINK("http://www.uniprot.org/uniprot/Q61321","2E-072")</f>
        <v>2E-072</v>
      </c>
      <c r="BQ548" s="2" t="str">
        <f>HYPERLINK("http://www.uniprot.org/uniprot/Q61321#expression","Q61321")</f>
        <v>Q61321</v>
      </c>
      <c r="BR548" s="2">
        <v>70</v>
      </c>
      <c r="BS548" s="2">
        <v>84</v>
      </c>
      <c r="BT548" s="2">
        <v>23</v>
      </c>
      <c r="BU548" s="2" t="s">
        <v>662</v>
      </c>
      <c r="BV548" s="9" t="str">
        <f>HYPERLINK(".\links\FLYBASE\AGAP011067-PA-FLYBASE.txt","FBpp0077933")</f>
        <v>FBpp0077933</v>
      </c>
      <c r="BW548" s="2" t="str">
        <f>HYPERLINK("http://flybase.org/reports/FBgn0027364#alliance_summary_container","1E-107")</f>
        <v>1E-107</v>
      </c>
      <c r="BX548" s="2">
        <v>392</v>
      </c>
      <c r="BY548" s="2">
        <v>80</v>
      </c>
      <c r="BZ548" s="2">
        <v>87</v>
      </c>
      <c r="CA548" s="2">
        <v>47</v>
      </c>
      <c r="CB548" s="9" t="str">
        <f>HYPERLINK(".\links\CDD\AGAP011067-PA-CDD.txt","SIX1_SD, Transcriptional regulator, SIX1, N-terminal SD domain")</f>
        <v>SIX1_SD, Transcriptional regulator, SIX1, N-terminal SD domain</v>
      </c>
      <c r="CC548" s="15">
        <v>2.0000000000000001E-59</v>
      </c>
      <c r="CD548" s="2">
        <v>100</v>
      </c>
      <c r="CE548" s="2" t="s">
        <v>5639</v>
      </c>
      <c r="CF548" s="2" t="s">
        <v>5640</v>
      </c>
      <c r="CG548" s="9" t="str">
        <f>HYPERLINK(".\links\KOG\AGAP011067-PA-KOG.txt","Transcription factor SIX and related HOX domain proteins")</f>
        <v>Transcription factor SIX and related HOX domain proteins</v>
      </c>
      <c r="CH548" s="15">
        <v>2.9999999999999999E-89</v>
      </c>
      <c r="CI548" s="2">
        <v>87.2</v>
      </c>
      <c r="CJ548" s="2" t="s">
        <v>5641</v>
      </c>
      <c r="CK548" s="2" t="s">
        <v>309</v>
      </c>
      <c r="CL548" s="9" t="str">
        <f>HYPERLINK(".\links\PFAM\AGAP011067-PA-PFAM.txt","SIX1_SD, Transcriptional regulator, SIX1, N-terminal SD domain")</f>
        <v>SIX1_SD, Transcriptional regulator, SIX1, N-terminal SD domain</v>
      </c>
      <c r="CM548" s="15">
        <v>3.0000000000000002E-60</v>
      </c>
      <c r="CN548" s="2">
        <v>100</v>
      </c>
      <c r="CO548" s="2" t="s">
        <v>5639</v>
      </c>
      <c r="CP548" s="9" t="str">
        <f>HYPERLINK(".\links\SMART\AGAP011067-PA-SMART.txt","HOX, Homeodomain")</f>
        <v>HOX, Homeodomain</v>
      </c>
      <c r="CQ548" s="15">
        <v>4E-14</v>
      </c>
      <c r="CR548" s="2">
        <v>87.7</v>
      </c>
      <c r="CS548" s="2" t="s">
        <v>5642</v>
      </c>
      <c r="CT548" s="2" t="s">
        <v>5637</v>
      </c>
      <c r="CU548" s="2" t="s">
        <v>5637</v>
      </c>
      <c r="CV548" s="2" t="s">
        <v>5637</v>
      </c>
      <c r="CW548" s="2" t="str">
        <f>HYPERLINK(".\links\pep\AGAP011067-PA-pep.txt","AGAP011067-PA")</f>
        <v>AGAP011067-PA</v>
      </c>
      <c r="CX548" s="2" t="s">
        <v>95</v>
      </c>
      <c r="CY548" s="2">
        <v>382</v>
      </c>
      <c r="CZ548" s="2" t="s">
        <v>113</v>
      </c>
      <c r="DA548" s="2" t="s">
        <v>5643</v>
      </c>
      <c r="DB548" s="2">
        <v>0</v>
      </c>
      <c r="DC548" s="2">
        <v>0</v>
      </c>
      <c r="DD548" s="2" t="str">
        <f>HYPERLINK("https://www.kegg.jp/kegg-bin/search_pathway_text?map=aga&amp;keyword=AGAP011067&amp;mode=1&amp;viewImage=true","AGAP011067")</f>
        <v>AGAP011067</v>
      </c>
      <c r="DE548" s="2" t="s">
        <v>5635</v>
      </c>
      <c r="DF548" s="2" t="s">
        <v>93</v>
      </c>
      <c r="DG548" s="2" t="s">
        <v>94</v>
      </c>
      <c r="DH548" s="2" t="str">
        <f>HYPERLINK("https://vectorbase.org/vectorbase/app/record/gene/AGAP011067","AGAP011067-RA")</f>
        <v>AGAP011067-RA</v>
      </c>
      <c r="DI548" s="2" t="s">
        <v>90</v>
      </c>
      <c r="DJ548" s="2">
        <v>1502</v>
      </c>
      <c r="DK548" s="2" t="str">
        <f>HYPERLINK(".\links\netoglyc\AGAP011067-PA-netoglyc.txt","3")</f>
        <v>3</v>
      </c>
      <c r="DL548" s="2">
        <v>15.2</v>
      </c>
      <c r="DM548" s="2">
        <v>8.6</v>
      </c>
      <c r="DN548" s="2">
        <v>7.3</v>
      </c>
      <c r="DO548" s="2" t="s">
        <v>104</v>
      </c>
      <c r="DP548" s="2" t="s">
        <v>102</v>
      </c>
      <c r="DQ548" s="2" t="str">
        <f>HYPERLINK(".\links\Sigp\AGAP011067-PA-SigP.txt","CYT")</f>
        <v>CYT</v>
      </c>
      <c r="DR548" s="2" t="s">
        <v>102</v>
      </c>
      <c r="DS548" s="2">
        <v>42.383000000000003</v>
      </c>
      <c r="DT548" s="2">
        <v>8.84</v>
      </c>
      <c r="DU548" s="2" t="s">
        <v>102</v>
      </c>
      <c r="DV548" s="2" t="s">
        <v>102</v>
      </c>
      <c r="DW548" s="2" t="s">
        <v>211</v>
      </c>
      <c r="DX548" s="2">
        <v>382</v>
      </c>
      <c r="DY548" s="12">
        <v>0</v>
      </c>
      <c r="DZ548" s="2" t="s">
        <v>102</v>
      </c>
      <c r="EA548" s="2" t="s">
        <v>102</v>
      </c>
      <c r="EB548" s="2" t="s">
        <v>102</v>
      </c>
      <c r="EC548" s="2" t="str">
        <f>HYPERLINK(".\links\gpi\AGAP011067-PA-gpi.txt","N")</f>
        <v>N</v>
      </c>
      <c r="ED548" s="2">
        <v>0.26</v>
      </c>
      <c r="EF548" s="2">
        <v>6</v>
      </c>
      <c r="EG548" s="2" t="s">
        <v>102</v>
      </c>
      <c r="EH548" s="2" t="s">
        <v>102</v>
      </c>
      <c r="EI548" s="2">
        <v>15.183246073298401</v>
      </c>
      <c r="EJ548" s="2">
        <v>7.3298429319371703</v>
      </c>
      <c r="EK548" s="2">
        <v>8.6387434554973801</v>
      </c>
      <c r="EL548" s="2">
        <v>15.9685863874346</v>
      </c>
      <c r="EM548" s="2" t="s">
        <v>102</v>
      </c>
      <c r="EN548" s="2" t="s">
        <v>102</v>
      </c>
      <c r="EO548" s="2">
        <v>1</v>
      </c>
      <c r="EP548" s="2" t="s">
        <v>102</v>
      </c>
      <c r="EQ548" s="2" t="s">
        <v>102</v>
      </c>
      <c r="ER548" s="2" t="s">
        <v>102</v>
      </c>
      <c r="ES548" s="2" t="s">
        <v>102</v>
      </c>
      <c r="ET548" s="2" t="str">
        <f>HYPERLINK(".\links\REFSEQ-INVERTEBRATE\AGAP011067-PA-REFSEQ-INVERTEBRATE.txt","homeobox protein SIX4")</f>
        <v>homeobox protein SIX4</v>
      </c>
      <c r="EU548" s="2" t="str">
        <f>HYPERLINK("http://www.ncbi.nlm.nih.gov/sutils/blink.cgi?pid=XP_035893299.1","0.0")</f>
        <v>0.0</v>
      </c>
      <c r="EV548" s="2" t="str">
        <f>HYPERLINK("http://www.ncbi.nlm.nih.gov/protein/XP_035893299.1","XP_035893299.1")</f>
        <v>XP_035893299.1</v>
      </c>
      <c r="EW548" s="2">
        <v>86</v>
      </c>
      <c r="EX548" s="2">
        <v>89</v>
      </c>
      <c r="EY548" s="2">
        <v>92</v>
      </c>
      <c r="EZ548" s="2" t="s">
        <v>370</v>
      </c>
    </row>
    <row r="549" spans="1:156" x14ac:dyDescent="0.25">
      <c r="A549" s="2" t="s">
        <v>5644</v>
      </c>
      <c r="B549" s="2">
        <v>-0.70419841193667398</v>
      </c>
      <c r="C549" s="2">
        <f t="shared" si="8"/>
        <v>0.61378342333203462</v>
      </c>
      <c r="D549" s="2">
        <v>2.8519020179130701</v>
      </c>
      <c r="E549" s="2">
        <v>8.93761763947699</v>
      </c>
      <c r="F549" s="2">
        <v>2.7935683666908098E-3</v>
      </c>
      <c r="G549" s="2">
        <v>4.8726754431394501E-2</v>
      </c>
      <c r="H549" s="2" t="s">
        <v>549</v>
      </c>
      <c r="I549" s="2" t="s">
        <v>88</v>
      </c>
      <c r="J549" s="8" t="s">
        <v>5645</v>
      </c>
      <c r="Q549" s="9"/>
      <c r="W549" s="10"/>
      <c r="AB549" s="9"/>
      <c r="AC549" s="9"/>
      <c r="AJ549" s="9"/>
      <c r="AN549" s="9"/>
      <c r="AO549" s="11"/>
      <c r="AP549" s="9"/>
      <c r="AT549" s="9"/>
      <c r="BA549" s="9"/>
      <c r="BH549" s="9"/>
      <c r="BO549" s="9"/>
      <c r="BV549" s="9"/>
      <c r="CB549" s="9"/>
      <c r="CG549" s="9"/>
      <c r="CL549" s="9"/>
      <c r="CP549" s="9"/>
      <c r="DE549" s="2" t="s">
        <v>5644</v>
      </c>
      <c r="DF549" s="2" t="s">
        <v>549</v>
      </c>
      <c r="DG549" s="2" t="s">
        <v>88</v>
      </c>
      <c r="DH549" s="8" t="s">
        <v>5645</v>
      </c>
      <c r="DI549" s="2" t="s">
        <v>115</v>
      </c>
      <c r="DJ549" s="2">
        <v>7402</v>
      </c>
      <c r="DQ549" s="2" t="s">
        <v>141</v>
      </c>
      <c r="DS549" s="2">
        <v>191266</v>
      </c>
      <c r="DT549" s="2">
        <v>9.36</v>
      </c>
      <c r="DX549" s="2">
        <v>1927</v>
      </c>
      <c r="DY549" s="12"/>
    </row>
    <row r="550" spans="1:156" x14ac:dyDescent="0.25">
      <c r="A550" s="2" t="s">
        <v>5646</v>
      </c>
      <c r="B550" s="2">
        <v>-0.73127515172915203</v>
      </c>
      <c r="C550" s="2">
        <f t="shared" si="8"/>
        <v>0.60237126190548718</v>
      </c>
      <c r="D550" s="2">
        <v>3.87205816026301</v>
      </c>
      <c r="E550" s="2">
        <v>9.0575105758694399</v>
      </c>
      <c r="F550" s="2">
        <v>2.6161792968608199E-3</v>
      </c>
      <c r="G550" s="2">
        <v>4.7269525491001697E-2</v>
      </c>
      <c r="H550" s="2" t="s">
        <v>87</v>
      </c>
      <c r="I550" s="2" t="s">
        <v>88</v>
      </c>
      <c r="J550" s="8" t="s">
        <v>89</v>
      </c>
      <c r="Q550" s="9"/>
      <c r="W550" s="10"/>
      <c r="AB550" s="9"/>
      <c r="AC550" s="9"/>
      <c r="AJ550" s="9"/>
      <c r="AN550" s="9"/>
      <c r="AO550" s="11"/>
      <c r="AP550" s="9"/>
      <c r="AT550" s="9"/>
      <c r="BA550" s="9"/>
      <c r="BH550" s="9"/>
      <c r="BO550" s="9"/>
      <c r="BV550" s="9"/>
      <c r="CB550" s="9"/>
      <c r="CG550" s="9"/>
      <c r="CL550" s="9"/>
      <c r="CP550" s="9"/>
      <c r="DE550" s="2" t="s">
        <v>5646</v>
      </c>
      <c r="DF550" s="2" t="s">
        <v>87</v>
      </c>
      <c r="DG550" s="2" t="s">
        <v>88</v>
      </c>
      <c r="DH550" s="8" t="s">
        <v>89</v>
      </c>
      <c r="DI550" s="2" t="s">
        <v>90</v>
      </c>
      <c r="DJ550" s="2">
        <v>9218</v>
      </c>
      <c r="DQ550" s="2" t="s">
        <v>91</v>
      </c>
      <c r="DS550" s="2">
        <v>119873</v>
      </c>
      <c r="DT550" s="2">
        <v>6.72</v>
      </c>
      <c r="DX550" s="2">
        <v>1076</v>
      </c>
      <c r="DY550" s="12"/>
    </row>
    <row r="551" spans="1:156" x14ac:dyDescent="0.25">
      <c r="A551" s="2" t="s">
        <v>5647</v>
      </c>
      <c r="B551" s="2">
        <v>-0.74178464342301198</v>
      </c>
      <c r="C551" s="2">
        <f t="shared" si="8"/>
        <v>0.59799915733498143</v>
      </c>
      <c r="D551" s="2">
        <v>5.3530740509974901</v>
      </c>
      <c r="E551" s="2">
        <v>13.5856997402836</v>
      </c>
      <c r="F551" s="2">
        <v>2.2791514293436801E-4</v>
      </c>
      <c r="G551" s="2">
        <v>1.6761968161329799E-2</v>
      </c>
      <c r="H551" s="2" t="s">
        <v>93</v>
      </c>
      <c r="I551" s="2" t="s">
        <v>94</v>
      </c>
      <c r="J551" s="2" t="str">
        <f>HYPERLINK("https://vectorbase.org/vectorbase/app/record/gene/AGAP003901","AGAP003901-RA")</f>
        <v>AGAP003901-RA</v>
      </c>
      <c r="K551" s="2" t="str">
        <f>HYPERLINK(".\links\pep\AGAP003901-PA-pep.txt","AGAP003901-PA")</f>
        <v>AGAP003901-PA</v>
      </c>
      <c r="L551" s="12" t="s">
        <v>95</v>
      </c>
      <c r="M551" s="2">
        <v>923</v>
      </c>
      <c r="N551" s="2">
        <v>0</v>
      </c>
      <c r="O551" s="2">
        <v>1</v>
      </c>
      <c r="P551" s="2" t="s">
        <v>102</v>
      </c>
      <c r="Q551" s="9" t="s">
        <v>5648</v>
      </c>
      <c r="R551" s="2" t="s">
        <v>358</v>
      </c>
      <c r="S551" s="2" t="str">
        <f>HYPERLINK(".\links\CDD\AGAP003901-PA-CDD.txt","CDD")</f>
        <v>CDD</v>
      </c>
      <c r="T551" s="2">
        <v>2.0000000000000001E-10</v>
      </c>
      <c r="U551" s="2">
        <v>131.69999999999999</v>
      </c>
      <c r="V551" s="2" t="s">
        <v>5649</v>
      </c>
      <c r="W551" s="10" t="s">
        <v>5650</v>
      </c>
      <c r="X551" s="2" t="s">
        <v>358</v>
      </c>
      <c r="Y551" s="2" t="str">
        <f>HYPERLINK(".\links\UNIPROTKB\AGAP003901-PA-UNIPROTKB.txt","UNIPROTKB")</f>
        <v>UNIPROTKB</v>
      </c>
      <c r="Z551" s="2">
        <v>0</v>
      </c>
      <c r="AA551" s="2">
        <v>106.4</v>
      </c>
      <c r="AB551" s="13" t="str">
        <f>HYPERLINK(".\links\pep\AGAP003901-PA-sulf.txt","2")</f>
        <v>2</v>
      </c>
      <c r="AC551" s="13" t="str">
        <f>HYPERLINK(".\links\Sigp\AGAP003901-PA-SigP.txt","CYT")</f>
        <v>CYT</v>
      </c>
      <c r="AD551" s="2" t="s">
        <v>102</v>
      </c>
      <c r="AE551" s="2">
        <v>98.712999999999994</v>
      </c>
      <c r="AF551" s="2">
        <v>8.2799999999999994</v>
      </c>
      <c r="AG551" s="2" t="s">
        <v>102</v>
      </c>
      <c r="AH551" s="2" t="s">
        <v>102</v>
      </c>
      <c r="AI551" s="2" t="s">
        <v>5651</v>
      </c>
      <c r="AJ551" s="13">
        <v>0</v>
      </c>
      <c r="AK551" s="2" t="s">
        <v>102</v>
      </c>
      <c r="AL551" s="2" t="s">
        <v>102</v>
      </c>
      <c r="AM551" s="2" t="s">
        <v>102</v>
      </c>
      <c r="AN551" s="13" t="str">
        <f>HYPERLINK(".\links\gpi\AGAP003901-PA-gpi.txt","N")</f>
        <v>N</v>
      </c>
      <c r="AO551" s="14" t="str">
        <f>HYPERLINK(".\links\netoglyc\AGAP003901-PA-netoglyc.txt","10")</f>
        <v>10</v>
      </c>
      <c r="AP551" s="13">
        <v>20.2</v>
      </c>
      <c r="AQ551" s="2">
        <v>8</v>
      </c>
      <c r="AR551" s="2">
        <v>5.5</v>
      </c>
      <c r="AS551" s="2" t="s">
        <v>104</v>
      </c>
      <c r="AT551" s="9" t="str">
        <f>HYPERLINK(".\links\NR-LIGHT\AGAP003901-PA-NR-LIGHT.txt","AGAP003901-PA")</f>
        <v>AGAP003901-PA</v>
      </c>
      <c r="AU551" s="2" t="str">
        <f>HYPERLINK("http://www.ncbi.nlm.nih.gov/sutils/blink.cgi?pid=XP_308133.5","0.0")</f>
        <v>0.0</v>
      </c>
      <c r="AV551" s="2" t="str">
        <f>HYPERLINK("http://www.ncbi.nlm.nih.gov/protein/XP_308133.5","XP_308133.5")</f>
        <v>XP_308133.5</v>
      </c>
      <c r="AW551" s="2">
        <v>100</v>
      </c>
      <c r="AX551" s="2">
        <v>100</v>
      </c>
      <c r="AY551" s="2">
        <v>100</v>
      </c>
      <c r="AZ551" s="2" t="s">
        <v>105</v>
      </c>
      <c r="BA551" s="9" t="str">
        <f>HYPERLINK(".\links\REFSEQ-INVERTEBRATE\AGAP003901-PA-REFSEQ-INVERTEBRATE.txt","AGAP003901-PA")</f>
        <v>AGAP003901-PA</v>
      </c>
      <c r="BB551" s="2" t="str">
        <f>HYPERLINK("http://www.ncbi.nlm.nih.gov/sutils/blink.cgi?pid=XP_308133.5","0.0")</f>
        <v>0.0</v>
      </c>
      <c r="BC551" s="2" t="str">
        <f>HYPERLINK("http://www.ncbi.nlm.nih.gov/protein/XP_308133.5","XP_308133.5")</f>
        <v>XP_308133.5</v>
      </c>
      <c r="BD551" s="2">
        <v>100</v>
      </c>
      <c r="BE551" s="2">
        <v>100</v>
      </c>
      <c r="BF551" s="2">
        <v>100</v>
      </c>
      <c r="BG551" s="2" t="s">
        <v>105</v>
      </c>
      <c r="BH551" s="9" t="str">
        <f>HYPERLINK(".\links\REFSEQ-PROTOZOA\AGAP003901-PA-REFSEQ-PROTOZOA.txt","hypothetical protein PTSG_07388")</f>
        <v>hypothetical protein PTSG_07388</v>
      </c>
      <c r="BI551" s="2" t="str">
        <f>HYPERLINK("http://www.ncbi.nlm.nih.gov/sutils/blink.cgi?pid=XP_004990887.1","2E-025")</f>
        <v>2E-025</v>
      </c>
      <c r="BJ551" s="2" t="str">
        <f>HYPERLINK("http://www.ncbi.nlm.nih.gov/protein/XP_004990887.1","XP_004990887.1")</f>
        <v>XP_004990887.1</v>
      </c>
      <c r="BK551" s="2">
        <v>27</v>
      </c>
      <c r="BL551" s="2">
        <v>42</v>
      </c>
      <c r="BM551" s="2">
        <v>25</v>
      </c>
      <c r="BN551" s="2" t="s">
        <v>435</v>
      </c>
      <c r="BO551" s="9" t="str">
        <f>HYPERLINK(".\links\SWISSP\AGAP003901-PA-SWISSP.txt","GAS2-like protein pickled eggs")</f>
        <v>GAS2-like protein pickled eggs</v>
      </c>
      <c r="BP551" s="2" t="str">
        <f>HYPERLINK("http://www.uniprot.org/uniprot/Q9W3Y4","0.0")</f>
        <v>0.0</v>
      </c>
      <c r="BQ551" s="2" t="str">
        <f>HYPERLINK("http://www.uniprot.org/uniprot/Q9W3Y4#expression","Q9W3Y4")</f>
        <v>Q9W3Y4</v>
      </c>
      <c r="BR551" s="2">
        <v>47</v>
      </c>
      <c r="BS551" s="2">
        <v>60</v>
      </c>
      <c r="BT551" s="2">
        <v>107</v>
      </c>
      <c r="BU551" s="2" t="s">
        <v>107</v>
      </c>
      <c r="BV551" s="9" t="str">
        <f>HYPERLINK(".\links\FLYBASE\AGAP003901-PA-FLYBASE.txt","FBpp0310031")</f>
        <v>FBpp0310031</v>
      </c>
      <c r="BW551" s="2" t="str">
        <f>HYPERLINK("http://flybase.org/reports/FBgn0029881#alliance_summary_container","0.0")</f>
        <v>0.0</v>
      </c>
      <c r="BX551" s="2">
        <v>977</v>
      </c>
      <c r="BY551" s="2">
        <v>46</v>
      </c>
      <c r="BZ551" s="2">
        <v>60</v>
      </c>
      <c r="CA551" s="2">
        <v>106</v>
      </c>
      <c r="CB551" s="9" t="str">
        <f>HYPERLINK(".\links\CDD\AGAP003901-PA-CDD.txt","GAS2, Growth-Arrest-Specific Protein 2 Domain")</f>
        <v>GAS2, Growth-Arrest-Specific Protein 2 Domain</v>
      </c>
      <c r="CC551" s="15">
        <v>9.0000000000000008E-37</v>
      </c>
      <c r="CD551" s="2">
        <v>100</v>
      </c>
      <c r="CE551" s="2" t="s">
        <v>5652</v>
      </c>
      <c r="CF551" s="2" t="s">
        <v>5653</v>
      </c>
      <c r="CG551" s="9" t="str">
        <f>HYPERLINK(".\links\KOG\AGAP003901-PA-KOG.txt","GAS (Growth-arrest-specific protein), and related proteins")</f>
        <v>GAS (Growth-arrest-specific protein), and related proteins</v>
      </c>
      <c r="CH551" s="15">
        <v>4.0000000000000002E-27</v>
      </c>
      <c r="CI551" s="2">
        <v>31.7</v>
      </c>
      <c r="CJ551" s="2" t="s">
        <v>5654</v>
      </c>
      <c r="CK551" s="2" t="s">
        <v>131</v>
      </c>
      <c r="CL551" s="9" t="str">
        <f>HYPERLINK(".\links\PFAM\AGAP003901-PA-PFAM.txt","GAS2, Growth-Arrest-Specific Protein 2 Domain")</f>
        <v>GAS2, Growth-Arrest-Specific Protein 2 Domain</v>
      </c>
      <c r="CM551" s="15">
        <v>2.0000000000000001E-37</v>
      </c>
      <c r="CN551" s="2">
        <v>100</v>
      </c>
      <c r="CO551" s="2" t="s">
        <v>5652</v>
      </c>
      <c r="CP551" s="9" t="str">
        <f>HYPERLINK(".\links\SMART\AGAP003901-PA-SMART.txt","GAS2, Growth-Arrest-Specific Protein 2 Domain")</f>
        <v>GAS2, Growth-Arrest-Specific Protein 2 Domain</v>
      </c>
      <c r="CQ551" s="15">
        <v>3E-34</v>
      </c>
      <c r="CR551" s="2">
        <v>97.3</v>
      </c>
      <c r="CS551" s="2" t="s">
        <v>5655</v>
      </c>
      <c r="CT551" s="2" t="s">
        <v>5649</v>
      </c>
      <c r="CU551" s="2" t="s">
        <v>5649</v>
      </c>
      <c r="CV551" s="2" t="s">
        <v>5649</v>
      </c>
      <c r="CW551" s="2" t="str">
        <f>HYPERLINK(".\links\pep\AGAP003901-PA-pep.txt","AGAP003901-PA")</f>
        <v>AGAP003901-PA</v>
      </c>
      <c r="CX551" s="2" t="s">
        <v>95</v>
      </c>
      <c r="CY551" s="2">
        <v>923</v>
      </c>
      <c r="CZ551" s="2" t="s">
        <v>113</v>
      </c>
      <c r="DA551" s="2" t="s">
        <v>5656</v>
      </c>
      <c r="DB551" s="2">
        <v>0</v>
      </c>
      <c r="DC551" s="2">
        <v>1</v>
      </c>
      <c r="DD551" s="2" t="str">
        <f>HYPERLINK("https://www.kegg.jp/kegg-bin/search_pathway_text?map=aga&amp;keyword=AGAP003901&amp;mode=1&amp;viewImage=true","AGAP003901")</f>
        <v>AGAP003901</v>
      </c>
      <c r="DE551" s="2" t="s">
        <v>5647</v>
      </c>
      <c r="DF551" s="2" t="s">
        <v>93</v>
      </c>
      <c r="DG551" s="2" t="s">
        <v>94</v>
      </c>
      <c r="DH551" s="2" t="str">
        <f>HYPERLINK("https://vectorbase.org/vectorbase/app/record/gene/AGAP003901","AGAP003901-RA")</f>
        <v>AGAP003901-RA</v>
      </c>
      <c r="DI551" s="2" t="s">
        <v>115</v>
      </c>
      <c r="DJ551" s="2">
        <v>5635</v>
      </c>
      <c r="DK551" s="2" t="str">
        <f>HYPERLINK(".\links\netoglyc\AGAP003901-PA-netoglyc.txt","10")</f>
        <v>10</v>
      </c>
      <c r="DL551" s="2">
        <v>20.2</v>
      </c>
      <c r="DM551" s="2">
        <v>8</v>
      </c>
      <c r="DN551" s="2">
        <v>5.5</v>
      </c>
      <c r="DO551" s="2" t="s">
        <v>104</v>
      </c>
      <c r="DP551" s="2" t="s">
        <v>5657</v>
      </c>
      <c r="DQ551" s="2" t="str">
        <f>HYPERLINK(".\links\Sigp\AGAP003901-PA-SigP.txt","CYT")</f>
        <v>CYT</v>
      </c>
      <c r="DR551" s="2" t="s">
        <v>102</v>
      </c>
      <c r="DS551" s="2">
        <v>98.712999999999994</v>
      </c>
      <c r="DT551" s="2">
        <v>8.2799999999999994</v>
      </c>
      <c r="DU551" s="2" t="s">
        <v>102</v>
      </c>
      <c r="DV551" s="2" t="s">
        <v>102</v>
      </c>
      <c r="DW551" s="2" t="s">
        <v>5651</v>
      </c>
      <c r="DX551" s="2">
        <v>923</v>
      </c>
      <c r="DY551" s="12">
        <v>0</v>
      </c>
      <c r="DZ551" s="2" t="s">
        <v>102</v>
      </c>
      <c r="EA551" s="2" t="s">
        <v>102</v>
      </c>
      <c r="EB551" s="2" t="s">
        <v>102</v>
      </c>
      <c r="EC551" s="2" t="str">
        <f>HYPERLINK(".\links\gpi\AGAP003901-PA-gpi.txt","Y-NoSP")</f>
        <v>Y-NoSP</v>
      </c>
      <c r="ED551" s="2">
        <v>0.24</v>
      </c>
      <c r="EF551" s="2">
        <v>13</v>
      </c>
      <c r="EG551" s="2" t="str">
        <f>HYPERLINK(".\links\pep\AGAP003901-PA-sulf.txt","2")</f>
        <v>2</v>
      </c>
      <c r="EH551" s="2" t="s">
        <v>102</v>
      </c>
      <c r="EI551" s="2">
        <v>20.151679306608901</v>
      </c>
      <c r="EJ551" s="2">
        <v>5.52546045503792</v>
      </c>
      <c r="EK551" s="2">
        <v>8.0173347778981601</v>
      </c>
      <c r="EL551" s="2">
        <v>13.542795232936101</v>
      </c>
      <c r="EM551" s="2">
        <v>2</v>
      </c>
      <c r="EN551" s="2">
        <v>2</v>
      </c>
      <c r="EO551" s="2">
        <v>2</v>
      </c>
      <c r="EP551" s="2" t="s">
        <v>102</v>
      </c>
      <c r="EQ551" s="2" t="s">
        <v>102</v>
      </c>
      <c r="ER551" s="2" t="s">
        <v>102</v>
      </c>
      <c r="ES551" s="2" t="s">
        <v>102</v>
      </c>
      <c r="ET551" s="2" t="str">
        <f>HYPERLINK(".\links\REFSEQ-INVERTEBRATE\AGAP003901-PA-REFSEQ-INVERTEBRATE.txt","AGAP003901-PA")</f>
        <v>AGAP003901-PA</v>
      </c>
      <c r="EU551" s="2" t="str">
        <f>HYPERLINK("http://www.ncbi.nlm.nih.gov/sutils/blink.cgi?pid=XP_308133.5","0.0")</f>
        <v>0.0</v>
      </c>
      <c r="EV551" s="2" t="str">
        <f>HYPERLINK("http://www.ncbi.nlm.nih.gov/protein/XP_308133.5","XP_308133.5")</f>
        <v>XP_308133.5</v>
      </c>
      <c r="EW551" s="2">
        <v>100</v>
      </c>
      <c r="EX551" s="2">
        <v>100</v>
      </c>
      <c r="EY551" s="2">
        <v>100</v>
      </c>
      <c r="EZ551" s="2" t="s">
        <v>105</v>
      </c>
    </row>
    <row r="552" spans="1:156" x14ac:dyDescent="0.25">
      <c r="A552" s="2" t="s">
        <v>5658</v>
      </c>
      <c r="B552" s="2">
        <v>-0.74297767416888705</v>
      </c>
      <c r="C552" s="2">
        <f t="shared" si="8"/>
        <v>0.59750484879629884</v>
      </c>
      <c r="D552" s="2">
        <v>3.35400869118694</v>
      </c>
      <c r="E552" s="2">
        <v>11.064711007745</v>
      </c>
      <c r="F552" s="2">
        <v>8.7986302161399005E-4</v>
      </c>
      <c r="G552" s="2">
        <v>3.0356607143661E-2</v>
      </c>
      <c r="H552" s="2" t="s">
        <v>93</v>
      </c>
      <c r="I552" s="2" t="s">
        <v>94</v>
      </c>
      <c r="J552" s="2" t="str">
        <f>HYPERLINK("https://vectorbase.org/vectorbase/app/record/gene/AGAP004873","AGAP004873-RB")</f>
        <v>AGAP004873-RB</v>
      </c>
      <c r="K552" s="2" t="str">
        <f>HYPERLINK(".\links\pep\AGAP004873-PB-pep.txt","AGAP004873-PB")</f>
        <v>AGAP004873-PB</v>
      </c>
      <c r="L552" s="12" t="s">
        <v>95</v>
      </c>
      <c r="M552" s="2">
        <v>1463</v>
      </c>
      <c r="N552" s="2">
        <v>0</v>
      </c>
      <c r="O552" s="2">
        <v>2</v>
      </c>
      <c r="P552" s="2" t="s">
        <v>102</v>
      </c>
      <c r="Q552" s="9" t="s">
        <v>5659</v>
      </c>
      <c r="R552" s="2" t="s">
        <v>355</v>
      </c>
      <c r="S552" s="2" t="str">
        <f>HYPERLINK(".\links\KOG\AGAP004873-PB-KOG.txt","KOG")</f>
        <v>KOG</v>
      </c>
      <c r="T552" s="2">
        <v>0</v>
      </c>
      <c r="U552" s="2">
        <v>86</v>
      </c>
      <c r="V552" s="2" t="s">
        <v>5660</v>
      </c>
      <c r="W552" s="10" t="s">
        <v>5661</v>
      </c>
      <c r="X552" s="2" t="s">
        <v>355</v>
      </c>
      <c r="Y552" s="2" t="str">
        <f>HYPERLINK(".\links\KOG\AGAP004873-PB-KOG.txt","KOG")</f>
        <v>KOG</v>
      </c>
      <c r="Z552" s="2">
        <v>0</v>
      </c>
      <c r="AA552" s="2">
        <v>68.099999999999994</v>
      </c>
      <c r="AB552" s="13" t="str">
        <f>HYPERLINK(".\links\pep\AGAP004873-PB-sulf.txt","3")</f>
        <v>3</v>
      </c>
      <c r="AC552" s="13" t="str">
        <f>HYPERLINK(".\links\Sigp\AGAP004873-PB-SigP.txt","CYT")</f>
        <v>CYT</v>
      </c>
      <c r="AD552" s="2" t="s">
        <v>102</v>
      </c>
      <c r="AE552" s="2">
        <v>163.09</v>
      </c>
      <c r="AF552" s="2">
        <v>8.34</v>
      </c>
      <c r="AG552" s="2" t="s">
        <v>102</v>
      </c>
      <c r="AH552" s="2" t="s">
        <v>102</v>
      </c>
      <c r="AI552" s="2" t="s">
        <v>5662</v>
      </c>
      <c r="AJ552" s="13">
        <v>0</v>
      </c>
      <c r="AK552" s="2" t="s">
        <v>102</v>
      </c>
      <c r="AL552" s="2" t="s">
        <v>102</v>
      </c>
      <c r="AM552" s="2" t="s">
        <v>102</v>
      </c>
      <c r="AN552" s="13" t="str">
        <f>HYPERLINK(".\links\gpi\AGAP004873-PB-gpi.txt","N")</f>
        <v>N</v>
      </c>
      <c r="AO552" s="14" t="str">
        <f>HYPERLINK(".\links\netoglyc\AGAP004873-PB-netoglyc.txt","10")</f>
        <v>10</v>
      </c>
      <c r="AP552" s="13">
        <v>13.5</v>
      </c>
      <c r="AQ552" s="2">
        <v>6.7</v>
      </c>
      <c r="AR552" s="2">
        <v>7</v>
      </c>
      <c r="AS552" s="2" t="s">
        <v>104</v>
      </c>
      <c r="AT552" s="9" t="str">
        <f>HYPERLINK(".\links\NR-LIGHT\AGAP004873-PB-NR-LIGHT.txt","AGAP004873-PA")</f>
        <v>AGAP004873-PA</v>
      </c>
      <c r="AU552" s="2" t="str">
        <f>HYPERLINK("http://www.ncbi.nlm.nih.gov/sutils/blink.cgi?pid=XP_314313.4","0.0")</f>
        <v>0.0</v>
      </c>
      <c r="AV552" s="2" t="str">
        <f>HYPERLINK("http://www.ncbi.nlm.nih.gov/protein/XP_314313.4","XP_314313.4")</f>
        <v>XP_314313.4</v>
      </c>
      <c r="AW552" s="2">
        <v>100</v>
      </c>
      <c r="AX552" s="2">
        <v>100</v>
      </c>
      <c r="AY552" s="2">
        <v>100</v>
      </c>
      <c r="AZ552" s="2" t="s">
        <v>105</v>
      </c>
      <c r="BA552" s="9" t="str">
        <f>HYPERLINK(".\links\REFSEQ-INVERTEBRATE\AGAP004873-PB-REFSEQ-INVERTEBRATE.txt","AGAP004873-PA")</f>
        <v>AGAP004873-PA</v>
      </c>
      <c r="BB552" s="2" t="str">
        <f>HYPERLINK("http://www.ncbi.nlm.nih.gov/sutils/blink.cgi?pid=XP_314313.4","0.0")</f>
        <v>0.0</v>
      </c>
      <c r="BC552" s="2" t="str">
        <f>HYPERLINK("http://www.ncbi.nlm.nih.gov/protein/XP_314313.4","XP_314313.4")</f>
        <v>XP_314313.4</v>
      </c>
      <c r="BD552" s="2">
        <v>100</v>
      </c>
      <c r="BE552" s="2">
        <v>100</v>
      </c>
      <c r="BF552" s="2">
        <v>100</v>
      </c>
      <c r="BG552" s="2" t="s">
        <v>105</v>
      </c>
      <c r="BH552" s="9" t="str">
        <f>HYPERLINK(".\links\REFSEQ-PROTOZOA\AGAP004873-PB-REFSEQ-PROTOZOA.txt","hypothetical protein CAOG_07600")</f>
        <v>hypothetical protein CAOG_07600</v>
      </c>
      <c r="BI552" s="2" t="str">
        <f>HYPERLINK("http://www.ncbi.nlm.nih.gov/sutils/blink.cgi?pid=XP_004343474.2","4E-063")</f>
        <v>4E-063</v>
      </c>
      <c r="BJ552" s="2" t="str">
        <f>HYPERLINK("http://www.ncbi.nlm.nih.gov/protein/XP_004343474.2","XP_004343474.2")</f>
        <v>XP_004343474.2</v>
      </c>
      <c r="BK552" s="2">
        <v>29</v>
      </c>
      <c r="BL552" s="2">
        <v>44</v>
      </c>
      <c r="BM552" s="2">
        <v>48</v>
      </c>
      <c r="BN552" s="2" t="s">
        <v>106</v>
      </c>
      <c r="BO552" s="9" t="str">
        <f>HYPERLINK(".\links\SWISSP\AGAP004873-PB-SWISSP.txt","FH1/FH2 domain-containing protein 3")</f>
        <v>FH1/FH2 domain-containing protein 3</v>
      </c>
      <c r="BP552" s="2" t="str">
        <f>HYPERLINK("http://www.uniprot.org/uniprot/Q76LL6","1E-162")</f>
        <v>1E-162</v>
      </c>
      <c r="BQ552" s="2" t="str">
        <f>HYPERLINK("http://www.uniprot.org/uniprot/Q76LL6#expression","Q76LL6")</f>
        <v>Q76LL6</v>
      </c>
      <c r="BR552" s="2">
        <v>48</v>
      </c>
      <c r="BS552" s="2">
        <v>63</v>
      </c>
      <c r="BT552" s="2">
        <v>45</v>
      </c>
      <c r="BU552" s="2" t="s">
        <v>662</v>
      </c>
      <c r="BV552" s="9" t="str">
        <f>HYPERLINK(".\links\FLYBASE\AGAP004873-PB-FLYBASE.txt","FBpp0297586")</f>
        <v>FBpp0297586</v>
      </c>
      <c r="BW552" s="2" t="str">
        <f>HYPERLINK("http://flybase.org/reports/FBgn0266084#alliance_summary_container","0.0")</f>
        <v>0.0</v>
      </c>
      <c r="BX552" s="2">
        <v>1152</v>
      </c>
      <c r="BY552" s="2">
        <v>72</v>
      </c>
      <c r="BZ552" s="2">
        <v>81</v>
      </c>
      <c r="CA552" s="2">
        <v>62</v>
      </c>
      <c r="CB552" s="9" t="str">
        <f>HYPERLINK(".\links\CDD\AGAP004873-PB-CDD.txt","FH2, Formin Homology 2 Domain")</f>
        <v>FH2, Formin Homology 2 Domain</v>
      </c>
      <c r="CC552" s="15">
        <v>1.9999999999999999E-82</v>
      </c>
      <c r="CD552" s="2">
        <v>101.3</v>
      </c>
      <c r="CE552" s="2" t="s">
        <v>4268</v>
      </c>
      <c r="CF552" s="2" t="s">
        <v>5663</v>
      </c>
      <c r="CG552" s="9" t="str">
        <f>HYPERLINK(".\links\KOG\AGAP004873-PB-KOG.txt","Rac1 GTPase effector FHOS")</f>
        <v>Rac1 GTPase effector FHOS</v>
      </c>
      <c r="CH552" s="15">
        <v>9.9999999999999999E-160</v>
      </c>
      <c r="CI552" s="2">
        <v>86.9</v>
      </c>
      <c r="CJ552" s="2" t="s">
        <v>5664</v>
      </c>
      <c r="CK552" s="2" t="s">
        <v>2859</v>
      </c>
      <c r="CL552" s="9" t="str">
        <f>HYPERLINK(".\links\PFAM\AGAP004873-PB-PFAM.txt","FH2, Formin Homology 2 Domain")</f>
        <v>FH2, Formin Homology 2 Domain</v>
      </c>
      <c r="CM552" s="15">
        <v>4.9999999999999998E-83</v>
      </c>
      <c r="CN552" s="2">
        <v>101.3</v>
      </c>
      <c r="CO552" s="2" t="s">
        <v>4268</v>
      </c>
      <c r="CP552" s="9" t="str">
        <f>HYPERLINK(".\links\SMART\AGAP004873-PB-SMART.txt","vertebrate formins have been assigned functions within the nucleus")</f>
        <v>vertebrate formins have been assigned functions within the nucleus</v>
      </c>
      <c r="CQ552" s="15">
        <v>3.9999999999999997E-49</v>
      </c>
      <c r="CR552" s="2">
        <v>103.8</v>
      </c>
      <c r="CS552" s="2" t="s">
        <v>465</v>
      </c>
      <c r="CT552" s="2" t="s">
        <v>5660</v>
      </c>
      <c r="CU552" s="2" t="s">
        <v>5660</v>
      </c>
      <c r="CV552" s="2" t="s">
        <v>5660</v>
      </c>
      <c r="CW552" s="2" t="str">
        <f>HYPERLINK(".\links\pep\AGAP004873-PB-pep.txt","AGAP004873-PB")</f>
        <v>AGAP004873-PB</v>
      </c>
      <c r="CX552" s="2" t="s">
        <v>95</v>
      </c>
      <c r="CY552" s="2">
        <v>1217</v>
      </c>
      <c r="CZ552" s="2" t="s">
        <v>113</v>
      </c>
      <c r="DA552" s="2" t="s">
        <v>5665</v>
      </c>
      <c r="DB552" s="2">
        <v>0</v>
      </c>
      <c r="DC552" s="2">
        <v>2</v>
      </c>
      <c r="DD552" s="2" t="str">
        <f>HYPERLINK("https://www.kegg.jp/kegg-bin/search_pathway_text?map=aga&amp;keyword=AGAP004873&amp;mode=1&amp;viewImage=true","AGAP004873")</f>
        <v>AGAP004873</v>
      </c>
      <c r="DE552" s="2" t="s">
        <v>5658</v>
      </c>
      <c r="DF552" s="2" t="s">
        <v>93</v>
      </c>
      <c r="DG552" s="2" t="s">
        <v>94</v>
      </c>
      <c r="DH552" s="2" t="str">
        <f>HYPERLINK("https://vectorbase.org/vectorbase/app/record/gene/AGAP004873","AGAP004873-RB")</f>
        <v>AGAP004873-RB</v>
      </c>
      <c r="DI552" s="2" t="s">
        <v>135</v>
      </c>
      <c r="DJ552" s="2">
        <v>5948</v>
      </c>
      <c r="DK552" s="2" t="str">
        <f>HYPERLINK(".\links\netoglyc\AGAP004873-PB-netoglyc.txt","10")</f>
        <v>10</v>
      </c>
      <c r="DL552" s="2">
        <v>12.4</v>
      </c>
      <c r="DM552" s="2">
        <v>5.9</v>
      </c>
      <c r="DN552" s="2">
        <v>7.4</v>
      </c>
      <c r="DO552" s="2" t="s">
        <v>104</v>
      </c>
      <c r="DP552" s="2" t="s">
        <v>102</v>
      </c>
      <c r="DQ552" s="2" t="str">
        <f>HYPERLINK(".\links\Sigp\AGAP004873-PB-SigP.txt","CYT")</f>
        <v>CYT</v>
      </c>
      <c r="DR552" s="2" t="s">
        <v>102</v>
      </c>
      <c r="DS552" s="2">
        <v>136.67099999999999</v>
      </c>
      <c r="DT552" s="2">
        <v>6.98</v>
      </c>
      <c r="DU552" s="2" t="s">
        <v>102</v>
      </c>
      <c r="DV552" s="2" t="s">
        <v>102</v>
      </c>
      <c r="DW552" s="2" t="s">
        <v>5666</v>
      </c>
      <c r="DX552" s="2">
        <v>1217</v>
      </c>
      <c r="DY552" s="12">
        <v>0</v>
      </c>
      <c r="DZ552" s="2" t="s">
        <v>102</v>
      </c>
      <c r="EA552" s="2" t="s">
        <v>102</v>
      </c>
      <c r="EB552" s="2" t="s">
        <v>102</v>
      </c>
      <c r="EC552" s="2" t="str">
        <f>HYPERLINK(".\links\gpi\AGAP004873-PB-gpi.txt","Y-NoSP")</f>
        <v>Y-NoSP</v>
      </c>
      <c r="ED552" s="2">
        <v>0.19</v>
      </c>
      <c r="EF552" s="2">
        <v>12</v>
      </c>
      <c r="EG552" s="2" t="str">
        <f>HYPERLINK(".\links\pep\AGAP004873-PB-sulf.txt","3")</f>
        <v>3</v>
      </c>
      <c r="EH552" s="2" t="s">
        <v>102</v>
      </c>
      <c r="EI552" s="2">
        <v>12.4075595727198</v>
      </c>
      <c r="EJ552" s="2">
        <v>7.3952341824157797</v>
      </c>
      <c r="EK552" s="2">
        <v>5.9161873459326202</v>
      </c>
      <c r="EL552" s="2">
        <v>13.311421528348401</v>
      </c>
      <c r="EM552" s="2">
        <v>3</v>
      </c>
      <c r="EN552" s="2">
        <v>1</v>
      </c>
      <c r="EO552" s="2">
        <v>1</v>
      </c>
      <c r="EP552" s="2" t="s">
        <v>102</v>
      </c>
      <c r="EQ552" s="2" t="s">
        <v>102</v>
      </c>
      <c r="ER552" s="2" t="s">
        <v>102</v>
      </c>
      <c r="ES552" s="2" t="s">
        <v>102</v>
      </c>
      <c r="ET552" s="2" t="str">
        <f>HYPERLINK(".\links\REFSEQ-INVERTEBRATE\AGAP004873-PB-REFSEQ-INVERTEBRATE.txt","FH1/FH2 domain-containing protein 3 isoform X4")</f>
        <v>FH1/FH2 domain-containing protein 3 isoform X4</v>
      </c>
      <c r="EU552" s="2" t="str">
        <f>HYPERLINK("http://www.ncbi.nlm.nih.gov/sutils/blink.cgi?pid=XP_035918948.1","0.0")</f>
        <v>0.0</v>
      </c>
      <c r="EV552" s="2" t="str">
        <f>HYPERLINK("http://www.ncbi.nlm.nih.gov/protein/XP_035918948.1","XP_035918948.1")</f>
        <v>XP_035918948.1</v>
      </c>
      <c r="EW552" s="2">
        <v>96</v>
      </c>
      <c r="EX552" s="2">
        <v>97</v>
      </c>
      <c r="EY552" s="2">
        <v>100</v>
      </c>
      <c r="EZ552" s="2" t="s">
        <v>370</v>
      </c>
    </row>
    <row r="553" spans="1:156" x14ac:dyDescent="0.25">
      <c r="A553" s="2" t="s">
        <v>5667</v>
      </c>
      <c r="B553" s="2">
        <v>-0.77577646931890298</v>
      </c>
      <c r="C553" s="2">
        <f t="shared" si="8"/>
        <v>0.58407418655287136</v>
      </c>
      <c r="D553" s="2">
        <v>4.9878743013728002</v>
      </c>
      <c r="E553" s="2">
        <v>9.3875615254795992</v>
      </c>
      <c r="F553" s="2">
        <v>2.1846259161031798E-3</v>
      </c>
      <c r="G553" s="2">
        <v>4.4946739881412998E-2</v>
      </c>
      <c r="H553" s="2" t="s">
        <v>93</v>
      </c>
      <c r="I553" s="2" t="s">
        <v>94</v>
      </c>
      <c r="J553" s="2" t="str">
        <f>HYPERLINK("https://vectorbase.org/vectorbase/app/record/gene/AGAP011571","AGAP011571-RA")</f>
        <v>AGAP011571-RA</v>
      </c>
      <c r="K553" s="2" t="str">
        <f>HYPERLINK(".\links\pep\AGAP011571-PA-pep.txt","AGAP011571-PA")</f>
        <v>AGAP011571-PA</v>
      </c>
      <c r="L553" s="12" t="s">
        <v>95</v>
      </c>
      <c r="M553" s="2">
        <v>115</v>
      </c>
      <c r="N553" s="2">
        <v>0</v>
      </c>
      <c r="O553" s="2">
        <v>0</v>
      </c>
      <c r="P553" s="2" t="s">
        <v>102</v>
      </c>
      <c r="Q553" s="9" t="s">
        <v>226</v>
      </c>
      <c r="R553" s="2" t="s">
        <v>227</v>
      </c>
      <c r="S553" s="2" t="str">
        <f>HYPERLINK(".\links\REFSEQ-INVERTEBRATE\AGAP011571-PA-REFSEQ-INVERTEBRATE.txt","REFSEQ-INVERTEBRATE")</f>
        <v>REFSEQ-INVERTEBRATE</v>
      </c>
      <c r="T553" s="2">
        <v>3.0000000000000001E-61</v>
      </c>
      <c r="V553" s="2" t="s">
        <v>5668</v>
      </c>
      <c r="W553" s="10" t="s">
        <v>226</v>
      </c>
      <c r="X553" s="2" t="s">
        <v>227</v>
      </c>
      <c r="Y553" s="2" t="str">
        <f>HYPERLINK(".\links\REFSEQ-INVERTEBRATE\AGAP011571-PA-REFSEQ-INVERTEBRATE.txt","REFSEQ-INVERTEBRATE")</f>
        <v>REFSEQ-INVERTEBRATE</v>
      </c>
      <c r="Z553" s="15">
        <v>3.9999999999999998E-81</v>
      </c>
      <c r="AA553" s="2">
        <v>100</v>
      </c>
      <c r="AB553" s="13" t="s">
        <v>102</v>
      </c>
      <c r="AC553" s="13" t="str">
        <f>HYPERLINK(".\links\Sigp\AGAP011571-PA-SigP.txt","SIG")</f>
        <v>SIG</v>
      </c>
      <c r="AD553" s="2" t="s">
        <v>4726</v>
      </c>
      <c r="AE553" s="2">
        <v>12.701000000000001</v>
      </c>
      <c r="AF553" s="2">
        <v>9.01</v>
      </c>
      <c r="AG553" s="2">
        <v>9.7720000000000002</v>
      </c>
      <c r="AH553" s="2">
        <v>8.84</v>
      </c>
      <c r="AI553" s="2" t="s">
        <v>5669</v>
      </c>
      <c r="AJ553" s="13" t="str">
        <f>HYPERLINK(".\links\tmhmm\AGAP011571-PA-tmhmm.txt","1")</f>
        <v>1</v>
      </c>
      <c r="AK553" s="2">
        <v>16.5</v>
      </c>
      <c r="AL553" s="2">
        <v>79.099999999999994</v>
      </c>
      <c r="AM553" s="2">
        <v>4.3</v>
      </c>
      <c r="AN553" s="13" t="str">
        <f>HYPERLINK(".\links\gpi\AGAP011571-PA-gpi.txt","N")</f>
        <v>N</v>
      </c>
      <c r="AO553" s="14" t="str">
        <f>HYPERLINK(".\links\netoglyc\AGAP011571-PA-netoglyc.txt","1")</f>
        <v>1</v>
      </c>
      <c r="AP553" s="13">
        <v>18.3</v>
      </c>
      <c r="AQ553" s="2">
        <v>2.6</v>
      </c>
      <c r="AR553" s="2">
        <v>3.5</v>
      </c>
      <c r="AS553" s="2" t="s">
        <v>104</v>
      </c>
      <c r="AT553" s="9" t="str">
        <f>HYPERLINK(".\links\NR-LIGHT\AGAP011571-PA-NR-LIGHT.txt","AGAP011571-PA")</f>
        <v>AGAP011571-PA</v>
      </c>
      <c r="AU553" s="2" t="str">
        <f>HYPERLINK("http://www.ncbi.nlm.nih.gov/sutils/blink.cgi?pid=XP_309936.2","3E-061")</f>
        <v>3E-061</v>
      </c>
      <c r="AV553" s="2" t="str">
        <f>HYPERLINK("http://www.ncbi.nlm.nih.gov/protein/XP_309936.2","XP_309936.2")</f>
        <v>XP_309936.2</v>
      </c>
      <c r="AW553" s="2">
        <v>100</v>
      </c>
      <c r="AX553" s="2">
        <v>100</v>
      </c>
      <c r="AY553" s="2">
        <v>100</v>
      </c>
      <c r="AZ553" s="2" t="s">
        <v>105</v>
      </c>
      <c r="BA553" s="9" t="str">
        <f>HYPERLINK(".\links\REFSEQ-INVERTEBRATE\AGAP011571-PA-REFSEQ-INVERTEBRATE.txt","AGAP011571-PA")</f>
        <v>AGAP011571-PA</v>
      </c>
      <c r="BB553" s="2" t="str">
        <f>HYPERLINK("http://www.ncbi.nlm.nih.gov/sutils/blink.cgi?pid=XP_309936.2","3E-061")</f>
        <v>3E-061</v>
      </c>
      <c r="BC553" s="2" t="str">
        <f>HYPERLINK("http://www.ncbi.nlm.nih.gov/protein/XP_309936.2","XP_309936.2")</f>
        <v>XP_309936.2</v>
      </c>
      <c r="BD553" s="2">
        <v>100</v>
      </c>
      <c r="BE553" s="2">
        <v>100</v>
      </c>
      <c r="BF553" s="2">
        <v>100</v>
      </c>
      <c r="BG553" s="2" t="s">
        <v>105</v>
      </c>
      <c r="BH553" s="9" t="str">
        <f>HYPERLINK(".\links\REFSEQ-PROTOZOA\AGAP011571-PA-REFSEQ-PROTOZOA.txt","predicted protein")</f>
        <v>predicted protein</v>
      </c>
      <c r="BI553" s="2" t="str">
        <f>HYPERLINK("http://www.ncbi.nlm.nih.gov/sutils/blink.cgi?pid=XP_002670743.1","2.8")</f>
        <v>2.8</v>
      </c>
      <c r="BJ553" s="2" t="str">
        <f>HYPERLINK("http://www.ncbi.nlm.nih.gov/protein/XP_002670743.1","XP_002670743.1")</f>
        <v>XP_002670743.1</v>
      </c>
      <c r="BK553" s="2">
        <v>32</v>
      </c>
      <c r="BL553" s="2">
        <v>43</v>
      </c>
      <c r="BM553" s="2">
        <v>1</v>
      </c>
      <c r="BN553" s="2" t="s">
        <v>1212</v>
      </c>
      <c r="BO553" s="9" t="str">
        <f>HYPERLINK(".\links\SWISSP\AGAP011571-PA-SWISSP.txt","Serine/threonine-protein kinase PLK4")</f>
        <v>Serine/threonine-protein kinase PLK4</v>
      </c>
      <c r="BP553" s="2" t="str">
        <f>HYPERLINK("http://www.uniprot.org/uniprot/Q5R9Z7","2.0")</f>
        <v>2.0</v>
      </c>
      <c r="BQ553" s="2" t="str">
        <f>HYPERLINK("http://www.uniprot.org/uniprot/Q5R9Z7#expression","Q5R9Z7")</f>
        <v>Q5R9Z7</v>
      </c>
      <c r="BR553" s="2">
        <v>42</v>
      </c>
      <c r="BS553" s="2">
        <v>50</v>
      </c>
      <c r="BT553" s="2">
        <v>4</v>
      </c>
      <c r="BU553" s="2" t="s">
        <v>363</v>
      </c>
      <c r="BV553" s="9" t="str">
        <f>HYPERLINK(".\links\FLYBASE\AGAP011571-PA-FLYBASE.txt","FBpp0085184")</f>
        <v>FBpp0085184</v>
      </c>
      <c r="BW553" s="2" t="str">
        <f>HYPERLINK("http://flybase.org/reports/FBgn0039863#alliance_summary_container","2.6")</f>
        <v>2.6</v>
      </c>
      <c r="BX553" s="2">
        <v>1121</v>
      </c>
      <c r="BY553" s="2">
        <v>28</v>
      </c>
      <c r="BZ553" s="2">
        <v>40</v>
      </c>
      <c r="CA553" s="2">
        <v>7</v>
      </c>
      <c r="CB553" s="9" t="str">
        <f>HYPERLINK(".\links\CDD\AGAP011571-PA-CDD.txt","dgt, deoxyguanosinetriphosphate triphosphohydrolase")</f>
        <v>dgt, deoxyguanosinetriphosphate triphosphohydrolase</v>
      </c>
      <c r="CC553" s="15">
        <v>1.8</v>
      </c>
      <c r="CD553" s="2">
        <v>4.8</v>
      </c>
      <c r="CE553" s="2" t="s">
        <v>5670</v>
      </c>
      <c r="CF553" s="2" t="s">
        <v>5671</v>
      </c>
      <c r="CG553" s="9" t="str">
        <f>HYPERLINK(".\links\KOG\AGAP011571-PA-KOG.txt","Arylacetamide deacetylase")</f>
        <v>Arylacetamide deacetylase</v>
      </c>
      <c r="CH553" s="15">
        <v>2.2000000000000002</v>
      </c>
      <c r="CI553" s="2">
        <v>7.4</v>
      </c>
      <c r="CJ553" s="2" t="s">
        <v>5672</v>
      </c>
      <c r="CK553" s="2" t="s">
        <v>5156</v>
      </c>
      <c r="CL553" s="9" t="str">
        <f>HYPERLINK(".\links\PFAM\AGAP011571-PA-PFAM.txt","Glyco_hydro_49, Glycosyl hydrolase family 49")</f>
        <v>Glyco_hydro_49, Glycosyl hydrolase family 49</v>
      </c>
      <c r="CM553" s="15">
        <v>0.5</v>
      </c>
      <c r="CN553" s="2">
        <v>4.2</v>
      </c>
      <c r="CO553" s="2" t="s">
        <v>5673</v>
      </c>
      <c r="CP553" s="9" t="str">
        <f>HYPERLINK(".\links\SMART\AGAP011571-PA-SMART.txt","C8, This domain contains 8 conserved cysteine residues")</f>
        <v>C8, This domain contains 8 conserved cysteine residues</v>
      </c>
      <c r="CQ553" s="15">
        <v>2.2999999999999998</v>
      </c>
      <c r="CR553" s="2">
        <v>42.1</v>
      </c>
      <c r="CS553" s="2" t="s">
        <v>5674</v>
      </c>
      <c r="CT553" s="2" t="s">
        <v>5668</v>
      </c>
      <c r="CU553" s="2" t="s">
        <v>5668</v>
      </c>
      <c r="CV553" s="2" t="s">
        <v>5668</v>
      </c>
      <c r="CW553" s="2" t="str">
        <f>HYPERLINK(".\links\pep\AGAP011571-PA-pep.txt","AGAP011571-PA")</f>
        <v>AGAP011571-PA</v>
      </c>
      <c r="CX553" s="2" t="s">
        <v>95</v>
      </c>
      <c r="CY553" s="2">
        <v>115</v>
      </c>
      <c r="CZ553" s="2" t="s">
        <v>113</v>
      </c>
      <c r="DA553" s="2" t="s">
        <v>5675</v>
      </c>
      <c r="DB553" s="2">
        <v>0</v>
      </c>
      <c r="DC553" s="2">
        <v>0</v>
      </c>
      <c r="DD553" s="2" t="str">
        <f>HYPERLINK("https://www.kegg.jp/kegg-bin/search_pathway_text?map=aga&amp;keyword=AGAP011571&amp;mode=1&amp;viewImage=true","AGAP011571")</f>
        <v>AGAP011571</v>
      </c>
      <c r="DE553" s="2" t="s">
        <v>5667</v>
      </c>
      <c r="DF553" s="2" t="s">
        <v>93</v>
      </c>
      <c r="DG553" s="2" t="s">
        <v>94</v>
      </c>
      <c r="DH553" s="2" t="str">
        <f>HYPERLINK("https://vectorbase.org/vectorbase/app/record/gene/AGAP011571","AGAP011571-RA")</f>
        <v>AGAP011571-RA</v>
      </c>
      <c r="DI553" s="2" t="s">
        <v>115</v>
      </c>
      <c r="DJ553" s="2">
        <v>2506</v>
      </c>
      <c r="DK553" s="2" t="str">
        <f>HYPERLINK(".\links\netoglyc\AGAP011571-PA-netoglyc.txt","1")</f>
        <v>1</v>
      </c>
      <c r="DL553" s="2">
        <v>18.3</v>
      </c>
      <c r="DM553" s="2">
        <v>2.6</v>
      </c>
      <c r="DN553" s="2">
        <v>3.5</v>
      </c>
      <c r="DO553" s="2" t="s">
        <v>104</v>
      </c>
      <c r="DP553" s="2" t="s">
        <v>5676</v>
      </c>
      <c r="DQ553" s="2" t="str">
        <f>HYPERLINK(".\links\Sigp\AGAP011571-PA-SigP.txt","SIG")</f>
        <v>SIG</v>
      </c>
      <c r="DR553" s="2" t="s">
        <v>4726</v>
      </c>
      <c r="DS553" s="2">
        <v>12.701000000000001</v>
      </c>
      <c r="DT553" s="2">
        <v>9.01</v>
      </c>
      <c r="DU553" s="2">
        <v>9.7720000000000002</v>
      </c>
      <c r="DV553" s="2">
        <v>8.84</v>
      </c>
      <c r="DW553" s="2" t="s">
        <v>5669</v>
      </c>
      <c r="DX553" s="2">
        <v>115</v>
      </c>
      <c r="DY553" s="12" t="str">
        <f>HYPERLINK(".\links\tmhmm\AGAP011571-PA-tmhmm.txt","1")</f>
        <v>1</v>
      </c>
      <c r="DZ553" s="2">
        <v>16.5</v>
      </c>
      <c r="EA553" s="2">
        <v>79.099999999999994</v>
      </c>
      <c r="EB553" s="2">
        <v>4.3</v>
      </c>
      <c r="EC553" s="2" t="str">
        <f>HYPERLINK(".\links\gpi\AGAP011571-PA-gpi.txt","Y-NoSP")</f>
        <v>Y-NoSP</v>
      </c>
      <c r="ED553" s="2">
        <v>0.37</v>
      </c>
      <c r="EE553" s="2" t="s">
        <v>5677</v>
      </c>
      <c r="EF553" s="2">
        <v>8</v>
      </c>
      <c r="EG553" s="2" t="s">
        <v>102</v>
      </c>
      <c r="EH553" s="2" t="s">
        <v>102</v>
      </c>
      <c r="EI553" s="2">
        <v>18.260869565217401</v>
      </c>
      <c r="EJ553" s="2">
        <v>3.47826086956522</v>
      </c>
      <c r="EK553" s="2">
        <v>2.60869565217391</v>
      </c>
      <c r="EL553" s="2">
        <v>6.0869565217391299</v>
      </c>
      <c r="EM553" s="2" t="s">
        <v>102</v>
      </c>
      <c r="EN553" s="2" t="s">
        <v>102</v>
      </c>
      <c r="EO553" s="2" t="s">
        <v>102</v>
      </c>
      <c r="EP553" s="2" t="s">
        <v>102</v>
      </c>
      <c r="EQ553" s="2" t="s">
        <v>102</v>
      </c>
      <c r="ER553" s="2" t="s">
        <v>102</v>
      </c>
      <c r="ES553" s="2" t="s">
        <v>102</v>
      </c>
      <c r="ET553" s="2" t="str">
        <f>HYPERLINK(".\links\REFSEQ-INVERTEBRATE\AGAP011571-PA-REFSEQ-INVERTEBRATE.txt","AGAP011571-PA")</f>
        <v>AGAP011571-PA</v>
      </c>
      <c r="EU553" s="2" t="str">
        <f>HYPERLINK("http://www.ncbi.nlm.nih.gov/sutils/blink.cgi?pid=XP_309936.2","6E-81")</f>
        <v>6E-81</v>
      </c>
      <c r="EV553" s="2" t="str">
        <f>HYPERLINK("http://www.ncbi.nlm.nih.gov/protein/XP_309936.2","XP_309936.2")</f>
        <v>XP_309936.2</v>
      </c>
      <c r="EW553" s="2">
        <v>100</v>
      </c>
      <c r="EX553" s="2">
        <v>100</v>
      </c>
      <c r="EY553" s="2">
        <v>100</v>
      </c>
      <c r="EZ553" s="2" t="s">
        <v>105</v>
      </c>
    </row>
    <row r="554" spans="1:156" x14ac:dyDescent="0.25">
      <c r="A554" s="2" t="s">
        <v>5678</v>
      </c>
      <c r="B554" s="2">
        <v>-0.77856031155029204</v>
      </c>
      <c r="C554" s="2">
        <f t="shared" si="8"/>
        <v>0.58294823643660743</v>
      </c>
      <c r="D554" s="2">
        <v>6.0941878961801699</v>
      </c>
      <c r="E554" s="2">
        <v>20.785987811099201</v>
      </c>
      <c r="F554" s="2">
        <v>5.1357347715586003E-6</v>
      </c>
      <c r="G554" s="2">
        <v>2.87026010372239E-3</v>
      </c>
      <c r="H554" s="2" t="s">
        <v>93</v>
      </c>
      <c r="I554" s="2" t="s">
        <v>94</v>
      </c>
      <c r="J554" s="2" t="str">
        <f>HYPERLINK("https://vectorbase.org/vectorbase/app/record/gene/AGAP006776","AGAP006776-RB")</f>
        <v>AGAP006776-RB</v>
      </c>
      <c r="K554" s="2" t="str">
        <f>HYPERLINK(".\links\pep\AGAP006776-PB-pep.txt","AGAP006776-PB")</f>
        <v>AGAP006776-PB</v>
      </c>
      <c r="L554" s="12" t="s">
        <v>95</v>
      </c>
      <c r="M554" s="2">
        <v>4445</v>
      </c>
      <c r="N554" s="2">
        <v>0</v>
      </c>
      <c r="O554" s="2">
        <v>5</v>
      </c>
      <c r="P554" s="2" t="s">
        <v>102</v>
      </c>
      <c r="Q554" s="9" t="s">
        <v>5679</v>
      </c>
      <c r="R554" s="2" t="s">
        <v>196</v>
      </c>
      <c r="S554" s="2" t="str">
        <f>HYPERLINK(".\links\KOG\AGAP006776-PB-KOG.txt","KOG")</f>
        <v>KOG</v>
      </c>
      <c r="T554" s="2">
        <v>0</v>
      </c>
      <c r="U554" s="2">
        <v>98.9</v>
      </c>
      <c r="V554" s="2" t="s">
        <v>5680</v>
      </c>
      <c r="W554" s="10" t="s">
        <v>5681</v>
      </c>
      <c r="X554" s="2" t="s">
        <v>822</v>
      </c>
      <c r="Y554" s="2" t="str">
        <f>HYPERLINK(".\links\EC\AGAP006776-PB-EC.txt","EC")</f>
        <v>EC</v>
      </c>
      <c r="Z554" s="2">
        <v>0</v>
      </c>
      <c r="AA554" s="2">
        <v>67.599999999999994</v>
      </c>
      <c r="AB554" s="13" t="str">
        <f>HYPERLINK(".\links\pep\AGAP006776-PB-sulf.txt","1")</f>
        <v>1</v>
      </c>
      <c r="AC554" s="13" t="str">
        <f>HYPERLINK(".\links\Sigp\AGAP006776-PB-SigP.txt","CYT")</f>
        <v>CYT</v>
      </c>
      <c r="AD554" s="2" t="s">
        <v>102</v>
      </c>
      <c r="AE554" s="2">
        <v>458.43099999999998</v>
      </c>
      <c r="AF554" s="2">
        <v>8.73</v>
      </c>
      <c r="AG554" s="2" t="s">
        <v>102</v>
      </c>
      <c r="AH554" s="2" t="s">
        <v>102</v>
      </c>
      <c r="AI554" s="2" t="s">
        <v>5682</v>
      </c>
      <c r="AJ554" s="13">
        <v>0</v>
      </c>
      <c r="AK554" s="2" t="s">
        <v>102</v>
      </c>
      <c r="AL554" s="2" t="s">
        <v>102</v>
      </c>
      <c r="AM554" s="2" t="s">
        <v>102</v>
      </c>
      <c r="AN554" s="13" t="str">
        <f>HYPERLINK(".\links\gpi\AGAP006776-PB-gpi.txt","N")</f>
        <v>N</v>
      </c>
      <c r="AO554" s="14" t="str">
        <f>HYPERLINK(".\links\netoglyc\AGAP006776-PB-netoglyc.txt","34")</f>
        <v>34</v>
      </c>
      <c r="AP554" s="13">
        <v>20</v>
      </c>
      <c r="AQ554" s="2">
        <v>10</v>
      </c>
      <c r="AR554" s="2">
        <v>6.2</v>
      </c>
      <c r="AS554" s="2">
        <v>0.1</v>
      </c>
      <c r="AT554" s="9" t="str">
        <f>HYPERLINK(".\links\NR-LIGHT\AGAP006776-PB-NR-LIGHT.txt","AGAP006776-PA")</f>
        <v>AGAP006776-PA</v>
      </c>
      <c r="AU554" s="2" t="str">
        <f>HYPERLINK("http://www.ncbi.nlm.nih.gov/sutils/blink.cgi?pid=XP_001237160.2","0.0")</f>
        <v>0.0</v>
      </c>
      <c r="AV554" s="2" t="str">
        <f>HYPERLINK("http://www.ncbi.nlm.nih.gov/protein/XP_001237160.2","XP_001237160.2")</f>
        <v>XP_001237160.2</v>
      </c>
      <c r="AW554" s="2">
        <v>99</v>
      </c>
      <c r="AX554" s="2">
        <v>99</v>
      </c>
      <c r="AY554" s="2">
        <v>101</v>
      </c>
      <c r="AZ554" s="2" t="s">
        <v>105</v>
      </c>
      <c r="BA554" s="9" t="str">
        <f>HYPERLINK(".\links\REFSEQ-INVERTEBRATE\AGAP006776-PB-REFSEQ-INVERTEBRATE.txt","AGAP006776-PA")</f>
        <v>AGAP006776-PA</v>
      </c>
      <c r="BB554" s="2" t="str">
        <f>HYPERLINK("http://www.ncbi.nlm.nih.gov/sutils/blink.cgi?pid=XP_001237160.2","0.0")</f>
        <v>0.0</v>
      </c>
      <c r="BC554" s="2" t="str">
        <f>HYPERLINK("http://www.ncbi.nlm.nih.gov/protein/XP_001237160.2","XP_001237160.2")</f>
        <v>XP_001237160.2</v>
      </c>
      <c r="BD554" s="2">
        <v>99</v>
      </c>
      <c r="BE554" s="2">
        <v>99</v>
      </c>
      <c r="BF554" s="2">
        <v>101</v>
      </c>
      <c r="BG554" s="2" t="s">
        <v>105</v>
      </c>
      <c r="BH554" s="9" t="str">
        <f>HYPERLINK(".\links\REFSEQ-PROTOZOA\AGAP006776-PB-REFSEQ-PROTOZOA.txt","proteophosphoglycan 5")</f>
        <v>proteophosphoglycan 5</v>
      </c>
      <c r="BI554" s="2" t="str">
        <f>HYPERLINK("http://www.ncbi.nlm.nih.gov/sutils/blink.cgi?pid=XP_003722449.1","1E-154")</f>
        <v>1E-154</v>
      </c>
      <c r="BJ554" s="2" t="str">
        <f>HYPERLINK("http://www.ncbi.nlm.nih.gov/protein/XP_003722449.1","XP_003722449.1")</f>
        <v>XP_003722449.1</v>
      </c>
      <c r="BK554" s="2">
        <v>18</v>
      </c>
      <c r="BL554" s="2">
        <v>36</v>
      </c>
      <c r="BM554" s="2">
        <v>22</v>
      </c>
      <c r="BN554" s="2" t="s">
        <v>3969</v>
      </c>
      <c r="BO554" s="9" t="str">
        <f>HYPERLINK(".\links\SWISSP\AGAP006776-PB-SWISSP.txt","PHD finger protein rhinoceros")</f>
        <v>PHD finger protein rhinoceros</v>
      </c>
      <c r="BP554" s="2" t="str">
        <f>HYPERLINK("http://www.uniprot.org/uniprot/Q7YZH1","0.0")</f>
        <v>0.0</v>
      </c>
      <c r="BQ554" s="2" t="str">
        <f>HYPERLINK("http://www.uniprot.org/uniprot/Q7YZH1#expression","Q7YZH1")</f>
        <v>Q7YZH1</v>
      </c>
      <c r="BR554" s="2">
        <v>34</v>
      </c>
      <c r="BS554" s="2">
        <v>47</v>
      </c>
      <c r="BT554" s="2">
        <v>65</v>
      </c>
      <c r="BU554" s="2" t="s">
        <v>107</v>
      </c>
      <c r="BV554" s="9" t="str">
        <f>HYPERLINK(".\links\FLYBASE\AGAP006776-PB-FLYBASE.txt","FBpp0294000")</f>
        <v>FBpp0294000</v>
      </c>
      <c r="BW554" s="2" t="str">
        <f>HYPERLINK("http://flybase.org/reports/FBgn0035106#alliance_summary_container","0.0")</f>
        <v>0.0</v>
      </c>
      <c r="BX554" s="2">
        <v>3241</v>
      </c>
      <c r="BY554" s="2">
        <v>65</v>
      </c>
      <c r="BZ554" s="2">
        <v>75</v>
      </c>
      <c r="CA554" s="2">
        <v>18</v>
      </c>
      <c r="CB554" s="9" t="str">
        <f>HYPERLINK(".\links\CDD\AGAP006776-PB-CDD.txt","ePHD_JADE, Extended PHD finger found in protein Jade-1, Jade-2, Jade-3 and similar proteins")</f>
        <v>ePHD_JADE, Extended PHD finger found in protein Jade-1, Jade-2, Jade-3 and similar proteins</v>
      </c>
      <c r="CC554" s="15">
        <v>9.9999999999999992E-66</v>
      </c>
      <c r="CD554" s="2">
        <v>101.8</v>
      </c>
      <c r="CE554" s="2" t="s">
        <v>5683</v>
      </c>
      <c r="CF554" s="2" t="s">
        <v>5684</v>
      </c>
      <c r="CG554" s="9" t="str">
        <f>HYPERLINK(".\links\KOG\AGAP006776-PB-KOG.txt","PHD finger protein")</f>
        <v>PHD finger protein</v>
      </c>
      <c r="CH554" s="15">
        <v>1E-174</v>
      </c>
      <c r="CI554" s="2">
        <v>99</v>
      </c>
      <c r="CJ554" s="2" t="s">
        <v>5685</v>
      </c>
      <c r="CK554" s="2" t="s">
        <v>191</v>
      </c>
      <c r="CL554" s="9" t="str">
        <f>HYPERLINK(".\links\PFAM\AGAP006776-PB-PFAM.txt","zf-HC5HC2H_2, PHD-zinc-finger like domain")</f>
        <v>zf-HC5HC2H_2, PHD-zinc-finger like domain</v>
      </c>
      <c r="CM554" s="15">
        <v>2.0000000000000001E-42</v>
      </c>
      <c r="CN554" s="2">
        <v>105.5</v>
      </c>
      <c r="CO554" s="2" t="s">
        <v>5686</v>
      </c>
      <c r="CP554" s="9" t="str">
        <f>HYPERLINK(".\links\SMART\AGAP006776-PB-SMART.txt","PHD, PHD zinc finger")</f>
        <v>PHD, PHD zinc finger</v>
      </c>
      <c r="CQ554" s="15">
        <v>7.0000000000000005E-13</v>
      </c>
      <c r="CR554" s="2">
        <v>104.3</v>
      </c>
      <c r="CS554" s="2" t="s">
        <v>206</v>
      </c>
      <c r="CT554" s="2" t="s">
        <v>5680</v>
      </c>
      <c r="CU554" s="2" t="s">
        <v>5680</v>
      </c>
      <c r="CV554" s="2" t="s">
        <v>5680</v>
      </c>
      <c r="CW554" s="2" t="str">
        <f>HYPERLINK(".\links\pep\AGAP006776-PB-pep.txt","AGAP006776-PB")</f>
        <v>AGAP006776-PB</v>
      </c>
      <c r="CX554" s="2" t="s">
        <v>95</v>
      </c>
      <c r="CY554" s="2">
        <v>4445</v>
      </c>
      <c r="CZ554" s="2" t="s">
        <v>113</v>
      </c>
      <c r="DA554" s="2" t="s">
        <v>5687</v>
      </c>
      <c r="DB554" s="2">
        <v>0</v>
      </c>
      <c r="DC554" s="2">
        <v>5</v>
      </c>
      <c r="DD554" s="2" t="str">
        <f>HYPERLINK("https://www.kegg.jp/kegg-bin/search_pathway_text?map=aga&amp;keyword=AGAP006776&amp;mode=1&amp;viewImage=true","AGAP006776")</f>
        <v>AGAP006776</v>
      </c>
      <c r="DE554" s="2" t="s">
        <v>5678</v>
      </c>
      <c r="DF554" s="2" t="s">
        <v>93</v>
      </c>
      <c r="DG554" s="2" t="s">
        <v>94</v>
      </c>
      <c r="DH554" s="2" t="str">
        <f>HYPERLINK("https://vectorbase.org/vectorbase/app/record/gene/AGAP006776","AGAP006776-RB")</f>
        <v>AGAP006776-RB</v>
      </c>
      <c r="DI554" s="2" t="s">
        <v>135</v>
      </c>
      <c r="DJ554" s="2">
        <v>18438</v>
      </c>
      <c r="DK554" s="2" t="str">
        <f>HYPERLINK(".\links\netoglyc\AGAP006776-PB-netoglyc.txt","34")</f>
        <v>34</v>
      </c>
      <c r="DL554" s="2">
        <v>20</v>
      </c>
      <c r="DM554" s="2">
        <v>10</v>
      </c>
      <c r="DN554" s="2">
        <v>6.2</v>
      </c>
      <c r="DO554" s="2">
        <v>0.1</v>
      </c>
      <c r="DP554" s="2" t="s">
        <v>102</v>
      </c>
      <c r="DQ554" s="2" t="str">
        <f>HYPERLINK(".\links\Sigp\AGAP006776-PB-SigP.txt","CYT")</f>
        <v>CYT</v>
      </c>
      <c r="DR554" s="2" t="s">
        <v>102</v>
      </c>
      <c r="DS554" s="2">
        <v>458.43099999999998</v>
      </c>
      <c r="DT554" s="2">
        <v>8.73</v>
      </c>
      <c r="DU554" s="2" t="s">
        <v>102</v>
      </c>
      <c r="DV554" s="2" t="s">
        <v>102</v>
      </c>
      <c r="DW554" s="2" t="s">
        <v>5682</v>
      </c>
      <c r="DX554" s="2">
        <v>4445</v>
      </c>
      <c r="DY554" s="12">
        <v>0</v>
      </c>
      <c r="DZ554" s="2" t="s">
        <v>102</v>
      </c>
      <c r="EA554" s="2" t="s">
        <v>102</v>
      </c>
      <c r="EB554" s="2" t="s">
        <v>102</v>
      </c>
      <c r="EC554" s="2" t="str">
        <f>HYPERLINK(".\links\gpi\AGAP006776-PB-gpi.txt","Y-NoSP")</f>
        <v>Y-NoSP</v>
      </c>
      <c r="ED554" s="2">
        <v>0.35</v>
      </c>
      <c r="EF554" s="2">
        <v>34</v>
      </c>
      <c r="EG554" s="2" t="str">
        <f>HYPERLINK(".\links\pep\AGAP006776-PB-sulf.txt","1")</f>
        <v>1</v>
      </c>
      <c r="EH554" s="2" t="s">
        <v>102</v>
      </c>
      <c r="EI554" s="2">
        <v>20</v>
      </c>
      <c r="EJ554" s="2">
        <v>6.2092238470191203</v>
      </c>
      <c r="EK554" s="2">
        <v>9.9887514060742397</v>
      </c>
      <c r="EL554" s="2">
        <v>16.1979752530934</v>
      </c>
      <c r="EM554" s="2">
        <v>11</v>
      </c>
      <c r="EN554" s="2">
        <v>7</v>
      </c>
      <c r="EO554" s="2">
        <v>7</v>
      </c>
      <c r="EP554" s="2" t="s">
        <v>102</v>
      </c>
      <c r="EQ554" s="2" t="s">
        <v>102</v>
      </c>
      <c r="ER554" s="2" t="s">
        <v>102</v>
      </c>
      <c r="ES554" s="2" t="s">
        <v>102</v>
      </c>
      <c r="ET554" s="2" t="str">
        <f>HYPERLINK(".\links\REFSEQ-INVERTEBRATE\AGAP006776-PB-REFSEQ-INVERTEBRATE.txt","AGAP006776-PA")</f>
        <v>AGAP006776-PA</v>
      </c>
      <c r="EU554" s="2" t="str">
        <f>HYPERLINK("http://www.ncbi.nlm.nih.gov/sutils/blink.cgi?pid=XP_001237160.2","0.0")</f>
        <v>0.0</v>
      </c>
      <c r="EV554" s="2" t="str">
        <f>HYPERLINK("http://www.ncbi.nlm.nih.gov/protein/XP_001237160.2","XP_001237160.2")</f>
        <v>XP_001237160.2</v>
      </c>
      <c r="EW554" s="2">
        <v>99</v>
      </c>
      <c r="EX554" s="2">
        <v>99</v>
      </c>
      <c r="EY554" s="2">
        <v>101</v>
      </c>
      <c r="EZ554" s="2" t="s">
        <v>105</v>
      </c>
    </row>
    <row r="555" spans="1:156" x14ac:dyDescent="0.25">
      <c r="A555" s="2" t="s">
        <v>5688</v>
      </c>
      <c r="B555" s="2">
        <v>-0.80266275614472804</v>
      </c>
      <c r="C555" s="2">
        <f t="shared" si="8"/>
        <v>0.57329008927978942</v>
      </c>
      <c r="D555" s="2">
        <v>7.6166206037814401</v>
      </c>
      <c r="E555" s="2">
        <v>29.370614687804</v>
      </c>
      <c r="F555" s="2">
        <v>5.9777225306251898E-8</v>
      </c>
      <c r="G555" s="2">
        <v>1.17820911078622E-4</v>
      </c>
      <c r="H555" s="2" t="s">
        <v>549</v>
      </c>
      <c r="I555" s="2" t="s">
        <v>88</v>
      </c>
      <c r="J555" s="8" t="s">
        <v>5689</v>
      </c>
      <c r="Q555" s="9"/>
      <c r="W555" s="10"/>
      <c r="AB555" s="9"/>
      <c r="AC555" s="9"/>
      <c r="AJ555" s="9"/>
      <c r="AN555" s="9"/>
      <c r="AO555" s="11"/>
      <c r="AP555" s="9"/>
      <c r="AT555" s="9"/>
      <c r="BA555" s="9"/>
      <c r="BH555" s="9"/>
      <c r="BO555" s="9"/>
      <c r="BV555" s="9"/>
      <c r="CB555" s="9"/>
      <c r="CG555" s="9"/>
      <c r="CL555" s="9"/>
      <c r="CP555" s="9"/>
      <c r="DE555" s="2" t="s">
        <v>5688</v>
      </c>
      <c r="DF555" s="2" t="s">
        <v>549</v>
      </c>
      <c r="DG555" s="2" t="s">
        <v>88</v>
      </c>
      <c r="DH555" s="8" t="s">
        <v>5689</v>
      </c>
      <c r="DI555" s="2" t="s">
        <v>135</v>
      </c>
      <c r="DJ555" s="2">
        <v>5410</v>
      </c>
      <c r="DQ555" s="2" t="s">
        <v>141</v>
      </c>
      <c r="DS555" s="2">
        <v>136753</v>
      </c>
      <c r="DT555" s="2">
        <v>9.06</v>
      </c>
      <c r="DX555" s="2">
        <v>1272</v>
      </c>
      <c r="DY555" s="12"/>
    </row>
    <row r="556" spans="1:156" x14ac:dyDescent="0.25">
      <c r="A556" s="2" t="s">
        <v>5690</v>
      </c>
      <c r="B556" s="2">
        <v>-0.80989975664621305</v>
      </c>
      <c r="C556" s="2">
        <f t="shared" si="8"/>
        <v>0.570421491380803</v>
      </c>
      <c r="D556" s="2">
        <v>6.7330858735080001</v>
      </c>
      <c r="E556" s="2">
        <v>25.6831954754233</v>
      </c>
      <c r="F556" s="2">
        <v>4.0231510435653098E-7</v>
      </c>
      <c r="G556" s="2">
        <v>4.4142429629731198E-4</v>
      </c>
      <c r="H556" s="2" t="s">
        <v>5691</v>
      </c>
      <c r="I556" s="2" t="s">
        <v>102</v>
      </c>
      <c r="J556" s="2" t="str">
        <f>HYPERLINK("https://vectorbase.org/vectorbase/app/record/gene/AGAP001606","AGAP001606-RA")</f>
        <v>AGAP001606-RA</v>
      </c>
      <c r="K556" s="2" t="str">
        <f>HYPERLINK(".\links\pep\AGAP001606-PA-pep.txt","AGAP001606-PA")</f>
        <v>AGAP001606-PA</v>
      </c>
      <c r="L556" s="12" t="s">
        <v>95</v>
      </c>
      <c r="M556" s="2">
        <v>1344</v>
      </c>
      <c r="N556" s="2">
        <v>0</v>
      </c>
      <c r="O556" s="2">
        <v>5</v>
      </c>
      <c r="P556" s="2" t="s">
        <v>5692</v>
      </c>
      <c r="Q556" s="9" t="s">
        <v>5693</v>
      </c>
      <c r="R556" s="2" t="s">
        <v>1558</v>
      </c>
      <c r="S556" s="2" t="str">
        <f>HYPERLINK(".\links\KOG\AGAP001606-PA-KOG.txt","KOG")</f>
        <v>KOG</v>
      </c>
      <c r="T556" s="2">
        <v>0</v>
      </c>
      <c r="U556" s="2">
        <v>104.2</v>
      </c>
      <c r="V556" s="2" t="s">
        <v>5694</v>
      </c>
      <c r="W556" s="10" t="s">
        <v>183</v>
      </c>
      <c r="X556" s="2" t="s">
        <v>1558</v>
      </c>
      <c r="Y556" s="2" t="str">
        <f>HYPERLINK(".\links\COG\AGAP001606-PA-COG.txt","COG")</f>
        <v>COG</v>
      </c>
      <c r="Z556" s="15">
        <v>3.0000000000000002E-90</v>
      </c>
      <c r="AA556" s="2">
        <v>112.4</v>
      </c>
      <c r="AB556" s="13" t="str">
        <f>HYPERLINK(".\links\pep\AGAP001606-PA-sulf.txt","3")</f>
        <v>3</v>
      </c>
      <c r="AC556" s="13" t="str">
        <f>HYPERLINK(".\links\Sigp\AGAP001606-PA-SigP.txt","CYT")</f>
        <v>CYT</v>
      </c>
      <c r="AD556" s="2" t="s">
        <v>102</v>
      </c>
      <c r="AE556" s="2">
        <v>144.04900000000001</v>
      </c>
      <c r="AF556" s="2">
        <v>5.69</v>
      </c>
      <c r="AG556" s="2" t="s">
        <v>102</v>
      </c>
      <c r="AH556" s="2" t="s">
        <v>102</v>
      </c>
      <c r="AI556" s="2" t="s">
        <v>555</v>
      </c>
      <c r="AJ556" s="13">
        <v>0</v>
      </c>
      <c r="AK556" s="2" t="s">
        <v>102</v>
      </c>
      <c r="AL556" s="2" t="s">
        <v>102</v>
      </c>
      <c r="AM556" s="2" t="s">
        <v>102</v>
      </c>
      <c r="AN556" s="13" t="str">
        <f>HYPERLINK(".\links\gpi\AGAP001606-PA-gpi.txt","N")</f>
        <v>N</v>
      </c>
      <c r="AO556" s="14" t="str">
        <f>HYPERLINK(".\links\netoglyc\AGAP001606-PA-netoglyc.txt","2")</f>
        <v>2</v>
      </c>
      <c r="AP556" s="13">
        <v>10.6</v>
      </c>
      <c r="AQ556" s="2">
        <v>11.8</v>
      </c>
      <c r="AR556" s="2">
        <v>5.9</v>
      </c>
      <c r="AS556" s="2">
        <v>0.2</v>
      </c>
      <c r="AT556" s="9" t="str">
        <f>HYPERLINK(".\links\NR-LIGHT\AGAP001606-PA-NR-LIGHT.txt","AGAP001606-PA")</f>
        <v>AGAP001606-PA</v>
      </c>
      <c r="AU556" s="2" t="str">
        <f>HYPERLINK("http://www.ncbi.nlm.nih.gov/sutils/blink.cgi?pid=XP_321495.3","0.0")</f>
        <v>0.0</v>
      </c>
      <c r="AV556" s="2" t="str">
        <f>HYPERLINK("http://www.ncbi.nlm.nih.gov/protein/XP_321495.3","XP_321495.3")</f>
        <v>XP_321495.3</v>
      </c>
      <c r="AW556" s="2">
        <v>100</v>
      </c>
      <c r="AX556" s="2">
        <v>100</v>
      </c>
      <c r="AY556" s="2">
        <v>100</v>
      </c>
      <c r="AZ556" s="2" t="s">
        <v>105</v>
      </c>
      <c r="BA556" s="9" t="str">
        <f>HYPERLINK(".\links\REFSEQ-INVERTEBRATE\AGAP001606-PA-REFSEQ-INVERTEBRATE.txt","AGAP001606-PA")</f>
        <v>AGAP001606-PA</v>
      </c>
      <c r="BB556" s="2" t="str">
        <f>HYPERLINK("http://www.ncbi.nlm.nih.gov/sutils/blink.cgi?pid=XP_321495.3","0.0")</f>
        <v>0.0</v>
      </c>
      <c r="BC556" s="2" t="str">
        <f>HYPERLINK("http://www.ncbi.nlm.nih.gov/protein/XP_321495.3","XP_321495.3")</f>
        <v>XP_321495.3</v>
      </c>
      <c r="BD556" s="2">
        <v>100</v>
      </c>
      <c r="BE556" s="2">
        <v>100</v>
      </c>
      <c r="BF556" s="2">
        <v>100</v>
      </c>
      <c r="BG556" s="2" t="s">
        <v>105</v>
      </c>
      <c r="BH556" s="9" t="str">
        <f>HYPERLINK(".\links\REFSEQ-PROTOZOA\AGAP001606-PA-REFSEQ-PROTOZOA.txt","5-oxoprolinase")</f>
        <v>5-oxoprolinase</v>
      </c>
      <c r="BI556" s="2" t="str">
        <f>HYPERLINK("http://www.ncbi.nlm.nih.gov/sutils/blink.cgi?pid=XP_004347045.1","0.0")</f>
        <v>0.0</v>
      </c>
      <c r="BJ556" s="2" t="str">
        <f>HYPERLINK("http://www.ncbi.nlm.nih.gov/protein/XP_004347045.1","XP_004347045.1")</f>
        <v>XP_004347045.1</v>
      </c>
      <c r="BK556" s="2">
        <v>58</v>
      </c>
      <c r="BL556" s="2">
        <v>69</v>
      </c>
      <c r="BM556" s="2">
        <v>103</v>
      </c>
      <c r="BN556" s="2" t="s">
        <v>106</v>
      </c>
      <c r="BO556" s="9" t="str">
        <f>HYPERLINK(".\links\SWISSP\AGAP001606-PA-SWISSP.txt","5-oxoprolinase")</f>
        <v>5-oxoprolinase</v>
      </c>
      <c r="BP556" s="2" t="str">
        <f>HYPERLINK("http://www.uniprot.org/uniprot/O14841","0.0")</f>
        <v>0.0</v>
      </c>
      <c r="BQ556" s="2" t="str">
        <f>HYPERLINK("http://www.uniprot.org/uniprot/O14841#expression","O14841")</f>
        <v>O14841</v>
      </c>
      <c r="BR556" s="2">
        <v>63</v>
      </c>
      <c r="BS556" s="2">
        <v>73</v>
      </c>
      <c r="BT556" s="2">
        <v>104</v>
      </c>
      <c r="BU556" s="2" t="s">
        <v>127</v>
      </c>
      <c r="BV556" s="9" t="str">
        <f>HYPERLINK(".\links\FLYBASE\AGAP001606-PA-FLYBASE.txt","FBpp0071743")</f>
        <v>FBpp0071743</v>
      </c>
      <c r="BW556" s="2" t="str">
        <f>HYPERLINK("http://flybase.org/reports/FBgn0034733#alliance_summary_container","0.0")</f>
        <v>0.0</v>
      </c>
      <c r="BX556" s="2">
        <v>1294</v>
      </c>
      <c r="BY556" s="2">
        <v>68</v>
      </c>
      <c r="BZ556" s="2">
        <v>78</v>
      </c>
      <c r="CA556" s="2">
        <v>104</v>
      </c>
      <c r="CB556" s="9" t="str">
        <f>HYPERLINK(".\links\CDD\AGAP001606-PA-CDD.txt","PLN02666, 5-oxoprolinase")</f>
        <v>PLN02666, 5-oxoprolinase</v>
      </c>
      <c r="CC556" s="15">
        <v>0</v>
      </c>
      <c r="CD556" s="2">
        <v>102.7</v>
      </c>
      <c r="CE556" s="2" t="s">
        <v>5695</v>
      </c>
      <c r="CF556" s="2" t="s">
        <v>5696</v>
      </c>
      <c r="CG556" s="9" t="str">
        <f>HYPERLINK(".\links\KOG\AGAP001606-PA-KOG.txt","Oxoprolinase")</f>
        <v>Oxoprolinase</v>
      </c>
      <c r="CH556" s="15">
        <v>0</v>
      </c>
      <c r="CI556" s="2">
        <v>104.3</v>
      </c>
      <c r="CJ556" s="2" t="s">
        <v>511</v>
      </c>
      <c r="CK556" s="2" t="s">
        <v>267</v>
      </c>
      <c r="CL556" s="9" t="str">
        <f>HYPERLINK(".\links\PFAM\AGAP001606-PA-PFAM.txt","Hydantoinase_B, Hydantoinase B/oxoprolinase")</f>
        <v>Hydantoinase_B, Hydantoinase B/oxoprolinase</v>
      </c>
      <c r="CM556" s="15">
        <v>0</v>
      </c>
      <c r="CN556" s="2">
        <v>105.6</v>
      </c>
      <c r="CO556" s="2" t="s">
        <v>5697</v>
      </c>
      <c r="CP556" s="9" t="str">
        <f>HYPERLINK(".\links\SMART\AGAP001606-PA-SMART.txt","PHB, prohibitin homologues")</f>
        <v>PHB, prohibitin homologues</v>
      </c>
      <c r="CQ556" s="15">
        <v>0.22</v>
      </c>
      <c r="CR556" s="2">
        <v>26.9</v>
      </c>
      <c r="CS556" s="2" t="s">
        <v>4010</v>
      </c>
      <c r="CT556" s="2" t="s">
        <v>5694</v>
      </c>
      <c r="CU556" s="2" t="s">
        <v>5694</v>
      </c>
      <c r="CV556" s="2" t="s">
        <v>5694</v>
      </c>
      <c r="CW556" s="2" t="str">
        <f>HYPERLINK(".\links\pep\AGAP001606-PA-pep.txt","AGAP001606-PA")</f>
        <v>AGAP001606-PA</v>
      </c>
      <c r="CX556" s="2" t="s">
        <v>95</v>
      </c>
      <c r="CY556" s="2">
        <v>1344</v>
      </c>
      <c r="CZ556" s="2" t="s">
        <v>113</v>
      </c>
      <c r="DA556" s="2">
        <v>0</v>
      </c>
      <c r="DB556" s="2">
        <v>5</v>
      </c>
      <c r="DD556" s="2" t="str">
        <f>HYPERLINK("https://www.kegg.jp/kegg-bin/search_pathway_text?map=aga&amp;keyword=AGAP001606&amp;mode=1&amp;viewImage=true","AGAP001606")</f>
        <v>AGAP001606</v>
      </c>
      <c r="DE556" s="2" t="s">
        <v>5690</v>
      </c>
      <c r="DF556" s="2" t="s">
        <v>5691</v>
      </c>
      <c r="DG556" s="2" t="s">
        <v>102</v>
      </c>
      <c r="DH556" s="2" t="str">
        <f>HYPERLINK("https://vectorbase.org/vectorbase/app/record/gene/AGAP001606","AGAP001606-RA")</f>
        <v>AGAP001606-RA</v>
      </c>
      <c r="DI556" s="2" t="s">
        <v>135</v>
      </c>
      <c r="DJ556" s="2">
        <v>6016</v>
      </c>
      <c r="DK556" s="2" t="str">
        <f>HYPERLINK(".\links\netoglyc\AGAP001606-PA-netoglyc.txt","2")</f>
        <v>2</v>
      </c>
      <c r="DL556" s="2">
        <v>10.6</v>
      </c>
      <c r="DM556" s="2">
        <v>11.8</v>
      </c>
      <c r="DN556" s="2">
        <v>5.9</v>
      </c>
      <c r="DO556" s="2">
        <v>0.2</v>
      </c>
      <c r="DP556" s="2" t="s">
        <v>102</v>
      </c>
      <c r="DQ556" s="2" t="str">
        <f>HYPERLINK(".\links\Sigp\AGAP001606-PA-SigP.txt","CYT")</f>
        <v>CYT</v>
      </c>
      <c r="DR556" s="2" t="s">
        <v>102</v>
      </c>
      <c r="DS556" s="2">
        <v>144.04900000000001</v>
      </c>
      <c r="DT556" s="2">
        <v>5.69</v>
      </c>
      <c r="DU556" s="2" t="s">
        <v>102</v>
      </c>
      <c r="DV556" s="2" t="s">
        <v>102</v>
      </c>
      <c r="DW556" s="2" t="s">
        <v>555</v>
      </c>
      <c r="DX556" s="2">
        <v>1344</v>
      </c>
      <c r="DY556" s="12">
        <v>0</v>
      </c>
      <c r="DZ556" s="2" t="s">
        <v>102</v>
      </c>
      <c r="EA556" s="2" t="s">
        <v>102</v>
      </c>
      <c r="EB556" s="2" t="s">
        <v>102</v>
      </c>
      <c r="EC556" s="2" t="str">
        <f>HYPERLINK(".\links\gpi\AGAP001606-PA-gpi.txt","Y-NoSP")</f>
        <v>Y-NoSP</v>
      </c>
      <c r="ED556" s="2">
        <v>0.24</v>
      </c>
      <c r="EF556" s="2">
        <v>25</v>
      </c>
      <c r="EG556" s="2" t="str">
        <f>HYPERLINK(".\links\pep\AGAP001606-PA-sulf.txt","3")</f>
        <v>3</v>
      </c>
      <c r="EH556" s="2" t="s">
        <v>102</v>
      </c>
      <c r="EI556" s="2">
        <v>10.639880952381001</v>
      </c>
      <c r="EJ556" s="2">
        <v>5.8779761904761898</v>
      </c>
      <c r="EK556" s="2">
        <v>11.755952380952399</v>
      </c>
      <c r="EL556" s="2">
        <v>17.633928571428601</v>
      </c>
      <c r="EM556" s="2">
        <v>6</v>
      </c>
      <c r="EN556" s="2">
        <v>2</v>
      </c>
      <c r="EO556" s="2">
        <v>9</v>
      </c>
      <c r="EP556" s="2" t="s">
        <v>102</v>
      </c>
      <c r="EQ556" s="2" t="s">
        <v>102</v>
      </c>
      <c r="ER556" s="2" t="s">
        <v>102</v>
      </c>
      <c r="ES556" s="2" t="s">
        <v>102</v>
      </c>
      <c r="ET556" s="2" t="str">
        <f>HYPERLINK(".\links\REFSEQ-INVERTEBRATE\AGAP001606-PA-REFSEQ-INVERTEBRATE.txt","AGAP001606-PA")</f>
        <v>AGAP001606-PA</v>
      </c>
      <c r="EU556" s="2" t="str">
        <f>HYPERLINK("http://www.ncbi.nlm.nih.gov/sutils/blink.cgi?pid=XP_321495.3","0.0")</f>
        <v>0.0</v>
      </c>
      <c r="EV556" s="2" t="str">
        <f>HYPERLINK("http://www.ncbi.nlm.nih.gov/protein/XP_321495.3","XP_321495.3")</f>
        <v>XP_321495.3</v>
      </c>
      <c r="EW556" s="2">
        <v>100</v>
      </c>
      <c r="EX556" s="2">
        <v>100</v>
      </c>
      <c r="EY556" s="2">
        <v>100</v>
      </c>
      <c r="EZ556" s="2" t="s">
        <v>105</v>
      </c>
    </row>
    <row r="557" spans="1:156" x14ac:dyDescent="0.25">
      <c r="A557" s="2" t="s">
        <v>5698</v>
      </c>
      <c r="B557" s="2">
        <v>-0.83024244603975395</v>
      </c>
      <c r="C557" s="2">
        <f t="shared" si="8"/>
        <v>0.56243471680422141</v>
      </c>
      <c r="D557" s="2">
        <v>3.61182646682636</v>
      </c>
      <c r="E557" s="2">
        <v>11.582537558912099</v>
      </c>
      <c r="F557" s="2">
        <v>6.6574032461761703E-4</v>
      </c>
      <c r="G557" s="2">
        <v>2.8525525648289599E-2</v>
      </c>
      <c r="H557" s="2" t="s">
        <v>5699</v>
      </c>
      <c r="I557" s="2" t="s">
        <v>88</v>
      </c>
      <c r="J557" s="8" t="s">
        <v>5700</v>
      </c>
      <c r="Q557" s="9"/>
      <c r="W557" s="10"/>
      <c r="AB557" s="9"/>
      <c r="AC557" s="9"/>
      <c r="AJ557" s="9"/>
      <c r="AN557" s="9"/>
      <c r="AO557" s="11"/>
      <c r="AP557" s="9"/>
      <c r="AT557" s="9"/>
      <c r="BA557" s="9"/>
      <c r="BH557" s="9"/>
      <c r="BO557" s="9"/>
      <c r="BV557" s="9"/>
      <c r="CB557" s="9"/>
      <c r="CG557" s="9"/>
      <c r="CL557" s="9"/>
      <c r="CP557" s="9"/>
      <c r="DE557" s="2" t="s">
        <v>5698</v>
      </c>
      <c r="DF557" s="2" t="s">
        <v>5699</v>
      </c>
      <c r="DG557" s="2" t="s">
        <v>88</v>
      </c>
      <c r="DH557" s="8" t="s">
        <v>5700</v>
      </c>
      <c r="DI557" s="2" t="s">
        <v>115</v>
      </c>
      <c r="DJ557" s="2">
        <v>7308</v>
      </c>
      <c r="DQ557" s="2" t="s">
        <v>141</v>
      </c>
      <c r="DS557" s="2">
        <v>128562</v>
      </c>
      <c r="DT557" s="2">
        <v>5.53</v>
      </c>
      <c r="DX557" s="2">
        <v>1222</v>
      </c>
      <c r="DY557" s="12"/>
    </row>
    <row r="558" spans="1:156" x14ac:dyDescent="0.25">
      <c r="A558" s="2" t="s">
        <v>5701</v>
      </c>
      <c r="B558" s="2">
        <v>-0.84188023512088594</v>
      </c>
      <c r="C558" s="2">
        <f t="shared" si="8"/>
        <v>0.55791597446082419</v>
      </c>
      <c r="D558" s="2">
        <v>5.5962369320589396</v>
      </c>
      <c r="E558" s="2">
        <v>28.0330836879168</v>
      </c>
      <c r="F558" s="2">
        <v>1.1925905233535E-7</v>
      </c>
      <c r="G558" s="2">
        <v>1.9588299346081199E-4</v>
      </c>
      <c r="H558" s="2" t="s">
        <v>93</v>
      </c>
      <c r="I558" s="2" t="s">
        <v>94</v>
      </c>
      <c r="J558" s="2" t="str">
        <f>HYPERLINK("https://vectorbase.org/vectorbase/app/record/gene/AGAP011123","AGAP011123-RA")</f>
        <v>AGAP011123-RA</v>
      </c>
      <c r="K558" s="2" t="str">
        <f>HYPERLINK(".\links\pep\AGAP011123-PA-pep.txt","AGAP011123-PA")</f>
        <v>AGAP011123-PA</v>
      </c>
      <c r="L558" s="12" t="s">
        <v>95</v>
      </c>
      <c r="M558" s="2">
        <v>2264</v>
      </c>
      <c r="N558" s="2">
        <v>0</v>
      </c>
      <c r="O558" s="2">
        <v>9</v>
      </c>
      <c r="P558" s="2" t="s">
        <v>5702</v>
      </c>
      <c r="Q558" s="9" t="s">
        <v>5703</v>
      </c>
      <c r="R558" s="2" t="s">
        <v>388</v>
      </c>
      <c r="S558" s="2" t="str">
        <f>HYPERLINK(".\links\KOG\AGAP011123-PA-KOG.txt","KOG")</f>
        <v>KOG</v>
      </c>
      <c r="T558" s="2">
        <v>0</v>
      </c>
      <c r="U558" s="2">
        <v>68</v>
      </c>
      <c r="V558" s="2" t="s">
        <v>5704</v>
      </c>
      <c r="W558" s="10" t="s">
        <v>5705</v>
      </c>
      <c r="X558" s="2" t="s">
        <v>224</v>
      </c>
      <c r="Y558" s="2" t="str">
        <f>HYPERLINK(".\links\CDD\AGAP011123-PA-CDD.txt","CDD")</f>
        <v>CDD</v>
      </c>
      <c r="Z558" s="15">
        <v>0</v>
      </c>
      <c r="AA558" s="2">
        <v>104.2</v>
      </c>
      <c r="AB558" s="13" t="str">
        <f>HYPERLINK(".\links\pep\AGAP011123-PA-sulf.txt","3")</f>
        <v>3</v>
      </c>
      <c r="AC558" s="13" t="str">
        <f>HYPERLINK(".\links\Sigp\AGAP011123-PA-SigP.txt","CYT")</f>
        <v>CYT</v>
      </c>
      <c r="AD558" s="2" t="s">
        <v>102</v>
      </c>
      <c r="AE558" s="2">
        <v>247.874</v>
      </c>
      <c r="AF558" s="2">
        <v>6.51</v>
      </c>
      <c r="AG558" s="2" t="s">
        <v>102</v>
      </c>
      <c r="AH558" s="2" t="s">
        <v>102</v>
      </c>
      <c r="AI558" s="2" t="s">
        <v>5706</v>
      </c>
      <c r="AJ558" s="13">
        <v>0</v>
      </c>
      <c r="AK558" s="2" t="s">
        <v>102</v>
      </c>
      <c r="AL558" s="2" t="s">
        <v>102</v>
      </c>
      <c r="AM558" s="2" t="s">
        <v>102</v>
      </c>
      <c r="AN558" s="13" t="str">
        <f>HYPERLINK(".\links\gpi\AGAP011123-PA-gpi.txt","N")</f>
        <v>N</v>
      </c>
      <c r="AO558" s="14" t="str">
        <f>HYPERLINK(".\links\netoglyc\AGAP011123-PA-netoglyc.txt","16")</f>
        <v>16</v>
      </c>
      <c r="AP558" s="13">
        <v>16.399999999999999</v>
      </c>
      <c r="AQ558" s="2">
        <v>7.2</v>
      </c>
      <c r="AR558" s="2">
        <v>5.4</v>
      </c>
      <c r="AS558" s="2" t="s">
        <v>104</v>
      </c>
      <c r="AT558" s="9" t="str">
        <f>HYPERLINK(".\links\NR-LIGHT\AGAP011123-PA-NR-LIGHT.txt","AGAP011123-PA, partial")</f>
        <v>AGAP011123-PA, partial</v>
      </c>
      <c r="AU558" s="2" t="str">
        <f>HYPERLINK("http://www.ncbi.nlm.nih.gov/sutils/blink.cgi?pid=XP_309523.4","0.0")</f>
        <v>0.0</v>
      </c>
      <c r="AV558" s="2" t="str">
        <f>HYPERLINK("http://www.ncbi.nlm.nih.gov/protein/XP_309523.4","XP_309523.4")</f>
        <v>XP_309523.4</v>
      </c>
      <c r="AW558" s="2">
        <v>89</v>
      </c>
      <c r="AX558" s="2">
        <v>90</v>
      </c>
      <c r="AY558" s="2">
        <v>110</v>
      </c>
      <c r="AZ558" s="2" t="s">
        <v>105</v>
      </c>
      <c r="BA558" s="9" t="str">
        <f>HYPERLINK(".\links\REFSEQ-INVERTEBRATE\AGAP011123-PA-REFSEQ-INVERTEBRATE.txt","AGAP011123-PA, partial")</f>
        <v>AGAP011123-PA, partial</v>
      </c>
      <c r="BB558" s="2" t="str">
        <f>HYPERLINK("http://www.ncbi.nlm.nih.gov/sutils/blink.cgi?pid=XP_309523.4","0.0")</f>
        <v>0.0</v>
      </c>
      <c r="BC558" s="2" t="str">
        <f>HYPERLINK("http://www.ncbi.nlm.nih.gov/protein/XP_309523.4","XP_309523.4")</f>
        <v>XP_309523.4</v>
      </c>
      <c r="BD558" s="2">
        <v>89</v>
      </c>
      <c r="BE558" s="2">
        <v>90</v>
      </c>
      <c r="BF558" s="2">
        <v>110</v>
      </c>
      <c r="BG558" s="2" t="s">
        <v>105</v>
      </c>
      <c r="BH558" s="9" t="str">
        <f>HYPERLINK(".\links\REFSEQ-PROTOZOA\AGAP011123-PA-REFSEQ-PROTOZOA.txt","hypothetical protein SARC_02528")</f>
        <v>hypothetical protein SARC_02528</v>
      </c>
      <c r="BI558" s="2" t="str">
        <f>HYPERLINK("http://www.ncbi.nlm.nih.gov/sutils/blink.cgi?pid=XP_014159171.1","3E-052")</f>
        <v>3E-052</v>
      </c>
      <c r="BJ558" s="2" t="str">
        <f>HYPERLINK("http://www.ncbi.nlm.nih.gov/protein/XP_014159171.1","XP_014159171.1")</f>
        <v>XP_014159171.1</v>
      </c>
      <c r="BK558" s="2">
        <v>26</v>
      </c>
      <c r="BL558" s="2">
        <v>41</v>
      </c>
      <c r="BM558" s="2">
        <v>62</v>
      </c>
      <c r="BN558" s="2" t="s">
        <v>393</v>
      </c>
      <c r="BO558" s="9" t="str">
        <f>HYPERLINK(".\links\SWISSP\AGAP011123-PA-SWISSP.txt","Tuberin")</f>
        <v>Tuberin</v>
      </c>
      <c r="BP558" s="2" t="str">
        <f>HYPERLINK("http://www.uniprot.org/uniprot/P49815","1E-176")</f>
        <v>1E-176</v>
      </c>
      <c r="BQ558" s="2" t="str">
        <f>HYPERLINK("http://www.uniprot.org/uniprot/P49815#expression","P49815")</f>
        <v>P49815</v>
      </c>
      <c r="BR558" s="2">
        <v>34</v>
      </c>
      <c r="BS558" s="2">
        <v>54</v>
      </c>
      <c r="BT558" s="2">
        <v>61</v>
      </c>
      <c r="BU558" s="2" t="s">
        <v>127</v>
      </c>
      <c r="BV558" s="9" t="str">
        <f>HYPERLINK(".\links\FLYBASE\AGAP011123-PA-FLYBASE.txt","FBpp0074588")</f>
        <v>FBpp0074588</v>
      </c>
      <c r="BW558" s="2" t="str">
        <f>HYPERLINK("http://flybase.org/reports/FBgn0005198#alliance_summary_container","0.0")</f>
        <v>0.0</v>
      </c>
      <c r="BX558" s="2">
        <v>1847</v>
      </c>
      <c r="BY558" s="2">
        <v>40</v>
      </c>
      <c r="BZ558" s="2">
        <v>58</v>
      </c>
      <c r="CA558" s="2">
        <v>66</v>
      </c>
      <c r="CB558" s="9" t="str">
        <f>HYPERLINK(".\links\CDD\AGAP011123-PA-CDD.txt","Tuberin, Tuberin")</f>
        <v>Tuberin, Tuberin</v>
      </c>
      <c r="CC558" s="15">
        <v>9.9999999999999995E-144</v>
      </c>
      <c r="CD558" s="2">
        <v>104</v>
      </c>
      <c r="CE558" s="2" t="s">
        <v>5707</v>
      </c>
      <c r="CF558" s="2" t="s">
        <v>5708</v>
      </c>
      <c r="CG558" s="9" t="str">
        <f>HYPERLINK(".\links\KOG\AGAP011123-PA-KOG.txt","Tuberin - Rap/ran-GTPase-activating protein")</f>
        <v>Tuberin - Rap/ran-GTPase-activating protein</v>
      </c>
      <c r="CH558" s="15">
        <v>0</v>
      </c>
      <c r="CI558" s="2">
        <v>68.3</v>
      </c>
      <c r="CJ558" s="2" t="s">
        <v>5709</v>
      </c>
      <c r="CK558" s="2" t="s">
        <v>5710</v>
      </c>
      <c r="CL558" s="9" t="str">
        <f>HYPERLINK(".\links\PFAM\AGAP011123-PA-PFAM.txt","Tuberin, Tuberin")</f>
        <v>Tuberin, Tuberin</v>
      </c>
      <c r="CM558" s="15">
        <v>9.9999999999999995E-145</v>
      </c>
      <c r="CN558" s="2">
        <v>104</v>
      </c>
      <c r="CO558" s="2" t="s">
        <v>5707</v>
      </c>
      <c r="CP558" s="9" t="str">
        <f>HYPERLINK(".\links\SMART\AGAP011123-PA-SMART.txt","OSTEO, Osteopontin")</f>
        <v>OSTEO, Osteopontin</v>
      </c>
      <c r="CQ558" s="15">
        <v>0.15</v>
      </c>
      <c r="CR558" s="2">
        <v>17.100000000000001</v>
      </c>
      <c r="CS558" s="2" t="s">
        <v>3123</v>
      </c>
      <c r="CT558" s="2" t="s">
        <v>5704</v>
      </c>
      <c r="CU558" s="2" t="s">
        <v>5704</v>
      </c>
      <c r="CV558" s="2" t="s">
        <v>5704</v>
      </c>
      <c r="CW558" s="2" t="str">
        <f>HYPERLINK(".\links\pep\AGAP011123-PA-pep.txt","AGAP011123-PA")</f>
        <v>AGAP011123-PA</v>
      </c>
      <c r="CX558" s="2" t="s">
        <v>95</v>
      </c>
      <c r="CY558" s="2">
        <v>2265</v>
      </c>
      <c r="CZ558" s="2" t="s">
        <v>113</v>
      </c>
      <c r="DA558" s="2" t="s">
        <v>5711</v>
      </c>
      <c r="DB558" s="2">
        <v>0</v>
      </c>
      <c r="DC558" s="2">
        <v>9</v>
      </c>
      <c r="DD558" s="2" t="str">
        <f>HYPERLINK("https://www.kegg.jp/kegg-bin/search_pathway_text?map=aga&amp;keyword=AGAP011123&amp;mode=1&amp;viewImage=true","AGAP011123")</f>
        <v>AGAP011123</v>
      </c>
      <c r="DE558" s="2" t="s">
        <v>5701</v>
      </c>
      <c r="DF558" s="2" t="s">
        <v>93</v>
      </c>
      <c r="DG558" s="2" t="s">
        <v>94</v>
      </c>
      <c r="DH558" s="2" t="str">
        <f>HYPERLINK("https://vectorbase.org/vectorbase/app/record/gene/AGAP011123","AGAP011123-RA")</f>
        <v>AGAP011123-RA</v>
      </c>
      <c r="DI558" s="2" t="s">
        <v>90</v>
      </c>
      <c r="DJ558" s="2">
        <v>7765</v>
      </c>
      <c r="DK558" s="2" t="str">
        <f>HYPERLINK(".\links\netoglyc\AGAP011123-PA-netoglyc.txt","16")</f>
        <v>16</v>
      </c>
      <c r="DL558" s="2">
        <v>16.399999999999999</v>
      </c>
      <c r="DM558" s="2">
        <v>7.2</v>
      </c>
      <c r="DN558" s="2">
        <v>5.4</v>
      </c>
      <c r="DO558" s="2" t="s">
        <v>104</v>
      </c>
      <c r="DP558" s="2" t="s">
        <v>5712</v>
      </c>
      <c r="DQ558" s="2" t="str">
        <f>HYPERLINK(".\links\Sigp\AGAP011123-PA-SigP.txt","CYT")</f>
        <v>CYT</v>
      </c>
      <c r="DR558" s="2" t="s">
        <v>102</v>
      </c>
      <c r="DS558" s="2">
        <v>247.929</v>
      </c>
      <c r="DT558" s="2">
        <v>6.51</v>
      </c>
      <c r="DU558" s="2" t="s">
        <v>102</v>
      </c>
      <c r="DV558" s="2" t="s">
        <v>102</v>
      </c>
      <c r="DW558" s="2" t="s">
        <v>5713</v>
      </c>
      <c r="DX558" s="2">
        <v>2265</v>
      </c>
      <c r="DY558" s="12">
        <v>0</v>
      </c>
      <c r="DZ558" s="2" t="s">
        <v>102</v>
      </c>
      <c r="EA558" s="2" t="s">
        <v>102</v>
      </c>
      <c r="EB558" s="2" t="s">
        <v>102</v>
      </c>
      <c r="EC558" s="2" t="str">
        <f>HYPERLINK(".\links\gpi\AGAP011123-PA-gpi.txt","Y-NoSP")</f>
        <v>Y-NoSP</v>
      </c>
      <c r="ED558" s="2">
        <v>0.13</v>
      </c>
      <c r="EF558" s="2">
        <v>35</v>
      </c>
      <c r="EG558" s="2" t="str">
        <f>HYPERLINK(".\links\pep\AGAP011123-PA-sulf.txt","3")</f>
        <v>3</v>
      </c>
      <c r="EH558" s="2" t="s">
        <v>102</v>
      </c>
      <c r="EI558" s="2">
        <v>16.423841059602601</v>
      </c>
      <c r="EJ558" s="2">
        <v>5.4304635761589397</v>
      </c>
      <c r="EK558" s="2">
        <v>7.24061810154525</v>
      </c>
      <c r="EL558" s="2">
        <v>12.671081677704199</v>
      </c>
      <c r="EM558" s="2">
        <v>4</v>
      </c>
      <c r="EN558" s="2">
        <v>1</v>
      </c>
      <c r="EO558" s="2">
        <v>2</v>
      </c>
      <c r="EP558" s="2" t="s">
        <v>102</v>
      </c>
      <c r="EQ558" s="2" t="s">
        <v>102</v>
      </c>
      <c r="ER558" s="2" t="s">
        <v>102</v>
      </c>
      <c r="ES558" s="2" t="s">
        <v>102</v>
      </c>
      <c r="ET558" s="2" t="str">
        <f>HYPERLINK(".\links\REFSEQ-INVERTEBRATE\AGAP011123-PA-REFSEQ-INVERTEBRATE.txt","tuberin isoform X1")</f>
        <v>tuberin isoform X1</v>
      </c>
      <c r="EU558" s="2" t="str">
        <f>HYPERLINK("http://www.ncbi.nlm.nih.gov/sutils/blink.cgi?pid=XP_035903217.1","0.0")</f>
        <v>0.0</v>
      </c>
      <c r="EV558" s="2" t="str">
        <f>HYPERLINK("http://www.ncbi.nlm.nih.gov/protein/XP_035903217.1","XP_035903217.1")</f>
        <v>XP_035903217.1</v>
      </c>
      <c r="EW558" s="2">
        <v>84</v>
      </c>
      <c r="EX558" s="2">
        <v>88</v>
      </c>
      <c r="EY558" s="2">
        <v>102</v>
      </c>
      <c r="EZ558" s="2" t="s">
        <v>370</v>
      </c>
    </row>
    <row r="559" spans="1:156" x14ac:dyDescent="0.25">
      <c r="A559" s="2" t="s">
        <v>5714</v>
      </c>
      <c r="B559" s="2">
        <v>-0.84438947507875295</v>
      </c>
      <c r="C559" s="2">
        <f t="shared" si="8"/>
        <v>0.55694644987033137</v>
      </c>
      <c r="D559" s="2">
        <v>3.5144341523359999</v>
      </c>
      <c r="E559" s="2">
        <v>9.79392221301657</v>
      </c>
      <c r="F559" s="2">
        <v>1.75089602694743E-3</v>
      </c>
      <c r="G559" s="2">
        <v>4.0888815984755703E-2</v>
      </c>
      <c r="H559" s="2" t="s">
        <v>5715</v>
      </c>
      <c r="I559" s="2" t="s">
        <v>94</v>
      </c>
      <c r="J559" s="2" t="str">
        <f>HYPERLINK("https://vectorbase.org/vectorbase/app/record/gene/AGAP006576","AGAP006576-RB")</f>
        <v>AGAP006576-RB</v>
      </c>
      <c r="K559" s="2" t="str">
        <f>HYPERLINK(".\links\pep\AGAP006576-PB-pep.txt","AGAP006576-PB")</f>
        <v>AGAP006576-PB</v>
      </c>
      <c r="L559" s="12" t="s">
        <v>95</v>
      </c>
      <c r="M559" s="2">
        <v>501</v>
      </c>
      <c r="N559" s="2">
        <v>0</v>
      </c>
      <c r="O559" s="2">
        <v>2</v>
      </c>
      <c r="P559" s="2" t="s">
        <v>5716</v>
      </c>
      <c r="Q559" s="9" t="s">
        <v>5717</v>
      </c>
      <c r="R559" s="2" t="s">
        <v>447</v>
      </c>
      <c r="S559" s="2" t="str">
        <f>HYPERLINK(".\links\SWISSP\AGAP006576-PB-SWISSP.txt","SWISSP")</f>
        <v>SWISSP</v>
      </c>
      <c r="T559" s="2">
        <v>7.9999999999999998E-60</v>
      </c>
      <c r="U559" s="2">
        <v>97.2</v>
      </c>
      <c r="V559" s="2" t="s">
        <v>5718</v>
      </c>
      <c r="W559" s="10" t="s">
        <v>183</v>
      </c>
      <c r="X559" s="2" t="s">
        <v>447</v>
      </c>
      <c r="Y559" s="2" t="str">
        <f>HYPERLINK(".\links\COG\AGAP006576-PB-COG.txt","COG")</f>
        <v>COG</v>
      </c>
      <c r="Z559" s="15">
        <v>3.0000000000000002E-77</v>
      </c>
      <c r="AA559" s="2">
        <v>100</v>
      </c>
      <c r="AB559" s="13" t="s">
        <v>102</v>
      </c>
      <c r="AC559" s="13" t="str">
        <f>HYPERLINK(".\links\Sigp\AGAP006576-PB-SigP.txt","CYT")</f>
        <v>CYT</v>
      </c>
      <c r="AD559" s="2" t="s">
        <v>102</v>
      </c>
      <c r="AE559" s="2">
        <v>53.283000000000001</v>
      </c>
      <c r="AF559" s="2">
        <v>8.7200000000000006</v>
      </c>
      <c r="AG559" s="2" t="s">
        <v>102</v>
      </c>
      <c r="AH559" s="2" t="s">
        <v>102</v>
      </c>
      <c r="AI559" s="2" t="s">
        <v>5719</v>
      </c>
      <c r="AJ559" s="13">
        <v>0</v>
      </c>
      <c r="AK559" s="2" t="s">
        <v>102</v>
      </c>
      <c r="AL559" s="2" t="s">
        <v>102</v>
      </c>
      <c r="AM559" s="2" t="s">
        <v>102</v>
      </c>
      <c r="AN559" s="13" t="str">
        <f>HYPERLINK(".\links\gpi\AGAP006576-PB-gpi.txt","N")</f>
        <v>N</v>
      </c>
      <c r="AO559" s="14" t="str">
        <f>HYPERLINK(".\links\netoglyc\AGAP006576-PB-netoglyc.txt","2")</f>
        <v>2</v>
      </c>
      <c r="AP559" s="13">
        <v>14</v>
      </c>
      <c r="AQ559" s="2">
        <v>10.6</v>
      </c>
      <c r="AR559" s="2">
        <v>5.2</v>
      </c>
      <c r="AS559" s="2" t="s">
        <v>104</v>
      </c>
      <c r="AT559" s="9" t="str">
        <f>HYPERLINK(".\links\NR-LIGHT\AGAP006576-PB-NR-LIGHT.txt","AGAP006576-PA")</f>
        <v>AGAP006576-PA</v>
      </c>
      <c r="AU559" s="2" t="str">
        <f>HYPERLINK("http://www.ncbi.nlm.nih.gov/sutils/blink.cgi?pid=XP_001688912.1","0.0")</f>
        <v>0.0</v>
      </c>
      <c r="AV559" s="2" t="str">
        <f>HYPERLINK("http://www.ncbi.nlm.nih.gov/protein/XP_001688912.1","XP_001688912.1")</f>
        <v>XP_001688912.1</v>
      </c>
      <c r="AW559" s="2">
        <v>100</v>
      </c>
      <c r="AX559" s="2">
        <v>100</v>
      </c>
      <c r="AY559" s="2">
        <v>100</v>
      </c>
      <c r="AZ559" s="2" t="s">
        <v>105</v>
      </c>
      <c r="BA559" s="9" t="str">
        <f>HYPERLINK(".\links\REFSEQ-INVERTEBRATE\AGAP006576-PB-REFSEQ-INVERTEBRATE.txt","AGAP006576-PB")</f>
        <v>AGAP006576-PB</v>
      </c>
      <c r="BB559" s="2" t="str">
        <f>HYPERLINK("http://www.ncbi.nlm.nih.gov/sutils/blink.cgi?pid=XP_001688913.1","0.0")</f>
        <v>0.0</v>
      </c>
      <c r="BC559" s="2" t="str">
        <f>HYPERLINK("http://www.ncbi.nlm.nih.gov/protein/XP_001688913.1","XP_001688913.1")</f>
        <v>XP_001688913.1</v>
      </c>
      <c r="BD559" s="2">
        <v>100</v>
      </c>
      <c r="BE559" s="2">
        <v>100</v>
      </c>
      <c r="BF559" s="2">
        <v>100</v>
      </c>
      <c r="BG559" s="2" t="s">
        <v>105</v>
      </c>
      <c r="BH559" s="9" t="str">
        <f>HYPERLINK(".\links\REFSEQ-PROTOZOA\AGAP006576-PB-REFSEQ-PROTOZOA.txt","malate/Llactate dehydrogenase")</f>
        <v>malate/Llactate dehydrogenase</v>
      </c>
      <c r="BI559" s="2" t="str">
        <f>HYPERLINK("http://www.ncbi.nlm.nih.gov/sutils/blink.cgi?pid=XP_004357185.1","2E-086")</f>
        <v>2E-086</v>
      </c>
      <c r="BJ559" s="2" t="str">
        <f>HYPERLINK("http://www.ncbi.nlm.nih.gov/protein/XP_004357185.1","XP_004357185.1")</f>
        <v>XP_004357185.1</v>
      </c>
      <c r="BK559" s="2">
        <v>49</v>
      </c>
      <c r="BL559" s="2">
        <v>62</v>
      </c>
      <c r="BM559" s="2">
        <v>44</v>
      </c>
      <c r="BN559" s="2" t="s">
        <v>600</v>
      </c>
      <c r="BO559" s="9" t="str">
        <f>HYPERLINK(".\links\SWISSP\AGAP006576-PB-SWISSP.txt","Malate dehydrogenase")</f>
        <v>Malate dehydrogenase</v>
      </c>
      <c r="BP559" s="2" t="str">
        <f>HYPERLINK("http://www.uniprot.org/uniprot/Q9V0D5","8E-060")</f>
        <v>8E-060</v>
      </c>
      <c r="BQ559" s="2" t="str">
        <f>HYPERLINK("http://www.uniprot.org/uniprot/Q9V0D5#expression","Q9V0D5")</f>
        <v>Q9V0D5</v>
      </c>
      <c r="BR559" s="2">
        <v>38</v>
      </c>
      <c r="BS559" s="2">
        <v>56</v>
      </c>
      <c r="BT559" s="2">
        <v>97</v>
      </c>
      <c r="BU559" s="2" t="s">
        <v>5720</v>
      </c>
      <c r="BV559" s="9" t="str">
        <f>HYPERLINK(".\links\FLYBASE\AGAP006576-PB-FLYBASE.txt","FBpp0077955")</f>
        <v>FBpp0077955</v>
      </c>
      <c r="BW559" s="2" t="str">
        <f>HYPERLINK("http://flybase.org/reports/FBgn0037057#alliance_summary_container","0.0")</f>
        <v>0.0</v>
      </c>
      <c r="BX559" s="2">
        <v>381</v>
      </c>
      <c r="BY559" s="2">
        <v>64</v>
      </c>
      <c r="BZ559" s="2">
        <v>77</v>
      </c>
      <c r="CA559" s="2">
        <v>102</v>
      </c>
      <c r="CB559" s="9" t="str">
        <f>HYPERLINK(".\links\CDD\AGAP006576-PB-CDD.txt","Ldh_2, Malate/L-lactate dehydrogenase")</f>
        <v>Ldh_2, Malate/L-lactate dehydrogenase</v>
      </c>
      <c r="CC559" s="15">
        <v>1.0000000000000001E-111</v>
      </c>
      <c r="CD559" s="2">
        <v>99.7</v>
      </c>
      <c r="CE559" s="2" t="s">
        <v>5721</v>
      </c>
      <c r="CF559" s="2" t="s">
        <v>5722</v>
      </c>
      <c r="CG559" s="9" t="str">
        <f>HYPERLINK(".\links\KOG\AGAP006576-PB-KOG.txt","Cell cycle-associated protein")</f>
        <v>Cell cycle-associated protein</v>
      </c>
      <c r="CH559" s="15">
        <v>0.13</v>
      </c>
      <c r="CI559" s="2">
        <v>3.2</v>
      </c>
      <c r="CJ559" s="2" t="s">
        <v>1945</v>
      </c>
      <c r="CK559" s="2" t="s">
        <v>700</v>
      </c>
      <c r="CL559" s="9" t="str">
        <f>HYPERLINK(".\links\PFAM\AGAP006576-PB-PFAM.txt","Ldh_2, Malate/L-lactate dehydrogenase")</f>
        <v>Ldh_2, Malate/L-lactate dehydrogenase</v>
      </c>
      <c r="CM559" s="15">
        <v>1.0000000000000001E-111</v>
      </c>
      <c r="CN559" s="2">
        <v>99.7</v>
      </c>
      <c r="CO559" s="2" t="s">
        <v>5721</v>
      </c>
      <c r="CP559" s="9" t="str">
        <f>HYPERLINK(".\links\SMART\AGAP006576-PB-SMART.txt","IPPc, Inositol polyphosphate phosphatase, catalytic domain homologues")</f>
        <v>IPPc, Inositol polyphosphate phosphatase, catalytic domain homologues</v>
      </c>
      <c r="CQ559" s="15">
        <v>0.66</v>
      </c>
      <c r="CR559" s="2">
        <v>51.3</v>
      </c>
      <c r="CS559" s="2" t="s">
        <v>3839</v>
      </c>
      <c r="CT559" s="2" t="s">
        <v>5718</v>
      </c>
      <c r="CU559" s="2" t="s">
        <v>5718</v>
      </c>
      <c r="CV559" s="2" t="s">
        <v>5718</v>
      </c>
      <c r="CW559" s="2" t="str">
        <f>HYPERLINK(".\links\pep\AGAP006576-PB-pep.txt","AGAP006576-PB")</f>
        <v>AGAP006576-PB</v>
      </c>
      <c r="CX559" s="2" t="s">
        <v>95</v>
      </c>
      <c r="CY559" s="2">
        <v>501</v>
      </c>
      <c r="CZ559" s="2" t="s">
        <v>113</v>
      </c>
      <c r="DA559" s="2" t="s">
        <v>5723</v>
      </c>
      <c r="DB559" s="2">
        <v>0</v>
      </c>
      <c r="DC559" s="2">
        <v>2</v>
      </c>
      <c r="DD559" s="2" t="str">
        <f>HYPERLINK("https://www.kegg.jp/kegg-bin/search_pathway_text?map=aga&amp;keyword=AGAP006576&amp;mode=1&amp;viewImage=true","AGAP006576")</f>
        <v>AGAP006576</v>
      </c>
      <c r="DE559" s="2" t="s">
        <v>5714</v>
      </c>
      <c r="DF559" s="2" t="s">
        <v>5715</v>
      </c>
      <c r="DG559" s="2" t="s">
        <v>94</v>
      </c>
      <c r="DH559" s="2" t="str">
        <f>HYPERLINK("https://vectorbase.org/vectorbase/app/record/gene/AGAP006576","AGAP006576-RB")</f>
        <v>AGAP006576-RB</v>
      </c>
      <c r="DI559" s="2" t="s">
        <v>135</v>
      </c>
      <c r="DJ559" s="2">
        <v>1698</v>
      </c>
      <c r="DK559" s="2" t="str">
        <f>HYPERLINK(".\links\netoglyc\AGAP006576-PB-netoglyc.txt","2")</f>
        <v>2</v>
      </c>
      <c r="DL559" s="2">
        <v>14</v>
      </c>
      <c r="DM559" s="2">
        <v>10.6</v>
      </c>
      <c r="DN559" s="2">
        <v>5.2</v>
      </c>
      <c r="DO559" s="2" t="s">
        <v>104</v>
      </c>
      <c r="DP559" s="2" t="s">
        <v>102</v>
      </c>
      <c r="DQ559" s="2" t="str">
        <f>HYPERLINK(".\links\Sigp\AGAP006576-PB-SigP.txt","CYT")</f>
        <v>CYT</v>
      </c>
      <c r="DR559" s="2" t="s">
        <v>102</v>
      </c>
      <c r="DS559" s="2">
        <v>53.283000000000001</v>
      </c>
      <c r="DT559" s="2">
        <v>8.7200000000000006</v>
      </c>
      <c r="DU559" s="2" t="s">
        <v>102</v>
      </c>
      <c r="DV559" s="2" t="s">
        <v>102</v>
      </c>
      <c r="DW559" s="2" t="s">
        <v>5719</v>
      </c>
      <c r="DX559" s="2">
        <v>501</v>
      </c>
      <c r="DY559" s="12">
        <v>0</v>
      </c>
      <c r="DZ559" s="2" t="s">
        <v>102</v>
      </c>
      <c r="EA559" s="2" t="s">
        <v>102</v>
      </c>
      <c r="EB559" s="2" t="s">
        <v>102</v>
      </c>
      <c r="EC559" s="2" t="str">
        <f>HYPERLINK(".\links\gpi\AGAP006576-PB-gpi.txt","Y-NoSP")</f>
        <v>Y-NoSP</v>
      </c>
      <c r="ED559" s="2">
        <v>0.27</v>
      </c>
      <c r="EF559" s="2">
        <v>13</v>
      </c>
      <c r="EG559" s="2" t="s">
        <v>102</v>
      </c>
      <c r="EH559" s="2" t="s">
        <v>102</v>
      </c>
      <c r="EI559" s="2">
        <v>13.972055888223601</v>
      </c>
      <c r="EJ559" s="2">
        <v>5.1896207584830298</v>
      </c>
      <c r="EK559" s="2">
        <v>10.5788423153693</v>
      </c>
      <c r="EL559" s="2">
        <v>15.768463073852301</v>
      </c>
      <c r="EM559" s="2">
        <v>2</v>
      </c>
      <c r="EN559" s="2">
        <v>3</v>
      </c>
      <c r="EO559" s="2">
        <v>4</v>
      </c>
      <c r="EP559" s="2" t="s">
        <v>102</v>
      </c>
      <c r="EQ559" s="2" t="s">
        <v>102</v>
      </c>
      <c r="ER559" s="2" t="s">
        <v>102</v>
      </c>
      <c r="ES559" s="2" t="s">
        <v>102</v>
      </c>
      <c r="ET559" s="2" t="str">
        <f>HYPERLINK(".\links\REFSEQ-INVERTEBRATE\AGAP006576-PB-REFSEQ-INVERTEBRATE.txt","AGAP006576-PB")</f>
        <v>AGAP006576-PB</v>
      </c>
      <c r="EU559" s="2" t="str">
        <f>HYPERLINK("http://www.ncbi.nlm.nih.gov/sutils/blink.cgi?pid=XP_001688913.1","0.0")</f>
        <v>0.0</v>
      </c>
      <c r="EV559" s="2" t="str">
        <f>HYPERLINK("http://www.ncbi.nlm.nih.gov/protein/XP_001688913.1","XP_001688913.1")</f>
        <v>XP_001688913.1</v>
      </c>
      <c r="EW559" s="2">
        <v>100</v>
      </c>
      <c r="EX559" s="2">
        <v>100</v>
      </c>
      <c r="EY559" s="2">
        <v>100</v>
      </c>
      <c r="EZ559" s="2" t="s">
        <v>105</v>
      </c>
    </row>
    <row r="560" spans="1:156" x14ac:dyDescent="0.25">
      <c r="A560" s="2" t="s">
        <v>5724</v>
      </c>
      <c r="B560" s="2">
        <v>-0.87954557672457501</v>
      </c>
      <c r="C560" s="2">
        <f t="shared" si="8"/>
        <v>0.54353860929613651</v>
      </c>
      <c r="D560" s="2">
        <v>5.69282286546518</v>
      </c>
      <c r="E560" s="2">
        <v>12.0444082542835</v>
      </c>
      <c r="F560" s="2">
        <v>5.1947975187461996E-4</v>
      </c>
      <c r="G560" s="2">
        <v>2.6253707460125002E-2</v>
      </c>
      <c r="H560" s="2" t="s">
        <v>93</v>
      </c>
      <c r="I560" s="2" t="s">
        <v>94</v>
      </c>
      <c r="J560" s="2" t="str">
        <f>HYPERLINK("https://vectorbase.org/vectorbase/app/record/gene/AGAP000633","AGAP000633-RA")</f>
        <v>AGAP000633-RA</v>
      </c>
      <c r="K560" s="2" t="str">
        <f>HYPERLINK(".\links\pep\AGAP000633-PA-pep.txt","AGAP000633-PA")</f>
        <v>AGAP000633-PA</v>
      </c>
      <c r="L560" s="12" t="s">
        <v>95</v>
      </c>
      <c r="M560" s="2">
        <v>502</v>
      </c>
      <c r="N560" s="2">
        <v>0</v>
      </c>
      <c r="O560" s="2">
        <v>1</v>
      </c>
      <c r="P560" s="2" t="s">
        <v>102</v>
      </c>
      <c r="Q560" s="9" t="s">
        <v>5725</v>
      </c>
      <c r="R560" s="2" t="s">
        <v>355</v>
      </c>
      <c r="S560" s="2" t="str">
        <f>HYPERLINK(".\links\KOG\AGAP000633-PA-KOG.txt","KOG")</f>
        <v>KOG</v>
      </c>
      <c r="T560" s="2">
        <v>9.9999999999999997E-48</v>
      </c>
      <c r="U560" s="2">
        <v>63.5</v>
      </c>
      <c r="V560" s="2" t="s">
        <v>5726</v>
      </c>
      <c r="W560" s="10" t="s">
        <v>5727</v>
      </c>
      <c r="X560" s="2" t="s">
        <v>771</v>
      </c>
      <c r="Y560" s="2" t="str">
        <f>HYPERLINK(".\links\KOG\AGAP000633-PA-KOG.txt","KOG")</f>
        <v>KOG</v>
      </c>
      <c r="Z560" s="15">
        <v>8.0000000000000001E-35</v>
      </c>
      <c r="AA560" s="2">
        <v>89.4</v>
      </c>
      <c r="AB560" s="13" t="s">
        <v>102</v>
      </c>
      <c r="AC560" s="13" t="str">
        <f>HYPERLINK(".\links\Sigp\AGAP000633-PA-SigP.txt","CYT")</f>
        <v>CYT</v>
      </c>
      <c r="AD560" s="2" t="s">
        <v>102</v>
      </c>
      <c r="AE560" s="2">
        <v>56.951000000000001</v>
      </c>
      <c r="AF560" s="2">
        <v>5.2</v>
      </c>
      <c r="AG560" s="2" t="s">
        <v>102</v>
      </c>
      <c r="AH560" s="2" t="s">
        <v>102</v>
      </c>
      <c r="AI560" s="2" t="s">
        <v>611</v>
      </c>
      <c r="AJ560" s="13">
        <v>0</v>
      </c>
      <c r="AK560" s="2" t="s">
        <v>102</v>
      </c>
      <c r="AL560" s="2" t="s">
        <v>102</v>
      </c>
      <c r="AM560" s="2" t="s">
        <v>102</v>
      </c>
      <c r="AN560" s="13" t="str">
        <f>HYPERLINK(".\links\gpi\AGAP000633-PA-gpi.txt","N")</f>
        <v>N</v>
      </c>
      <c r="AO560" s="14" t="str">
        <f>HYPERLINK(".\links\netoglyc\AGAP000633-PA-netoglyc.txt","1")</f>
        <v>1</v>
      </c>
      <c r="AP560" s="13">
        <v>9</v>
      </c>
      <c r="AQ560" s="2">
        <v>3.8</v>
      </c>
      <c r="AR560" s="2">
        <v>4.8</v>
      </c>
      <c r="AS560" s="2" t="s">
        <v>104</v>
      </c>
      <c r="AT560" s="9" t="str">
        <f>HYPERLINK(".\links\NR-LIGHT\AGAP000633-PA-NR-LIGHT.txt","AGAP000633-PA")</f>
        <v>AGAP000633-PA</v>
      </c>
      <c r="AU560" s="2" t="str">
        <f>HYPERLINK("http://www.ncbi.nlm.nih.gov/sutils/blink.cgi?pid=XP_311161.4","0.0")</f>
        <v>0.0</v>
      </c>
      <c r="AV560" s="2" t="str">
        <f>HYPERLINK("http://www.ncbi.nlm.nih.gov/protein/XP_311161.4","XP_311161.4")</f>
        <v>XP_311161.4</v>
      </c>
      <c r="AW560" s="2">
        <v>100</v>
      </c>
      <c r="AX560" s="2">
        <v>100</v>
      </c>
      <c r="AY560" s="2">
        <v>100</v>
      </c>
      <c r="AZ560" s="2" t="s">
        <v>105</v>
      </c>
      <c r="BA560" s="9" t="str">
        <f>HYPERLINK(".\links\REFSEQ-INVERTEBRATE\AGAP000633-PA-REFSEQ-INVERTEBRATE.txt","AGAP000633-PA")</f>
        <v>AGAP000633-PA</v>
      </c>
      <c r="BB560" s="2" t="str">
        <f>HYPERLINK("http://www.ncbi.nlm.nih.gov/sutils/blink.cgi?pid=XP_311161.4","0.0")</f>
        <v>0.0</v>
      </c>
      <c r="BC560" s="2" t="str">
        <f>HYPERLINK("http://www.ncbi.nlm.nih.gov/protein/XP_311161.4","XP_311161.4")</f>
        <v>XP_311161.4</v>
      </c>
      <c r="BD560" s="2">
        <v>100</v>
      </c>
      <c r="BE560" s="2">
        <v>100</v>
      </c>
      <c r="BF560" s="2">
        <v>100</v>
      </c>
      <c r="BG560" s="2" t="s">
        <v>105</v>
      </c>
      <c r="BH560" s="9" t="str">
        <f>HYPERLINK(".\links\REFSEQ-PROTOZOA\AGAP000633-PA-REFSEQ-PROTOZOA.txt","hypothetical protein H257_06746")</f>
        <v>hypothetical protein H257_06746</v>
      </c>
      <c r="BI560" s="2" t="str">
        <f>HYPERLINK("http://www.ncbi.nlm.nih.gov/sutils/blink.cgi?pid=XP_009830399.1","9E-010")</f>
        <v>9E-010</v>
      </c>
      <c r="BJ560" s="2" t="str">
        <f>HYPERLINK("http://www.ncbi.nlm.nih.gov/protein/XP_009830399.1","XP_009830399.1")</f>
        <v>XP_009830399.1</v>
      </c>
      <c r="BK560" s="2">
        <v>22</v>
      </c>
      <c r="BL560" s="2">
        <v>39</v>
      </c>
      <c r="BM560" s="2">
        <v>66</v>
      </c>
      <c r="BN560" s="2" t="s">
        <v>362</v>
      </c>
      <c r="BO560" s="9" t="str">
        <f>HYPERLINK(".\links\SWISSP\AGAP000633-PA-SWISSP.txt","T-complex protein 11-like protein 1")</f>
        <v>T-complex protein 11-like protein 1</v>
      </c>
      <c r="BP560" s="2" t="str">
        <f>HYPERLINK("http://www.uniprot.org/uniprot/Q9NUJ3","6E-041")</f>
        <v>6E-041</v>
      </c>
      <c r="BQ560" s="2" t="str">
        <f>HYPERLINK("http://www.uniprot.org/uniprot/Q9NUJ3#expression","Q9NUJ3")</f>
        <v>Q9NUJ3</v>
      </c>
      <c r="BR560" s="2">
        <v>28</v>
      </c>
      <c r="BS560" s="2">
        <v>49</v>
      </c>
      <c r="BT560" s="2">
        <v>89</v>
      </c>
      <c r="BU560" s="2" t="s">
        <v>127</v>
      </c>
      <c r="BV560" s="9" t="str">
        <f>HYPERLINK(".\links\FLYBASE\AGAP000633-PA-FLYBASE.txt","FBpp0311473")</f>
        <v>FBpp0311473</v>
      </c>
      <c r="BW560" s="2" t="str">
        <f>HYPERLINK("http://flybase.org/reports/FBgn0029820#alliance_summary_container","8E-73")</f>
        <v>8E-73</v>
      </c>
      <c r="BX560" s="2">
        <v>494</v>
      </c>
      <c r="BY560" s="2">
        <v>34</v>
      </c>
      <c r="BZ560" s="2">
        <v>53</v>
      </c>
      <c r="CA560" s="2">
        <v>92</v>
      </c>
      <c r="CB560" s="9" t="str">
        <f>HYPERLINK(".\links\CDD\AGAP000633-PA-CDD.txt","Tcp11, T-complex protein 11")</f>
        <v>Tcp11, T-complex protein 11</v>
      </c>
      <c r="CC560" s="15">
        <v>1.9999999999999999E-76</v>
      </c>
      <c r="CD560" s="2">
        <v>102.4</v>
      </c>
      <c r="CE560" s="2" t="s">
        <v>5728</v>
      </c>
      <c r="CF560" s="2" t="s">
        <v>5729</v>
      </c>
      <c r="CG560" s="9" t="str">
        <f>HYPERLINK(".\links\KOG\AGAP000633-PA-KOG.txt","SOK1 kinase belonging to the STE20/SPS1/GC kinase family")</f>
        <v>SOK1 kinase belonging to the STE20/SPS1/GC kinase family</v>
      </c>
      <c r="CH560" s="15">
        <v>9.9999999999999997E-48</v>
      </c>
      <c r="CI560" s="2">
        <v>63.5</v>
      </c>
      <c r="CJ560" s="2" t="s">
        <v>5730</v>
      </c>
      <c r="CK560" s="2" t="s">
        <v>173</v>
      </c>
      <c r="CL560" s="9" t="str">
        <f>HYPERLINK(".\links\PFAM\AGAP000633-PA-PFAM.txt","Tcp11, T-complex protein 11")</f>
        <v>Tcp11, T-complex protein 11</v>
      </c>
      <c r="CM560" s="15">
        <v>3.0000000000000002E-77</v>
      </c>
      <c r="CN560" s="2">
        <v>102.4</v>
      </c>
      <c r="CO560" s="2" t="s">
        <v>5728</v>
      </c>
      <c r="CP560" s="9" t="str">
        <f>HYPERLINK(".\links\SMART\AGAP000633-PA-SMART.txt","PLAc, Cytoplasmic phospholipase A2, catalytic subunit")</f>
        <v>PLAc, Cytoplasmic phospholipase A2, catalytic subunit</v>
      </c>
      <c r="CQ560" s="15">
        <v>1.4</v>
      </c>
      <c r="CR560" s="2">
        <v>6.4</v>
      </c>
      <c r="CS560" s="2" t="s">
        <v>3246</v>
      </c>
      <c r="CT560" s="2" t="s">
        <v>5726</v>
      </c>
      <c r="CU560" s="2" t="s">
        <v>5726</v>
      </c>
      <c r="CV560" s="2" t="s">
        <v>5726</v>
      </c>
      <c r="CW560" s="2" t="str">
        <f>HYPERLINK(".\links\pep\AGAP000633-PA-pep.txt","AGAP000633-PA")</f>
        <v>AGAP000633-PA</v>
      </c>
      <c r="CX560" s="2" t="s">
        <v>95</v>
      </c>
      <c r="CY560" s="2">
        <v>502</v>
      </c>
      <c r="CZ560" s="2" t="s">
        <v>113</v>
      </c>
      <c r="DA560" s="2" t="s">
        <v>5731</v>
      </c>
      <c r="DB560" s="2">
        <v>0</v>
      </c>
      <c r="DC560" s="2">
        <v>1</v>
      </c>
      <c r="DD560" s="2" t="str">
        <f>HYPERLINK("https://www.kegg.jp/kegg-bin/search_pathway_text?map=aga&amp;keyword=AGAP000633&amp;mode=1&amp;viewImage=true","AGAP000633")</f>
        <v>AGAP000633</v>
      </c>
      <c r="DE560" s="2" t="s">
        <v>5724</v>
      </c>
      <c r="DF560" s="2" t="s">
        <v>93</v>
      </c>
      <c r="DG560" s="2" t="s">
        <v>94</v>
      </c>
      <c r="DH560" s="2" t="str">
        <f>HYPERLINK("https://vectorbase.org/vectorbase/app/record/gene/AGAP000633","AGAP000633-RA")</f>
        <v>AGAP000633-RA</v>
      </c>
      <c r="DI560" s="2" t="s">
        <v>115</v>
      </c>
      <c r="DJ560" s="2">
        <v>1795</v>
      </c>
      <c r="DK560" s="2" t="str">
        <f>HYPERLINK(".\links\netoglyc\AGAP000633-PA-netoglyc.txt","1")</f>
        <v>1</v>
      </c>
      <c r="DL560" s="2">
        <v>9</v>
      </c>
      <c r="DM560" s="2">
        <v>3.8</v>
      </c>
      <c r="DN560" s="2">
        <v>4.8</v>
      </c>
      <c r="DO560" s="2" t="s">
        <v>104</v>
      </c>
      <c r="DP560" s="2" t="s">
        <v>102</v>
      </c>
      <c r="DQ560" s="2" t="str">
        <f>HYPERLINK(".\links\Sigp\AGAP000633-PA-SigP.txt","CYT")</f>
        <v>CYT</v>
      </c>
      <c r="DR560" s="2" t="s">
        <v>102</v>
      </c>
      <c r="DS560" s="2">
        <v>56.951000000000001</v>
      </c>
      <c r="DT560" s="2">
        <v>5.2</v>
      </c>
      <c r="DU560" s="2" t="s">
        <v>102</v>
      </c>
      <c r="DV560" s="2" t="s">
        <v>102</v>
      </c>
      <c r="DW560" s="2" t="s">
        <v>611</v>
      </c>
      <c r="DX560" s="2">
        <v>502</v>
      </c>
      <c r="DY560" s="12">
        <v>0</v>
      </c>
      <c r="DZ560" s="2" t="s">
        <v>102</v>
      </c>
      <c r="EA560" s="2" t="s">
        <v>102</v>
      </c>
      <c r="EB560" s="2" t="s">
        <v>102</v>
      </c>
      <c r="EC560" s="2" t="str">
        <f>HYPERLINK(".\links\gpi\AGAP000633-PA-gpi.txt","N")</f>
        <v>N</v>
      </c>
      <c r="ED560" s="2">
        <v>0.25</v>
      </c>
      <c r="EF560" s="2">
        <v>10</v>
      </c>
      <c r="EG560" s="2" t="s">
        <v>102</v>
      </c>
      <c r="EH560" s="2" t="s">
        <v>102</v>
      </c>
      <c r="EI560" s="2">
        <v>8.9641434262948199</v>
      </c>
      <c r="EJ560" s="2">
        <v>4.7808764940239001</v>
      </c>
      <c r="EK560" s="2">
        <v>3.7848605577689201</v>
      </c>
      <c r="EL560" s="2">
        <v>8.56573705179283</v>
      </c>
      <c r="EM560" s="2" t="s">
        <v>102</v>
      </c>
      <c r="EN560" s="2" t="s">
        <v>102</v>
      </c>
      <c r="EO560" s="2">
        <v>3</v>
      </c>
      <c r="EP560" s="2" t="s">
        <v>102</v>
      </c>
      <c r="EQ560" s="2" t="s">
        <v>102</v>
      </c>
      <c r="ER560" s="2" t="s">
        <v>102</v>
      </c>
      <c r="ES560" s="2" t="s">
        <v>102</v>
      </c>
      <c r="ET560" s="2" t="str">
        <f>HYPERLINK(".\links\REFSEQ-INVERTEBRATE\AGAP000633-PA-REFSEQ-INVERTEBRATE.txt","AGAP000633-PA")</f>
        <v>AGAP000633-PA</v>
      </c>
      <c r="EU560" s="2" t="str">
        <f>HYPERLINK("http://www.ncbi.nlm.nih.gov/sutils/blink.cgi?pid=XP_311161.4","0.0")</f>
        <v>0.0</v>
      </c>
      <c r="EV560" s="2" t="str">
        <f>HYPERLINK("http://www.ncbi.nlm.nih.gov/protein/XP_311161.4","XP_311161.4")</f>
        <v>XP_311161.4</v>
      </c>
      <c r="EW560" s="2">
        <v>100</v>
      </c>
      <c r="EX560" s="2">
        <v>100</v>
      </c>
      <c r="EY560" s="2">
        <v>100</v>
      </c>
      <c r="EZ560" s="2" t="s">
        <v>105</v>
      </c>
    </row>
    <row r="561" spans="1:156" x14ac:dyDescent="0.25">
      <c r="A561" s="2" t="s">
        <v>5732</v>
      </c>
      <c r="B561" s="2">
        <v>-0.89524755805294098</v>
      </c>
      <c r="C561" s="2">
        <f t="shared" si="8"/>
        <v>0.53765492886339006</v>
      </c>
      <c r="D561" s="2">
        <v>6.5419359944988198</v>
      </c>
      <c r="E561" s="2">
        <v>11.6900050297335</v>
      </c>
      <c r="F561" s="2">
        <v>6.2836729093836E-4</v>
      </c>
      <c r="G561" s="2">
        <v>2.78944128477366E-2</v>
      </c>
      <c r="H561" s="2" t="s">
        <v>93</v>
      </c>
      <c r="I561" s="2" t="s">
        <v>94</v>
      </c>
      <c r="J561" s="2" t="str">
        <f>HYPERLINK("https://vectorbase.org/vectorbase/app/record/gene/AGAP004494","AGAP004494-RA")</f>
        <v>AGAP004494-RA</v>
      </c>
      <c r="K561" s="2" t="str">
        <f>HYPERLINK(".\links\pep\AGAP004494-PA-pep.txt","AGAP004494-PA")</f>
        <v>AGAP004494-PA</v>
      </c>
      <c r="L561" s="12" t="s">
        <v>95</v>
      </c>
      <c r="M561" s="2">
        <v>1690</v>
      </c>
      <c r="N561" s="2">
        <v>0</v>
      </c>
      <c r="O561" s="2">
        <v>7</v>
      </c>
      <c r="P561" s="2" t="s">
        <v>102</v>
      </c>
      <c r="Q561" s="9" t="s">
        <v>5733</v>
      </c>
      <c r="R561" s="2" t="s">
        <v>2783</v>
      </c>
      <c r="S561" s="2" t="str">
        <f>HYPERLINK(".\links\KOG\AGAP004494-PA-KOG.txt","KOG")</f>
        <v>KOG</v>
      </c>
      <c r="T561" s="2">
        <v>2.0000000000000001E-17</v>
      </c>
      <c r="U561" s="2">
        <v>51.4</v>
      </c>
      <c r="V561" s="2" t="s">
        <v>5734</v>
      </c>
      <c r="W561" s="10" t="s">
        <v>5735</v>
      </c>
      <c r="X561" s="2" t="s">
        <v>2783</v>
      </c>
      <c r="Y561" s="2" t="str">
        <f>HYPERLINK(".\links\KOG\AGAP004494-PA-KOG.txt","KOG")</f>
        <v>KOG</v>
      </c>
      <c r="Z561" s="15">
        <v>2.9999999999999999E-16</v>
      </c>
      <c r="AA561" s="2">
        <v>31</v>
      </c>
      <c r="AB561" s="13" t="s">
        <v>102</v>
      </c>
      <c r="AC561" s="13" t="str">
        <f>HYPERLINK(".\links\Sigp\AGAP004494-PA-SigP.txt","CYT")</f>
        <v>CYT</v>
      </c>
      <c r="AD561" s="2" t="s">
        <v>102</v>
      </c>
      <c r="AE561" s="2">
        <v>173.79900000000001</v>
      </c>
      <c r="AF561" s="2">
        <v>7.4</v>
      </c>
      <c r="AG561" s="2" t="s">
        <v>102</v>
      </c>
      <c r="AH561" s="2" t="s">
        <v>102</v>
      </c>
      <c r="AI561" s="2" t="s">
        <v>5736</v>
      </c>
      <c r="AJ561" s="13">
        <v>0</v>
      </c>
      <c r="AK561" s="2" t="s">
        <v>102</v>
      </c>
      <c r="AL561" s="2" t="s">
        <v>102</v>
      </c>
      <c r="AM561" s="2" t="s">
        <v>102</v>
      </c>
      <c r="AN561" s="13" t="str">
        <f>HYPERLINK(".\links\gpi\AGAP004494-PA-gpi.txt","N")</f>
        <v>N</v>
      </c>
      <c r="AO561" s="14" t="str">
        <f>HYPERLINK(".\links\netoglyc\AGAP004494-PA-netoglyc.txt","21")</f>
        <v>21</v>
      </c>
      <c r="AP561" s="13">
        <v>18.399999999999999</v>
      </c>
      <c r="AQ561" s="2">
        <v>9</v>
      </c>
      <c r="AR561" s="2">
        <v>7</v>
      </c>
      <c r="AS561" s="2" t="s">
        <v>104</v>
      </c>
      <c r="AT561" s="9" t="str">
        <f>HYPERLINK(".\links\NR-LIGHT\AGAP004494-PA-NR-LIGHT.txt","AGAP004494-PA")</f>
        <v>AGAP004494-PA</v>
      </c>
      <c r="AU561" s="2" t="str">
        <f>HYPERLINK("http://www.ncbi.nlm.nih.gov/sutils/blink.cgi?pid=XP_562251.4","0.0")</f>
        <v>0.0</v>
      </c>
      <c r="AV561" s="2" t="str">
        <f>HYPERLINK("http://www.ncbi.nlm.nih.gov/protein/XP_562251.4","XP_562251.4")</f>
        <v>XP_562251.4</v>
      </c>
      <c r="AW561" s="2">
        <v>99</v>
      </c>
      <c r="AX561" s="2">
        <v>100</v>
      </c>
      <c r="AY561" s="2">
        <v>93</v>
      </c>
      <c r="AZ561" s="2" t="s">
        <v>105</v>
      </c>
      <c r="BA561" s="9" t="str">
        <f>HYPERLINK(".\links\REFSEQ-INVERTEBRATE\AGAP004494-PA-REFSEQ-INVERTEBRATE.txt","AGAP004494-PA")</f>
        <v>AGAP004494-PA</v>
      </c>
      <c r="BB561" s="2" t="str">
        <f>HYPERLINK("http://www.ncbi.nlm.nih.gov/sutils/blink.cgi?pid=XP_562251.4","0.0")</f>
        <v>0.0</v>
      </c>
      <c r="BC561" s="2" t="str">
        <f>HYPERLINK("http://www.ncbi.nlm.nih.gov/protein/XP_562251.4","XP_562251.4")</f>
        <v>XP_562251.4</v>
      </c>
      <c r="BD561" s="2">
        <v>99</v>
      </c>
      <c r="BE561" s="2">
        <v>100</v>
      </c>
      <c r="BF561" s="2">
        <v>93</v>
      </c>
      <c r="BG561" s="2" t="s">
        <v>105</v>
      </c>
      <c r="BH561" s="9" t="str">
        <f>HYPERLINK(".\links\REFSEQ-PROTOZOA\AGAP004494-PA-REFSEQ-PROTOZOA.txt","proteophosphoglycan 5")</f>
        <v>proteophosphoglycan 5</v>
      </c>
      <c r="BI561" s="2" t="str">
        <f>HYPERLINK("http://www.ncbi.nlm.nih.gov/sutils/blink.cgi?pid=XP_003722449.1","6E-043")</f>
        <v>6E-043</v>
      </c>
      <c r="BJ561" s="2" t="str">
        <f>HYPERLINK("http://www.ncbi.nlm.nih.gov/protein/XP_003722449.1","XP_003722449.1")</f>
        <v>XP_003722449.1</v>
      </c>
      <c r="BK561" s="2">
        <v>17</v>
      </c>
      <c r="BL561" s="2">
        <v>36</v>
      </c>
      <c r="BM561" s="2">
        <v>9</v>
      </c>
      <c r="BN561" s="2" t="s">
        <v>3969</v>
      </c>
      <c r="BO561" s="9" t="str">
        <f>HYPERLINK(".\links\SWISSP\AGAP004494-PA-SWISSP.txt","Mushroom body large-type Kenyon cell-specific protein 1")</f>
        <v>Mushroom body large-type Kenyon cell-specific protein 1</v>
      </c>
      <c r="BP561" s="2" t="str">
        <f>HYPERLINK("http://www.uniprot.org/uniprot/Q95YM8","1E-045")</f>
        <v>1E-045</v>
      </c>
      <c r="BQ561" s="2" t="str">
        <f>HYPERLINK("http://www.uniprot.org/uniprot/Q95YM8#expression","Q95YM8")</f>
        <v>Q95YM8</v>
      </c>
      <c r="BR561" s="2">
        <v>25</v>
      </c>
      <c r="BS561" s="2">
        <v>37</v>
      </c>
      <c r="BT561" s="2">
        <v>76</v>
      </c>
      <c r="BU561" s="2" t="s">
        <v>187</v>
      </c>
      <c r="BV561" s="9" t="str">
        <f>HYPERLINK(".\links\FLYBASE\AGAP004494-PA-FLYBASE.txt","FBpp0083567")</f>
        <v>FBpp0083567</v>
      </c>
      <c r="BW561" s="2" t="str">
        <f>HYPERLINK("http://flybase.org/reports/FBgn0264490#alliance_summary_container","3E-44")</f>
        <v>3E-44</v>
      </c>
      <c r="BX561" s="2">
        <v>1165</v>
      </c>
      <c r="BY561" s="2">
        <v>49</v>
      </c>
      <c r="BZ561" s="2">
        <v>57</v>
      </c>
      <c r="CA561" s="2">
        <v>20</v>
      </c>
      <c r="CB561" s="9" t="str">
        <f>HYPERLINK(".\links\CDD\AGAP004494-PA-CDD.txt","HTH_psq, helix-turn-helix, Psq domain")</f>
        <v>HTH_psq, helix-turn-helix, Psq domain</v>
      </c>
      <c r="CC561" s="15">
        <v>9.9999999999999995E-8</v>
      </c>
      <c r="CD561" s="2">
        <v>102.2</v>
      </c>
      <c r="CE561" s="2" t="s">
        <v>5737</v>
      </c>
      <c r="CF561" s="2" t="s">
        <v>5738</v>
      </c>
      <c r="CG561" s="9" t="str">
        <f>HYPERLINK(".\links\KOG\AGAP004494-PA-KOG.txt","putative transcription regulator")</f>
        <v>putative transcription regulator</v>
      </c>
      <c r="CH561" s="15">
        <v>2.0000000000000001E-17</v>
      </c>
      <c r="CI561" s="2">
        <v>51.5</v>
      </c>
      <c r="CJ561" s="2" t="s">
        <v>5739</v>
      </c>
      <c r="CK561" s="2" t="s">
        <v>309</v>
      </c>
      <c r="CL561" s="9" t="str">
        <f>HYPERLINK(".\links\PFAM\AGAP004494-PA-PFAM.txt","HTH_psq, helix-turn-helix, Psq domain")</f>
        <v>HTH_psq, helix-turn-helix, Psq domain</v>
      </c>
      <c r="CM561" s="15">
        <v>2E-8</v>
      </c>
      <c r="CN561" s="2">
        <v>102.2</v>
      </c>
      <c r="CO561" s="2" t="s">
        <v>5737</v>
      </c>
      <c r="CP561" s="9" t="str">
        <f>HYPERLINK(".\links\SMART\AGAP004494-PA-SMART.txt","VWA, von Willebrand factor (vWF) type A domain")</f>
        <v>VWA, von Willebrand factor (vWF) type A domain</v>
      </c>
      <c r="CQ561" s="15">
        <v>0.02</v>
      </c>
      <c r="CR561" s="2">
        <v>28</v>
      </c>
      <c r="CS561" s="2" t="s">
        <v>3556</v>
      </c>
      <c r="CT561" s="2" t="s">
        <v>5734</v>
      </c>
      <c r="CU561" s="2" t="s">
        <v>5734</v>
      </c>
      <c r="CV561" s="2" t="s">
        <v>5734</v>
      </c>
      <c r="CW561" s="2" t="str">
        <f>HYPERLINK(".\links\pep\AGAP004494-PA-pep.txt","AGAP004494-PA")</f>
        <v>AGAP004494-PA</v>
      </c>
      <c r="CX561" s="2" t="s">
        <v>95</v>
      </c>
      <c r="CY561" s="2">
        <v>1690</v>
      </c>
      <c r="CZ561" s="2" t="s">
        <v>113</v>
      </c>
      <c r="DA561" s="2" t="s">
        <v>5740</v>
      </c>
      <c r="DB561" s="2">
        <v>0</v>
      </c>
      <c r="DC561" s="2">
        <v>7</v>
      </c>
      <c r="DD561" s="2" t="str">
        <f>HYPERLINK("https://www.kegg.jp/kegg-bin/search_pathway_text?map=aga&amp;keyword=AGAP004494&amp;mode=1&amp;viewImage=true","AGAP004494")</f>
        <v>AGAP004494</v>
      </c>
      <c r="DE561" s="2" t="s">
        <v>5732</v>
      </c>
      <c r="DF561" s="2" t="s">
        <v>93</v>
      </c>
      <c r="DG561" s="2" t="s">
        <v>94</v>
      </c>
      <c r="DH561" s="2" t="str">
        <f>HYPERLINK("https://vectorbase.org/vectorbase/app/record/gene/AGAP004494","AGAP004494-RA")</f>
        <v>AGAP004494-RA</v>
      </c>
      <c r="DI561" s="2" t="s">
        <v>118</v>
      </c>
      <c r="DJ561" s="2">
        <v>8599</v>
      </c>
      <c r="DK561" s="2" t="str">
        <f>HYPERLINK(".\links\netoglyc\AGAP004494-PA-netoglyc.txt","21")</f>
        <v>21</v>
      </c>
      <c r="DL561" s="2">
        <v>18.399999999999999</v>
      </c>
      <c r="DM561" s="2">
        <v>9</v>
      </c>
      <c r="DN561" s="2">
        <v>7</v>
      </c>
      <c r="DO561" s="2" t="s">
        <v>104</v>
      </c>
      <c r="DP561" s="2" t="s">
        <v>102</v>
      </c>
      <c r="DQ561" s="2" t="str">
        <f>HYPERLINK(".\links\Sigp\AGAP004494-PA-SigP.txt","CYT")</f>
        <v>CYT</v>
      </c>
      <c r="DR561" s="2" t="s">
        <v>102</v>
      </c>
      <c r="DS561" s="2">
        <v>173.79900000000001</v>
      </c>
      <c r="DT561" s="2">
        <v>7.4</v>
      </c>
      <c r="DU561" s="2" t="s">
        <v>102</v>
      </c>
      <c r="DV561" s="2" t="s">
        <v>102</v>
      </c>
      <c r="DW561" s="2" t="s">
        <v>5736</v>
      </c>
      <c r="DX561" s="2">
        <v>1690</v>
      </c>
      <c r="DY561" s="12">
        <v>0</v>
      </c>
      <c r="DZ561" s="2" t="s">
        <v>102</v>
      </c>
      <c r="EA561" s="2" t="s">
        <v>102</v>
      </c>
      <c r="EB561" s="2" t="s">
        <v>102</v>
      </c>
      <c r="EC561" s="2" t="str">
        <f>HYPERLINK(".\links\gpi\AGAP004494-PA-gpi.txt","N")</f>
        <v>N</v>
      </c>
      <c r="ED561" s="2">
        <v>0.33</v>
      </c>
      <c r="EF561" s="2">
        <v>9</v>
      </c>
      <c r="EG561" s="2" t="s">
        <v>102</v>
      </c>
      <c r="EH561" s="2" t="s">
        <v>102</v>
      </c>
      <c r="EI561" s="2">
        <v>18.4023668639053</v>
      </c>
      <c r="EJ561" s="2">
        <v>7.0414201183431997</v>
      </c>
      <c r="EK561" s="2">
        <v>8.9940828402366897</v>
      </c>
      <c r="EL561" s="2">
        <v>16.035502958579901</v>
      </c>
      <c r="EM561" s="2">
        <v>2</v>
      </c>
      <c r="EN561" s="2">
        <v>8</v>
      </c>
      <c r="EO561" s="2">
        <v>9</v>
      </c>
      <c r="EP561" s="2" t="s">
        <v>102</v>
      </c>
      <c r="EQ561" s="2" t="s">
        <v>102</v>
      </c>
      <c r="ER561" s="2" t="s">
        <v>102</v>
      </c>
      <c r="ES561" s="2" t="s">
        <v>102</v>
      </c>
      <c r="ET561" s="2" t="str">
        <f>HYPERLINK(".\links\REFSEQ-INVERTEBRATE\AGAP004494-PA-REFSEQ-INVERTEBRATE.txt","AGAP004494-PA")</f>
        <v>AGAP004494-PA</v>
      </c>
      <c r="EU561" s="2" t="str">
        <f>HYPERLINK("http://www.ncbi.nlm.nih.gov/sutils/blink.cgi?pid=XP_562251.4","0.0")</f>
        <v>0.0</v>
      </c>
      <c r="EV561" s="2" t="str">
        <f>HYPERLINK("http://www.ncbi.nlm.nih.gov/protein/XP_562251.4","XP_562251.4")</f>
        <v>XP_562251.4</v>
      </c>
      <c r="EW561" s="2">
        <v>99</v>
      </c>
      <c r="EX561" s="2">
        <v>100</v>
      </c>
      <c r="EY561" s="2">
        <v>93</v>
      </c>
      <c r="EZ561" s="2" t="s">
        <v>105</v>
      </c>
    </row>
    <row r="562" spans="1:156" x14ac:dyDescent="0.25">
      <c r="A562" s="2" t="s">
        <v>5741</v>
      </c>
      <c r="B562" s="2">
        <v>-0.91216147565841399</v>
      </c>
      <c r="C562" s="2">
        <f t="shared" si="8"/>
        <v>0.53138835746621416</v>
      </c>
      <c r="D562" s="2">
        <v>2.6452390220361899</v>
      </c>
      <c r="E562" s="2">
        <v>10.9190902100858</v>
      </c>
      <c r="F562" s="2">
        <v>9.5178339734787302E-4</v>
      </c>
      <c r="G562" s="2">
        <v>3.1567485137173897E-2</v>
      </c>
      <c r="H562" s="2" t="s">
        <v>93</v>
      </c>
      <c r="I562" s="2" t="s">
        <v>94</v>
      </c>
      <c r="J562" s="2" t="str">
        <f>HYPERLINK("https://vectorbase.org/vectorbase/app/record/gene/AGAP002575","AGAP002575-RA")</f>
        <v>AGAP002575-RA</v>
      </c>
      <c r="K562" s="2" t="str">
        <f>HYPERLINK(".\links\pep\AGAP002575-PA-pep.txt","AGAP002575-PA")</f>
        <v>AGAP002575-PA</v>
      </c>
      <c r="L562" s="12" t="s">
        <v>95</v>
      </c>
      <c r="M562" s="2">
        <v>243</v>
      </c>
      <c r="N562" s="2">
        <v>0</v>
      </c>
      <c r="O562" s="2">
        <v>0</v>
      </c>
      <c r="P562" s="2" t="s">
        <v>102</v>
      </c>
      <c r="Q562" s="9" t="s">
        <v>5742</v>
      </c>
      <c r="R562" s="2" t="s">
        <v>2783</v>
      </c>
      <c r="S562" s="2" t="str">
        <f>HYPERLINK(".\links\KOG\AGAP002575-PA-KOG.txt","KOG")</f>
        <v>KOG</v>
      </c>
      <c r="T562" s="2">
        <v>7E-39</v>
      </c>
      <c r="U562" s="2">
        <v>85.8</v>
      </c>
      <c r="V562" s="2" t="s">
        <v>5743</v>
      </c>
      <c r="W562" s="10" t="s">
        <v>5744</v>
      </c>
      <c r="X562" s="2" t="s">
        <v>2783</v>
      </c>
      <c r="Y562" s="2" t="str">
        <f>HYPERLINK(".\links\KOG\AGAP002575-PA-KOG.txt","KOG")</f>
        <v>KOG</v>
      </c>
      <c r="Z562" s="15">
        <v>3E-28</v>
      </c>
      <c r="AA562" s="2">
        <v>90.9</v>
      </c>
      <c r="AB562" s="13" t="s">
        <v>102</v>
      </c>
      <c r="AC562" s="13" t="str">
        <f>HYPERLINK(".\links\Sigp\AGAP002575-PA-SigP.txt","CYT")</f>
        <v>CYT</v>
      </c>
      <c r="AD562" s="2" t="s">
        <v>102</v>
      </c>
      <c r="AE562" s="2">
        <v>27.475999999999999</v>
      </c>
      <c r="AF562" s="2">
        <v>5.01</v>
      </c>
      <c r="AG562" s="2" t="s">
        <v>102</v>
      </c>
      <c r="AH562" s="2" t="s">
        <v>102</v>
      </c>
      <c r="AI562" s="2" t="s">
        <v>211</v>
      </c>
      <c r="AJ562" s="13">
        <v>0</v>
      </c>
      <c r="AK562" s="2" t="s">
        <v>102</v>
      </c>
      <c r="AL562" s="2" t="s">
        <v>102</v>
      </c>
      <c r="AM562" s="2" t="s">
        <v>102</v>
      </c>
      <c r="AN562" s="13" t="str">
        <f>HYPERLINK(".\links\gpi\AGAP002575-PA-gpi.txt","N")</f>
        <v>N</v>
      </c>
      <c r="AO562" s="14" t="str">
        <f>HYPERLINK(".\links\netoglyc\AGAP002575-PA-netoglyc.txt","0")</f>
        <v>0</v>
      </c>
      <c r="AP562" s="13">
        <v>10.3</v>
      </c>
      <c r="AQ562" s="2">
        <v>4.0999999999999996</v>
      </c>
      <c r="AR562" s="2">
        <v>4.0999999999999996</v>
      </c>
      <c r="AS562" s="2" t="s">
        <v>104</v>
      </c>
      <c r="AT562" s="9" t="str">
        <f>HYPERLINK(".\links\NR-LIGHT\AGAP002575-PA-NR-LIGHT.txt","AGAP002575-PA")</f>
        <v>AGAP002575-PA</v>
      </c>
      <c r="AU562" s="2" t="str">
        <f>HYPERLINK("http://www.ncbi.nlm.nih.gov/sutils/blink.cgi?pid=XP_312362.3","1E-139")</f>
        <v>1E-139</v>
      </c>
      <c r="AV562" s="2" t="str">
        <f>HYPERLINK("http://www.ncbi.nlm.nih.gov/protein/XP_312362.3","XP_312362.3")</f>
        <v>XP_312362.3</v>
      </c>
      <c r="AW562" s="2">
        <v>100</v>
      </c>
      <c r="AX562" s="2">
        <v>100</v>
      </c>
      <c r="AY562" s="2">
        <v>100</v>
      </c>
      <c r="AZ562" s="2" t="s">
        <v>105</v>
      </c>
      <c r="BA562" s="9" t="str">
        <f>HYPERLINK(".\links\REFSEQ-INVERTEBRATE\AGAP002575-PA-REFSEQ-INVERTEBRATE.txt","AGAP002575-PA")</f>
        <v>AGAP002575-PA</v>
      </c>
      <c r="BB562" s="2" t="str">
        <f>HYPERLINK("http://www.ncbi.nlm.nih.gov/sutils/blink.cgi?pid=XP_312362.3","1E-139")</f>
        <v>1E-139</v>
      </c>
      <c r="BC562" s="2" t="str">
        <f>HYPERLINK("http://www.ncbi.nlm.nih.gov/protein/XP_312362.3","XP_312362.3")</f>
        <v>XP_312362.3</v>
      </c>
      <c r="BD562" s="2">
        <v>100</v>
      </c>
      <c r="BE562" s="2">
        <v>100</v>
      </c>
      <c r="BF562" s="2">
        <v>100</v>
      </c>
      <c r="BG562" s="2" t="s">
        <v>105</v>
      </c>
      <c r="BH562" s="9" t="str">
        <f>HYPERLINK(".\links\REFSEQ-PROTOZOA\AGAP002575-PA-REFSEQ-PROTOZOA.txt","hypothetical protein CAOG_09024")</f>
        <v>hypothetical protein CAOG_09024</v>
      </c>
      <c r="BI562" s="2" t="str">
        <f>HYPERLINK("http://www.ncbi.nlm.nih.gov/sutils/blink.cgi?pid=XP_011270712.1","3E-016")</f>
        <v>3E-016</v>
      </c>
      <c r="BJ562" s="2" t="str">
        <f>HYPERLINK("http://www.ncbi.nlm.nih.gov/protein/XP_011270712.1","XP_011270712.1")</f>
        <v>XP_011270712.1</v>
      </c>
      <c r="BK562" s="2">
        <v>33</v>
      </c>
      <c r="BL562" s="2">
        <v>57</v>
      </c>
      <c r="BM562" s="2">
        <v>74</v>
      </c>
      <c r="BN562" s="2" t="s">
        <v>106</v>
      </c>
      <c r="BO562" s="9" t="str">
        <f>HYPERLINK(".\links\SWISSP\AGAP002575-PA-SWISSP.txt","Leucine-rich repeat-containing protein 20")</f>
        <v>Leucine-rich repeat-containing protein 20</v>
      </c>
      <c r="BP562" s="2" t="str">
        <f>HYPERLINK("http://www.uniprot.org/uniprot/Q8TCA0","1E-017")</f>
        <v>1E-017</v>
      </c>
      <c r="BQ562" s="2" t="str">
        <f>HYPERLINK("http://www.uniprot.org/uniprot/Q8TCA0#expression","Q8TCA0")</f>
        <v>Q8TCA0</v>
      </c>
      <c r="BR562" s="2">
        <v>29</v>
      </c>
      <c r="BS562" s="2">
        <v>55</v>
      </c>
      <c r="BT562" s="2">
        <v>84</v>
      </c>
      <c r="BU562" s="2" t="s">
        <v>127</v>
      </c>
      <c r="BV562" s="9" t="str">
        <f>HYPERLINK(".\links\FLYBASE\AGAP002575-PA-FLYBASE.txt","FBpp0073430")</f>
        <v>FBpp0073430</v>
      </c>
      <c r="BW562" s="2" t="str">
        <f>HYPERLINK("http://flybase.org/reports/FBgn0030357#alliance_summary_container","8E-76")</f>
        <v>8E-76</v>
      </c>
      <c r="BX562" s="2">
        <v>249</v>
      </c>
      <c r="BY562" s="2">
        <v>50</v>
      </c>
      <c r="BZ562" s="2">
        <v>66</v>
      </c>
      <c r="CA562" s="2">
        <v>101</v>
      </c>
      <c r="CB562" s="9" t="str">
        <f>HYPERLINK(".\links\CDD\AGAP002575-PA-CDD.txt","LRR_RI, leucine-rich repeats, ribonuclease inhibitor (RI)-like subfamily")</f>
        <v>LRR_RI, leucine-rich repeats, ribonuclease inhibitor (RI)-like subfamily</v>
      </c>
      <c r="CC562" s="15">
        <v>5.9999999999999997E-14</v>
      </c>
      <c r="CD562" s="2">
        <v>55.5</v>
      </c>
      <c r="CE562" s="2" t="s">
        <v>281</v>
      </c>
      <c r="CF562" s="2" t="s">
        <v>5745</v>
      </c>
      <c r="CG562" s="9" t="str">
        <f>HYPERLINK(".\links\KOG\AGAP002575-PA-KOG.txt","Leucine-rich repeat (LRR) protein associated with apoptosis in muscle tissue")</f>
        <v>Leucine-rich repeat (LRR) protein associated with apoptosis in muscle tissue</v>
      </c>
      <c r="CH562" s="15">
        <v>7E-39</v>
      </c>
      <c r="CI562" s="2">
        <v>85.9</v>
      </c>
      <c r="CJ562" s="2" t="s">
        <v>5746</v>
      </c>
      <c r="CK562" s="2" t="s">
        <v>191</v>
      </c>
      <c r="CL562" s="9" t="str">
        <f>HYPERLINK(".\links\PFAM\AGAP002575-PA-PFAM.txt","LRR_8, Leucine rich repeat")</f>
        <v>LRR_8, Leucine rich repeat</v>
      </c>
      <c r="CM562" s="15">
        <v>2.0000000000000002E-5</v>
      </c>
      <c r="CN562" s="2">
        <v>100</v>
      </c>
      <c r="CO562" s="2" t="s">
        <v>285</v>
      </c>
      <c r="CP562" s="9" t="str">
        <f>HYPERLINK(".\links\SMART\AGAP002575-PA-SMART.txt","LRR, Leucine-rich repeats, outliers")</f>
        <v>LRR, Leucine-rich repeats, outliers</v>
      </c>
      <c r="CQ562" s="15">
        <v>0.21</v>
      </c>
      <c r="CR562" s="2">
        <v>91.7</v>
      </c>
      <c r="CS562" s="2" t="s">
        <v>286</v>
      </c>
      <c r="CT562" s="2" t="s">
        <v>5743</v>
      </c>
      <c r="CU562" s="2" t="s">
        <v>5743</v>
      </c>
      <c r="CV562" s="2" t="s">
        <v>5743</v>
      </c>
      <c r="CW562" s="2" t="str">
        <f>HYPERLINK(".\links\pep\AGAP002575-PA-pep.txt","AGAP002575-PA")</f>
        <v>AGAP002575-PA</v>
      </c>
      <c r="CX562" s="2" t="s">
        <v>95</v>
      </c>
      <c r="CY562" s="2">
        <v>243</v>
      </c>
      <c r="CZ562" s="2" t="s">
        <v>113</v>
      </c>
      <c r="DA562" s="2" t="s">
        <v>5747</v>
      </c>
      <c r="DB562" s="2">
        <v>0</v>
      </c>
      <c r="DC562" s="2">
        <v>0</v>
      </c>
      <c r="DD562" s="2" t="str">
        <f>HYPERLINK("https://www.kegg.jp/kegg-bin/search_pathway_text?map=aga&amp;keyword=AGAP002575&amp;mode=1&amp;viewImage=true","AGAP002575")</f>
        <v>AGAP002575</v>
      </c>
      <c r="DE562" s="2" t="s">
        <v>5741</v>
      </c>
      <c r="DF562" s="2" t="s">
        <v>93</v>
      </c>
      <c r="DG562" s="2" t="s">
        <v>94</v>
      </c>
      <c r="DH562" s="2" t="str">
        <f>HYPERLINK("https://vectorbase.org/vectorbase/app/record/gene/AGAP002575","AGAP002575-RA")</f>
        <v>AGAP002575-RA</v>
      </c>
      <c r="DI562" s="2" t="s">
        <v>115</v>
      </c>
      <c r="DJ562" s="2">
        <v>1154</v>
      </c>
      <c r="DK562" s="2" t="str">
        <f>HYPERLINK(".\links\netoglyc\AGAP002575-PA-netoglyc.txt","0")</f>
        <v>0</v>
      </c>
      <c r="DL562" s="2">
        <v>10.3</v>
      </c>
      <c r="DM562" s="2">
        <v>4.0999999999999996</v>
      </c>
      <c r="DN562" s="2">
        <v>4.0999999999999996</v>
      </c>
      <c r="DO562" s="2" t="s">
        <v>104</v>
      </c>
      <c r="DP562" s="2" t="s">
        <v>102</v>
      </c>
      <c r="DQ562" s="2" t="str">
        <f>HYPERLINK(".\links\Sigp\AGAP002575-PA-SigP.txt","CYT")</f>
        <v>CYT</v>
      </c>
      <c r="DR562" s="2" t="s">
        <v>102</v>
      </c>
      <c r="DS562" s="2">
        <v>27.475999999999999</v>
      </c>
      <c r="DT562" s="2">
        <v>5.01</v>
      </c>
      <c r="DU562" s="2" t="s">
        <v>102</v>
      </c>
      <c r="DV562" s="2" t="s">
        <v>102</v>
      </c>
      <c r="DW562" s="2" t="s">
        <v>211</v>
      </c>
      <c r="DX562" s="2">
        <v>243</v>
      </c>
      <c r="DY562" s="12">
        <v>0</v>
      </c>
      <c r="DZ562" s="2" t="s">
        <v>102</v>
      </c>
      <c r="EA562" s="2" t="s">
        <v>102</v>
      </c>
      <c r="EB562" s="2" t="s">
        <v>102</v>
      </c>
      <c r="EC562" s="2" t="str">
        <f>HYPERLINK(".\links\gpi\AGAP002575-PA-gpi.txt","N")</f>
        <v>N</v>
      </c>
      <c r="ED562" s="2">
        <v>0.37</v>
      </c>
      <c r="EF562" s="2">
        <v>5</v>
      </c>
      <c r="EG562" s="2" t="s">
        <v>102</v>
      </c>
      <c r="EH562" s="2" t="s">
        <v>102</v>
      </c>
      <c r="EI562" s="2">
        <v>10.2880658436214</v>
      </c>
      <c r="EJ562" s="2">
        <v>4.1152263374485596</v>
      </c>
      <c r="EK562" s="2">
        <v>4.1152263374485596</v>
      </c>
      <c r="EL562" s="2">
        <v>8.2304526748971192</v>
      </c>
      <c r="EM562" s="2" t="s">
        <v>102</v>
      </c>
      <c r="EN562" s="2" t="s">
        <v>102</v>
      </c>
      <c r="EO562" s="2" t="s">
        <v>102</v>
      </c>
      <c r="EP562" s="2" t="s">
        <v>102</v>
      </c>
      <c r="EQ562" s="2" t="s">
        <v>102</v>
      </c>
      <c r="ER562" s="2" t="s">
        <v>102</v>
      </c>
      <c r="ES562" s="2" t="s">
        <v>102</v>
      </c>
      <c r="ET562" s="2" t="str">
        <f>HYPERLINK(".\links\REFSEQ-INVERTEBRATE\AGAP002575-PA-REFSEQ-INVERTEBRATE.txt","AGAP002575-PA")</f>
        <v>AGAP002575-PA</v>
      </c>
      <c r="EU562" s="2" t="str">
        <f>HYPERLINK("http://www.ncbi.nlm.nih.gov/sutils/blink.cgi?pid=XP_312362.3","1E-179")</f>
        <v>1E-179</v>
      </c>
      <c r="EV562" s="2" t="str">
        <f>HYPERLINK("http://www.ncbi.nlm.nih.gov/protein/XP_312362.3","XP_312362.3")</f>
        <v>XP_312362.3</v>
      </c>
      <c r="EW562" s="2">
        <v>100</v>
      </c>
      <c r="EX562" s="2">
        <v>100</v>
      </c>
      <c r="EY562" s="2">
        <v>100</v>
      </c>
      <c r="EZ562" s="2" t="s">
        <v>105</v>
      </c>
    </row>
    <row r="563" spans="1:156" x14ac:dyDescent="0.25">
      <c r="A563" s="2" t="s">
        <v>5748</v>
      </c>
      <c r="B563" s="2">
        <v>-0.96248521247584196</v>
      </c>
      <c r="C563" s="2">
        <f t="shared" si="8"/>
        <v>0.51317215189723753</v>
      </c>
      <c r="D563" s="2">
        <v>6.2844703045188703</v>
      </c>
      <c r="E563" s="2">
        <v>63.368089680272</v>
      </c>
      <c r="F563" s="2">
        <v>1.71473420821781E-15</v>
      </c>
      <c r="G563" s="2">
        <v>8.4493528109932806E-12</v>
      </c>
      <c r="H563" s="2" t="s">
        <v>5749</v>
      </c>
      <c r="I563" s="2" t="s">
        <v>88</v>
      </c>
      <c r="J563" s="8" t="s">
        <v>5750</v>
      </c>
      <c r="Q563" s="9"/>
      <c r="W563" s="10"/>
      <c r="AB563" s="9"/>
      <c r="AC563" s="9"/>
      <c r="AJ563" s="9"/>
      <c r="AN563" s="9"/>
      <c r="AO563" s="11"/>
      <c r="AP563" s="9"/>
      <c r="AT563" s="9"/>
      <c r="BA563" s="9"/>
      <c r="BH563" s="9"/>
      <c r="BO563" s="9"/>
      <c r="BV563" s="9"/>
      <c r="CB563" s="9"/>
      <c r="CG563" s="9"/>
      <c r="CL563" s="9"/>
      <c r="CP563" s="9"/>
      <c r="DE563" s="2" t="s">
        <v>5748</v>
      </c>
      <c r="DF563" s="2" t="s">
        <v>5749</v>
      </c>
      <c r="DG563" s="2" t="s">
        <v>88</v>
      </c>
      <c r="DH563" s="8" t="s">
        <v>5750</v>
      </c>
      <c r="DI563" s="2" t="s">
        <v>90</v>
      </c>
      <c r="DJ563" s="2">
        <v>19250</v>
      </c>
      <c r="DQ563" s="2" t="s">
        <v>141</v>
      </c>
      <c r="DS563" s="2">
        <v>450705</v>
      </c>
      <c r="DT563" s="2">
        <v>7.69</v>
      </c>
      <c r="DX563" s="2">
        <v>4217</v>
      </c>
      <c r="DY563" s="12"/>
    </row>
    <row r="564" spans="1:156" x14ac:dyDescent="0.25">
      <c r="A564" s="2" t="s">
        <v>5751</v>
      </c>
      <c r="B564" s="2">
        <v>-0.99828768813437896</v>
      </c>
      <c r="C564" s="2">
        <f t="shared" si="8"/>
        <v>0.50059379438380991</v>
      </c>
      <c r="D564" s="2">
        <v>4.7569348230106998</v>
      </c>
      <c r="E564" s="2">
        <v>10.0160616780461</v>
      </c>
      <c r="F564" s="2">
        <v>1.55180936758195E-3</v>
      </c>
      <c r="G564" s="2">
        <v>3.8618892215960002E-2</v>
      </c>
      <c r="H564" s="2" t="s">
        <v>93</v>
      </c>
      <c r="I564" s="2" t="s">
        <v>94</v>
      </c>
      <c r="J564" s="2" t="str">
        <f>HYPERLINK("https://vectorbase.org/vectorbase/app/record/gene/AGAP012316","AGAP012316-RA")</f>
        <v>AGAP012316-RA</v>
      </c>
      <c r="K564" s="2" t="str">
        <f>HYPERLINK(".\links\pep\AGAP012316-PA-pep.txt","AGAP012316-PA")</f>
        <v>AGAP012316-PA</v>
      </c>
      <c r="L564" s="12" t="s">
        <v>95</v>
      </c>
      <c r="M564" s="2">
        <v>199</v>
      </c>
      <c r="N564" s="2">
        <v>0</v>
      </c>
      <c r="O564" s="2">
        <v>1</v>
      </c>
      <c r="P564" s="2" t="s">
        <v>102</v>
      </c>
      <c r="Q564" s="9" t="s">
        <v>5752</v>
      </c>
      <c r="R564" s="2" t="s">
        <v>1737</v>
      </c>
      <c r="S564" s="2" t="str">
        <f>HYPERLINK(".\links\REFSEQ-INVERTEBRATE\AGAP012316-PA-REFSEQ-INVERTEBRATE.txt","REFSEQ-INVERTEBRATE")</f>
        <v>REFSEQ-INVERTEBRATE</v>
      </c>
      <c r="T564" s="2">
        <v>6.9999999999999996E-54</v>
      </c>
      <c r="V564" s="2" t="s">
        <v>5753</v>
      </c>
      <c r="W564" s="10" t="s">
        <v>5754</v>
      </c>
      <c r="X564" s="2" t="s">
        <v>1737</v>
      </c>
      <c r="Y564" s="2" t="str">
        <f>HYPERLINK(".\links\REFSEQ-INVERTEBRATE\AGAP012316-PA-REFSEQ-INVERTEBRATE.txt","REFSEQ-INVERTEBRATE")</f>
        <v>REFSEQ-INVERTEBRATE</v>
      </c>
      <c r="Z564" s="15">
        <v>0</v>
      </c>
      <c r="AB564" s="13" t="s">
        <v>102</v>
      </c>
      <c r="AC564" s="13" t="str">
        <f>HYPERLINK(".\links\Sigp\AGAP012316-PA-SigP.txt","ANC")</f>
        <v>ANC</v>
      </c>
      <c r="AD564" s="2" t="s">
        <v>102</v>
      </c>
      <c r="AE564" s="2">
        <v>21.042000000000002</v>
      </c>
      <c r="AF564" s="2">
        <v>9.3699999999999992</v>
      </c>
      <c r="AG564" s="2">
        <v>19.542000000000002</v>
      </c>
      <c r="AH564" s="2">
        <v>9.69</v>
      </c>
      <c r="AI564" s="2" t="s">
        <v>5755</v>
      </c>
      <c r="AJ564" s="13" t="str">
        <f>HYPERLINK(".\links\tmhmm\AGAP012316-PA-tmhmm.txt","2")</f>
        <v>2</v>
      </c>
      <c r="AK564" s="2">
        <v>22.1</v>
      </c>
      <c r="AL564" s="2">
        <v>2.5</v>
      </c>
      <c r="AM564" s="2">
        <v>75.400000000000006</v>
      </c>
      <c r="AN564" s="13" t="str">
        <f>HYPERLINK(".\links\gpi\AGAP012316-PA-gpi.txt","N")</f>
        <v>N</v>
      </c>
      <c r="AO564" s="14" t="str">
        <f>HYPERLINK(".\links\netoglyc\AGAP012316-PA-netoglyc.txt","15")</f>
        <v>15</v>
      </c>
      <c r="AP564" s="13">
        <v>20.6</v>
      </c>
      <c r="AQ564" s="2">
        <v>10.1</v>
      </c>
      <c r="AR564" s="2">
        <v>5.5</v>
      </c>
      <c r="AS564" s="2" t="s">
        <v>104</v>
      </c>
      <c r="AT564" s="9" t="str">
        <f>HYPERLINK(".\links\NR-LIGHT\AGAP012316-PA-NR-LIGHT.txt","AGAP012316-PA")</f>
        <v>AGAP012316-PA</v>
      </c>
      <c r="AU564" s="2" t="str">
        <f>HYPERLINK("http://www.ncbi.nlm.nih.gov/sutils/blink.cgi?pid=XP_320228.3","7E-054")</f>
        <v>7E-054</v>
      </c>
      <c r="AV564" s="2" t="str">
        <f>HYPERLINK("http://www.ncbi.nlm.nih.gov/protein/XP_320228.3","XP_320228.3")</f>
        <v>XP_320228.3</v>
      </c>
      <c r="AW564" s="2">
        <v>100</v>
      </c>
      <c r="AX564" s="2">
        <v>100</v>
      </c>
      <c r="AY564" s="2">
        <v>100</v>
      </c>
      <c r="AZ564" s="2" t="s">
        <v>105</v>
      </c>
      <c r="BA564" s="9" t="str">
        <f>HYPERLINK(".\links\REFSEQ-INVERTEBRATE\AGAP012316-PA-REFSEQ-INVERTEBRATE.txt","AGAP012316-PA")</f>
        <v>AGAP012316-PA</v>
      </c>
      <c r="BB564" s="2" t="str">
        <f>HYPERLINK("http://www.ncbi.nlm.nih.gov/sutils/blink.cgi?pid=XP_320228.3","7E-054")</f>
        <v>7E-054</v>
      </c>
      <c r="BC564" s="2" t="str">
        <f>HYPERLINK("http://www.ncbi.nlm.nih.gov/protein/XP_320228.3","XP_320228.3")</f>
        <v>XP_320228.3</v>
      </c>
      <c r="BD564" s="2">
        <v>100</v>
      </c>
      <c r="BE564" s="2">
        <v>100</v>
      </c>
      <c r="BF564" s="2">
        <v>100</v>
      </c>
      <c r="BG564" s="2" t="s">
        <v>105</v>
      </c>
      <c r="BH564" s="9" t="str">
        <f>HYPERLINK(".\links\REFSEQ-PROTOZOA\AGAP012316-PA-REFSEQ-PROTOZOA.txt","hypothetical protein PPTG_07528")</f>
        <v>hypothetical protein PPTG_07528</v>
      </c>
      <c r="BI564" s="2" t="str">
        <f>HYPERLINK("http://www.ncbi.nlm.nih.gov/sutils/blink.cgi?pid=XP_008900053.1","0.13")</f>
        <v>0.13</v>
      </c>
      <c r="BJ564" s="2" t="str">
        <f>HYPERLINK("http://www.ncbi.nlm.nih.gov/protein/XP_008900053.1","XP_008900053.1")</f>
        <v>XP_008900053.1</v>
      </c>
      <c r="BK564" s="2">
        <v>40</v>
      </c>
      <c r="BL564" s="2">
        <v>44</v>
      </c>
      <c r="BM564" s="2">
        <v>41</v>
      </c>
      <c r="BN564" s="2" t="s">
        <v>556</v>
      </c>
      <c r="BO564" s="9" t="str">
        <f>HYPERLINK(".\links\SWISSP\AGAP012316-PA-SWISSP.txt","Probable serine/threonine-protein kinase DDB_G0269628")</f>
        <v>Probable serine/threonine-protein kinase DDB_G0269628</v>
      </c>
      <c r="BP564" s="2" t="str">
        <f>HYPERLINK("http://www.uniprot.org/uniprot/Q55DK2","0.089")</f>
        <v>0.089</v>
      </c>
      <c r="BQ564" s="2" t="str">
        <f>HYPERLINK("http://www.uniprot.org/uniprot/Q55DK2#expression","Q55DK2")</f>
        <v>Q55DK2</v>
      </c>
      <c r="BR564" s="2">
        <v>30</v>
      </c>
      <c r="BS564" s="2">
        <v>39</v>
      </c>
      <c r="BT564" s="2">
        <v>13</v>
      </c>
      <c r="BU564" s="2" t="s">
        <v>1919</v>
      </c>
      <c r="BV564" s="9" t="str">
        <f>HYPERLINK(".\links\FLYBASE\AGAP012316-PA-FLYBASE.txt","FBpp0297277")</f>
        <v>FBpp0297277</v>
      </c>
      <c r="BW564" s="2" t="str">
        <f>HYPERLINK("http://flybase.org/reports/FBgn0262823#alliance_summary_container","0.53")</f>
        <v>0.53</v>
      </c>
      <c r="BX564" s="2">
        <v>88</v>
      </c>
      <c r="BY564" s="2">
        <v>32</v>
      </c>
      <c r="BZ564" s="2">
        <v>46</v>
      </c>
      <c r="CA564" s="2">
        <v>91</v>
      </c>
      <c r="CB564" s="9" t="str">
        <f>HYPERLINK(".\links\CDD\AGAP012316-PA-CDD.txt","DUF2207, Predicted membrane protein (DUF2207)")</f>
        <v>DUF2207, Predicted membrane protein (DUF2207)</v>
      </c>
      <c r="CC564" s="15">
        <v>3.3000000000000002E-2</v>
      </c>
      <c r="CD564" s="2">
        <v>13.3</v>
      </c>
      <c r="CE564" s="2" t="s">
        <v>5756</v>
      </c>
      <c r="CF564" s="2" t="s">
        <v>5757</v>
      </c>
      <c r="CG564" s="9" t="str">
        <f>HYPERLINK(".\links\KOG\AGAP012316-PA-KOG.txt","Adaptor protein CMS/SETA")</f>
        <v>Adaptor protein CMS/SETA</v>
      </c>
      <c r="CH564" s="15">
        <v>0.16</v>
      </c>
      <c r="CI564" s="2">
        <v>13.9</v>
      </c>
      <c r="CJ564" s="2" t="s">
        <v>4881</v>
      </c>
      <c r="CK564" s="2" t="s">
        <v>173</v>
      </c>
      <c r="CL564" s="9" t="str">
        <f>HYPERLINK(".\links\PFAM\AGAP012316-PA-PFAM.txt","DUF2207, Predicted membrane protein (DUF2207)")</f>
        <v>DUF2207, Predicted membrane protein (DUF2207)</v>
      </c>
      <c r="CM564" s="15">
        <v>7.0000000000000001E-3</v>
      </c>
      <c r="CN564" s="2">
        <v>13.3</v>
      </c>
      <c r="CO564" s="2" t="s">
        <v>5756</v>
      </c>
      <c r="CP564" s="9" t="str">
        <f>HYPERLINK(".\links\SMART\AGAP012316-PA-SMART.txt","alkPPc, Alkaline phosphatase homologues")</f>
        <v>alkPPc, Alkaline phosphatase homologues</v>
      </c>
      <c r="CQ564" s="15">
        <v>1</v>
      </c>
      <c r="CR564" s="2">
        <v>6.7</v>
      </c>
      <c r="CS564" s="2" t="s">
        <v>799</v>
      </c>
      <c r="CT564" s="2" t="s">
        <v>5753</v>
      </c>
      <c r="CU564" s="2" t="s">
        <v>5753</v>
      </c>
      <c r="CV564" s="2" t="s">
        <v>5753</v>
      </c>
      <c r="CW564" s="2" t="str">
        <f>HYPERLINK(".\links\pep\AGAP012316-PA-pep.txt","AGAP012316-PA")</f>
        <v>AGAP012316-PA</v>
      </c>
      <c r="CX564" s="2" t="s">
        <v>95</v>
      </c>
      <c r="CY564" s="2">
        <v>199</v>
      </c>
      <c r="CZ564" s="2" t="s">
        <v>113</v>
      </c>
      <c r="DA564" s="2" t="s">
        <v>5758</v>
      </c>
      <c r="DB564" s="2">
        <v>0</v>
      </c>
      <c r="DC564" s="2">
        <v>1</v>
      </c>
      <c r="DD564" s="2" t="str">
        <f>HYPERLINK("https://www.kegg.jp/kegg-bin/search_pathway_text?map=aga&amp;keyword=AGAP012316&amp;mode=1&amp;viewImage=true","AGAP012316")</f>
        <v>AGAP012316</v>
      </c>
      <c r="DE564" s="2" t="s">
        <v>5751</v>
      </c>
      <c r="DF564" s="2" t="s">
        <v>93</v>
      </c>
      <c r="DG564" s="2" t="s">
        <v>94</v>
      </c>
      <c r="DH564" s="2" t="str">
        <f>HYPERLINK("https://vectorbase.org/vectorbase/app/record/gene/AGAP012316","AGAP012316-RA")</f>
        <v>AGAP012316-RA</v>
      </c>
      <c r="DI564" s="2" t="s">
        <v>135</v>
      </c>
      <c r="DJ564" s="2">
        <v>2365</v>
      </c>
      <c r="DK564" s="2" t="str">
        <f>HYPERLINK(".\links\netoglyc\AGAP012316-PA-netoglyc.txt","15")</f>
        <v>15</v>
      </c>
      <c r="DL564" s="2">
        <v>20.6</v>
      </c>
      <c r="DM564" s="2">
        <v>10.1</v>
      </c>
      <c r="DN564" s="2">
        <v>5.5</v>
      </c>
      <c r="DO564" s="2" t="s">
        <v>104</v>
      </c>
      <c r="DP564" s="2" t="s">
        <v>102</v>
      </c>
      <c r="DQ564" s="2" t="str">
        <f>HYPERLINK(".\links\Sigp\AGAP012316-PA-SigP.txt","ANC")</f>
        <v>ANC</v>
      </c>
      <c r="DR564" s="2" t="s">
        <v>102</v>
      </c>
      <c r="DS564" s="2">
        <v>21.042000000000002</v>
      </c>
      <c r="DT564" s="2">
        <v>9.3699999999999992</v>
      </c>
      <c r="DU564" s="2">
        <v>19.542000000000002</v>
      </c>
      <c r="DV564" s="2">
        <v>9.69</v>
      </c>
      <c r="DW564" s="2" t="s">
        <v>5755</v>
      </c>
      <c r="DX564" s="2">
        <v>199</v>
      </c>
      <c r="DY564" s="12" t="str">
        <f>HYPERLINK(".\links\tmhmm\AGAP012316-PA-tmhmm.txt","2")</f>
        <v>2</v>
      </c>
      <c r="DZ564" s="2">
        <v>22.1</v>
      </c>
      <c r="EA564" s="2">
        <v>2.5</v>
      </c>
      <c r="EB564" s="2">
        <v>75.400000000000006</v>
      </c>
      <c r="EC564" s="2" t="str">
        <f>HYPERLINK(".\links\gpi\AGAP012316-PA-gpi.txt","Y-NoSP")</f>
        <v>Y-NoSP</v>
      </c>
      <c r="ED564" s="2">
        <v>0.34</v>
      </c>
      <c r="EF564" s="2">
        <v>5</v>
      </c>
      <c r="EG564" s="2" t="s">
        <v>102</v>
      </c>
      <c r="EH564" s="2" t="s">
        <v>102</v>
      </c>
      <c r="EI564" s="2">
        <v>20.603015075376899</v>
      </c>
      <c r="EJ564" s="2">
        <v>5.5276381909547698</v>
      </c>
      <c r="EK564" s="2">
        <v>10.050251256281401</v>
      </c>
      <c r="EL564" s="2">
        <v>15.577889447236201</v>
      </c>
      <c r="EM564" s="2" t="s">
        <v>102</v>
      </c>
      <c r="EN564" s="2" t="s">
        <v>102</v>
      </c>
      <c r="EO564" s="2" t="s">
        <v>102</v>
      </c>
      <c r="EP564" s="2" t="s">
        <v>102</v>
      </c>
      <c r="EQ564" s="2" t="s">
        <v>102</v>
      </c>
      <c r="ER564" s="2" t="s">
        <v>102</v>
      </c>
      <c r="ES564" s="2" t="s">
        <v>102</v>
      </c>
      <c r="ET564" s="2" t="str">
        <f>HYPERLINK(".\links\REFSEQ-INVERTEBRATE\AGAP012316-PA-REFSEQ-INVERTEBRATE.txt","AGAP012316-PA")</f>
        <v>AGAP012316-PA</v>
      </c>
      <c r="EU564" s="2" t="str">
        <f>HYPERLINK("http://www.ncbi.nlm.nih.gov/sutils/blink.cgi?pid=XP_320228.3","8E-70")</f>
        <v>8E-70</v>
      </c>
      <c r="EV564" s="2" t="str">
        <f>HYPERLINK("http://www.ncbi.nlm.nih.gov/protein/XP_320228.3","XP_320228.3")</f>
        <v>XP_320228.3</v>
      </c>
      <c r="EW564" s="2">
        <v>100</v>
      </c>
      <c r="EX564" s="2">
        <v>100</v>
      </c>
      <c r="EY564" s="2">
        <v>100</v>
      </c>
      <c r="EZ564" s="2" t="s">
        <v>105</v>
      </c>
    </row>
    <row r="565" spans="1:156" x14ac:dyDescent="0.25">
      <c r="A565" s="2" t="s">
        <v>5759</v>
      </c>
      <c r="B565" s="2">
        <v>-1.0238761055555401</v>
      </c>
      <c r="C565" s="2">
        <f t="shared" si="8"/>
        <v>0.49179326897201475</v>
      </c>
      <c r="D565" s="2">
        <v>2.9943260541551799</v>
      </c>
      <c r="E565" s="2">
        <v>10.1732192979293</v>
      </c>
      <c r="F565" s="2">
        <v>1.4249525235016699E-3</v>
      </c>
      <c r="G565" s="2">
        <v>3.7152645524746501E-2</v>
      </c>
      <c r="H565" s="2" t="s">
        <v>93</v>
      </c>
      <c r="I565" s="2" t="s">
        <v>94</v>
      </c>
      <c r="J565" s="2" t="str">
        <f>HYPERLINK("https://vectorbase.org/vectorbase/app/record/gene/AGAP012644","AGAP012644-RA")</f>
        <v>AGAP012644-RA</v>
      </c>
      <c r="K565" s="2" t="str">
        <f>HYPERLINK(".\links\pep\AGAP012644-PA-pep.txt","AGAP012644-PA")</f>
        <v>AGAP012644-PA</v>
      </c>
      <c r="L565" s="12" t="s">
        <v>95</v>
      </c>
      <c r="M565" s="2">
        <v>236</v>
      </c>
      <c r="N565" s="2">
        <v>0</v>
      </c>
      <c r="O565" s="2">
        <v>0</v>
      </c>
      <c r="P565" s="2" t="s">
        <v>102</v>
      </c>
      <c r="Q565" s="9" t="s">
        <v>5760</v>
      </c>
      <c r="R565" s="2" t="s">
        <v>1193</v>
      </c>
      <c r="S565" s="2" t="str">
        <f>HYPERLINK(".\links\CDD\AGAP012644-PA-CDD.txt","CDD")</f>
        <v>CDD</v>
      </c>
      <c r="T565" s="2">
        <v>1E-35</v>
      </c>
      <c r="U565" s="2">
        <v>103.8</v>
      </c>
      <c r="V565" s="2" t="s">
        <v>5761</v>
      </c>
      <c r="W565" s="10" t="s">
        <v>5762</v>
      </c>
      <c r="X565" s="2" t="s">
        <v>1193</v>
      </c>
      <c r="Y565" s="2" t="str">
        <f>HYPERLINK(".\links\ARTHORPODA\AGAP012644-PA-ARTHORPODA.txt","ARTHORPODA")</f>
        <v>ARTHORPODA</v>
      </c>
      <c r="Z565" s="15">
        <v>0</v>
      </c>
      <c r="AA565" s="2">
        <v>97.9</v>
      </c>
      <c r="AB565" s="13" t="s">
        <v>102</v>
      </c>
      <c r="AC565" s="13" t="str">
        <f>HYPERLINK(".\links\Sigp\AGAP012644-PA-SigP.txt","CYT")</f>
        <v>CYT</v>
      </c>
      <c r="AD565" s="2" t="s">
        <v>102</v>
      </c>
      <c r="AE565" s="2">
        <v>26.782</v>
      </c>
      <c r="AF565" s="2">
        <v>9.0500000000000007</v>
      </c>
      <c r="AG565" s="2" t="s">
        <v>102</v>
      </c>
      <c r="AH565" s="2" t="s">
        <v>102</v>
      </c>
      <c r="AI565" s="2" t="s">
        <v>5763</v>
      </c>
      <c r="AJ565" s="13" t="str">
        <f>HYPERLINK(".\links\tmhmm\AGAP012644-PA-tmhmm.txt","6")</f>
        <v>6</v>
      </c>
      <c r="AK565" s="2">
        <v>55.9</v>
      </c>
      <c r="AL565" s="2">
        <v>16.899999999999999</v>
      </c>
      <c r="AM565" s="2">
        <v>27.1</v>
      </c>
      <c r="AN565" s="13" t="str">
        <f>HYPERLINK(".\links\gpi\AGAP012644-PA-gpi.txt","N")</f>
        <v>N</v>
      </c>
      <c r="AO565" s="14" t="str">
        <f>HYPERLINK(".\links\netoglyc\AGAP012644-PA-netoglyc.txt","0")</f>
        <v>0</v>
      </c>
      <c r="AP565" s="13">
        <v>14.4</v>
      </c>
      <c r="AQ565" s="2">
        <v>6.8</v>
      </c>
      <c r="AR565" s="2">
        <v>1.3</v>
      </c>
      <c r="AS565" s="2" t="s">
        <v>104</v>
      </c>
      <c r="AT565" s="9" t="str">
        <f>HYPERLINK(".\links\NR-LIGHT\AGAP012644-PA-NR-LIGHT.txt","AGAP012644-PA")</f>
        <v>AGAP012644-PA</v>
      </c>
      <c r="AU565" s="2" t="str">
        <f>HYPERLINK("http://www.ncbi.nlm.nih.gov/sutils/blink.cgi?pid=XP_307544.3","1E-135")</f>
        <v>1E-135</v>
      </c>
      <c r="AV565" s="2" t="str">
        <f>HYPERLINK("http://www.ncbi.nlm.nih.gov/protein/XP_307544.3","XP_307544.3")</f>
        <v>XP_307544.3</v>
      </c>
      <c r="AW565" s="2">
        <v>100</v>
      </c>
      <c r="AX565" s="2">
        <v>100</v>
      </c>
      <c r="AY565" s="2">
        <v>100</v>
      </c>
      <c r="AZ565" s="2" t="s">
        <v>105</v>
      </c>
      <c r="BA565" s="9" t="str">
        <f>HYPERLINK(".\links\REFSEQ-INVERTEBRATE\AGAP012644-PA-REFSEQ-INVERTEBRATE.txt","AGAP012644-PA")</f>
        <v>AGAP012644-PA</v>
      </c>
      <c r="BB565" s="2" t="str">
        <f>HYPERLINK("http://www.ncbi.nlm.nih.gov/sutils/blink.cgi?pid=XP_307544.3","1E-135")</f>
        <v>1E-135</v>
      </c>
      <c r="BC565" s="2" t="str">
        <f>HYPERLINK("http://www.ncbi.nlm.nih.gov/protein/XP_307544.3","XP_307544.3")</f>
        <v>XP_307544.3</v>
      </c>
      <c r="BD565" s="2">
        <v>100</v>
      </c>
      <c r="BE565" s="2">
        <v>100</v>
      </c>
      <c r="BF565" s="2">
        <v>100</v>
      </c>
      <c r="BG565" s="2" t="s">
        <v>105</v>
      </c>
      <c r="BH565" s="9" t="str">
        <f>HYPERLINK(".\links\REFSEQ-PROTOZOA\AGAP012644-PA-REFSEQ-PROTOZOA.txt","hypothetical protein")</f>
        <v>hypothetical protein</v>
      </c>
      <c r="BI565" s="2" t="str">
        <f>HYPERLINK("http://www.ncbi.nlm.nih.gov/sutils/blink.cgi?pid=XP_001748644.1","3E-008")</f>
        <v>3E-008</v>
      </c>
      <c r="BJ565" s="2" t="str">
        <f>HYPERLINK("http://www.ncbi.nlm.nih.gov/protein/XP_001748644.1","XP_001748644.1")</f>
        <v>XP_001748644.1</v>
      </c>
      <c r="BK565" s="2">
        <v>22</v>
      </c>
      <c r="BL565" s="2">
        <v>42</v>
      </c>
      <c r="BM565" s="2">
        <v>96</v>
      </c>
      <c r="BN565" s="2" t="s">
        <v>248</v>
      </c>
      <c r="BO565" s="9" t="str">
        <f>HYPERLINK(".\links\SWISSP\AGAP012644-PA-SWISSP.txt","Cytochrome b561 domain-containing protein 2")</f>
        <v>Cytochrome b561 domain-containing protein 2</v>
      </c>
      <c r="BP565" s="2" t="str">
        <f>HYPERLINK("http://www.uniprot.org/uniprot/Q5E965","9E-013")</f>
        <v>9E-013</v>
      </c>
      <c r="BQ565" s="2" t="str">
        <f>HYPERLINK("http://www.uniprot.org/uniprot/Q5E965#expression","Q5E965")</f>
        <v>Q5E965</v>
      </c>
      <c r="BR565" s="2">
        <v>24</v>
      </c>
      <c r="BS565" s="2">
        <v>49</v>
      </c>
      <c r="BT565" s="2">
        <v>78</v>
      </c>
      <c r="BU565" s="2" t="s">
        <v>1284</v>
      </c>
      <c r="BV565" s="9" t="str">
        <f>HYPERLINK(".\links\FLYBASE\AGAP012644-PA-FLYBASE.txt","FBpp0307602")</f>
        <v>FBpp0307602</v>
      </c>
      <c r="BW565" s="2" t="str">
        <f>HYPERLINK("http://flybase.org/reports/FBgn0032810#alliance_summary_container","1E-21")</f>
        <v>1E-21</v>
      </c>
      <c r="BX565" s="2">
        <v>226</v>
      </c>
      <c r="BY565" s="2">
        <v>28</v>
      </c>
      <c r="BZ565" s="2">
        <v>48</v>
      </c>
      <c r="CA565" s="2">
        <v>99</v>
      </c>
      <c r="CB565" s="9" t="str">
        <f>HYPERLINK(".\links\CDD\AGAP012644-PA-CDD.txt","Cyt_b561_CYB561D2_like, Eukaryotic cytochrome b(561), including the CYB561D2 gene product")</f>
        <v>Cyt_b561_CYB561D2_like, Eukaryotic cytochrome b(561), including the CYB561D2 gene product</v>
      </c>
      <c r="CC565" s="15">
        <v>1E-35</v>
      </c>
      <c r="CD565" s="2">
        <v>103.8</v>
      </c>
      <c r="CE565" s="2" t="s">
        <v>5764</v>
      </c>
      <c r="CF565" s="2" t="s">
        <v>5765</v>
      </c>
      <c r="CG565" s="9" t="str">
        <f>HYPERLINK(".\links\KOG\AGAP012644-PA-KOG.txt","Cytochrome b")</f>
        <v>Cytochrome b</v>
      </c>
      <c r="CH565" s="15">
        <v>9.9999999999999995E-8</v>
      </c>
      <c r="CI565" s="2">
        <v>63.7</v>
      </c>
      <c r="CJ565" s="2" t="s">
        <v>5766</v>
      </c>
      <c r="CK565" s="2" t="s">
        <v>1449</v>
      </c>
      <c r="CL565" s="9" t="str">
        <f>HYPERLINK(".\links\PFAM\AGAP012644-PA-PFAM.txt","Cytochrom_B561, Eukaryotic cytochrome b561")</f>
        <v>Cytochrom_B561, Eukaryotic cytochrome b561</v>
      </c>
      <c r="CM565" s="15">
        <v>3E-34</v>
      </c>
      <c r="CN565" s="2">
        <v>102.2</v>
      </c>
      <c r="CO565" s="2" t="s">
        <v>5767</v>
      </c>
      <c r="CP565" s="9" t="str">
        <f>HYPERLINK(".\links\SMART\AGAP012644-PA-SMART.txt","B561, Cytochrome b-561 / ferric reductase transmembrane domain")</f>
        <v>B561, Cytochrome b-561 / ferric reductase transmembrane domain</v>
      </c>
      <c r="CQ565" s="15">
        <v>2E-16</v>
      </c>
      <c r="CR565" s="2">
        <v>103.1</v>
      </c>
      <c r="CS565" s="2" t="s">
        <v>5768</v>
      </c>
      <c r="CT565" s="2" t="s">
        <v>5761</v>
      </c>
      <c r="CU565" s="2" t="s">
        <v>5761</v>
      </c>
      <c r="CV565" s="2" t="s">
        <v>5761</v>
      </c>
      <c r="CW565" s="2" t="str">
        <f>HYPERLINK(".\links\pep\AGAP012644-PA-pep.txt","AGAP012644-PA")</f>
        <v>AGAP012644-PA</v>
      </c>
      <c r="CX565" s="2" t="s">
        <v>95</v>
      </c>
      <c r="CY565" s="2">
        <v>236</v>
      </c>
      <c r="CZ565" s="2" t="s">
        <v>113</v>
      </c>
      <c r="DA565" s="2" t="s">
        <v>5769</v>
      </c>
      <c r="DB565" s="2">
        <v>0</v>
      </c>
      <c r="DC565" s="2">
        <v>0</v>
      </c>
      <c r="DD565" s="2" t="str">
        <f>HYPERLINK("https://www.kegg.jp/kegg-bin/search_pathway_text?map=aga&amp;keyword=AGAP012644&amp;mode=1&amp;viewImage=true","AGAP012644")</f>
        <v>AGAP012644</v>
      </c>
      <c r="DE565" s="2" t="s">
        <v>5759</v>
      </c>
      <c r="DF565" s="2" t="s">
        <v>93</v>
      </c>
      <c r="DG565" s="2" t="s">
        <v>94</v>
      </c>
      <c r="DH565" s="2" t="str">
        <f>HYPERLINK("https://vectorbase.org/vectorbase/app/record/gene/AGAP012644","AGAP012644-RA")</f>
        <v>AGAP012644-RA</v>
      </c>
      <c r="DI565" s="2" t="s">
        <v>135</v>
      </c>
      <c r="DJ565" s="2">
        <v>711</v>
      </c>
      <c r="DK565" s="2" t="str">
        <f>HYPERLINK(".\links\netoglyc\AGAP012644-PA-netoglyc.txt","0")</f>
        <v>0</v>
      </c>
      <c r="DL565" s="2">
        <v>14.4</v>
      </c>
      <c r="DM565" s="2">
        <v>6.8</v>
      </c>
      <c r="DN565" s="2">
        <v>1.3</v>
      </c>
      <c r="DO565" s="2" t="s">
        <v>104</v>
      </c>
      <c r="DP565" s="2" t="s">
        <v>102</v>
      </c>
      <c r="DQ565" s="2" t="str">
        <f>HYPERLINK(".\links\Sigp\AGAP012644-PA-SigP.txt","CYT")</f>
        <v>CYT</v>
      </c>
      <c r="DR565" s="2" t="s">
        <v>102</v>
      </c>
      <c r="DS565" s="2">
        <v>26.782</v>
      </c>
      <c r="DT565" s="2">
        <v>9.0500000000000007</v>
      </c>
      <c r="DU565" s="2" t="s">
        <v>102</v>
      </c>
      <c r="DV565" s="2" t="s">
        <v>102</v>
      </c>
      <c r="DW565" s="2" t="s">
        <v>5763</v>
      </c>
      <c r="DX565" s="2">
        <v>236</v>
      </c>
      <c r="DY565" s="12" t="str">
        <f>HYPERLINK(".\links\tmhmm\AGAP012644-PA-tmhmm.txt","6")</f>
        <v>6</v>
      </c>
      <c r="DZ565" s="2">
        <v>55.9</v>
      </c>
      <c r="EA565" s="2">
        <v>16.899999999999999</v>
      </c>
      <c r="EB565" s="2">
        <v>27.1</v>
      </c>
      <c r="EC565" s="2" t="str">
        <f>HYPERLINK(".\links\gpi\AGAP012644-PA-gpi.txt","N")</f>
        <v>N</v>
      </c>
      <c r="ED565" s="2">
        <v>0.42</v>
      </c>
      <c r="EF565" s="2">
        <v>7</v>
      </c>
      <c r="EG565" s="2" t="s">
        <v>102</v>
      </c>
      <c r="EH565" s="2" t="s">
        <v>102</v>
      </c>
      <c r="EI565" s="2">
        <v>14.4067796610169</v>
      </c>
      <c r="EJ565" s="2">
        <v>1.27118644067797</v>
      </c>
      <c r="EK565" s="2">
        <v>6.7796610169491496</v>
      </c>
      <c r="EL565" s="2">
        <v>8.0508474576271194</v>
      </c>
      <c r="EM565" s="2" t="s">
        <v>102</v>
      </c>
      <c r="EN565" s="2" t="s">
        <v>102</v>
      </c>
      <c r="EO565" s="2" t="s">
        <v>102</v>
      </c>
      <c r="EP565" s="2" t="s">
        <v>102</v>
      </c>
      <c r="EQ565" s="2" t="s">
        <v>102</v>
      </c>
      <c r="ER565" s="2" t="s">
        <v>102</v>
      </c>
      <c r="ES565" s="2" t="s">
        <v>102</v>
      </c>
      <c r="ET565" s="2" t="str">
        <f>HYPERLINK(".\links\REFSEQ-INVERTEBRATE\AGAP012644-PA-REFSEQ-INVERTEBRATE.txt","AGAP012644-PA")</f>
        <v>AGAP012644-PA</v>
      </c>
      <c r="EU565" s="2" t="str">
        <f>HYPERLINK("http://www.ncbi.nlm.nih.gov/sutils/blink.cgi?pid=XP_307544.3","1E-174")</f>
        <v>1E-174</v>
      </c>
      <c r="EV565" s="2" t="str">
        <f>HYPERLINK("http://www.ncbi.nlm.nih.gov/protein/XP_307544.3","XP_307544.3")</f>
        <v>XP_307544.3</v>
      </c>
      <c r="EW565" s="2">
        <v>100</v>
      </c>
      <c r="EX565" s="2">
        <v>100</v>
      </c>
      <c r="EY565" s="2">
        <v>100</v>
      </c>
      <c r="EZ565" s="2" t="s">
        <v>105</v>
      </c>
    </row>
    <row r="566" spans="1:156" x14ac:dyDescent="0.25">
      <c r="A566" s="2" t="s">
        <v>5770</v>
      </c>
      <c r="B566" s="2">
        <v>-1.09911142568479</v>
      </c>
      <c r="C566" s="2">
        <f t="shared" si="8"/>
        <v>0.46680391774518587</v>
      </c>
      <c r="D566" s="2">
        <v>4.9651426148036899</v>
      </c>
      <c r="E566" s="2">
        <v>9.8894981049884301</v>
      </c>
      <c r="F566" s="2">
        <v>1.66224700785825E-3</v>
      </c>
      <c r="G566" s="2">
        <v>3.9954742103519701E-2</v>
      </c>
      <c r="H566" s="2" t="s">
        <v>5771</v>
      </c>
      <c r="I566" s="2" t="s">
        <v>94</v>
      </c>
      <c r="J566" s="2" t="str">
        <f>HYPERLINK("https://vectorbase.org/vectorbase/app/record/gene/AGAP005944","AGAP005944-RA")</f>
        <v>AGAP005944-RA</v>
      </c>
      <c r="K566" s="2" t="str">
        <f>HYPERLINK(".\links\pep\AGAP005944-PA-pep.txt","AGAP005944-PA")</f>
        <v>AGAP005944-PA</v>
      </c>
      <c r="L566" s="12" t="s">
        <v>95</v>
      </c>
      <c r="M566" s="2">
        <v>329</v>
      </c>
      <c r="N566" s="2">
        <v>0</v>
      </c>
      <c r="O566" s="2">
        <v>0</v>
      </c>
      <c r="P566" s="2" t="s">
        <v>5772</v>
      </c>
      <c r="Q566" s="9" t="s">
        <v>5773</v>
      </c>
      <c r="R566" s="2" t="s">
        <v>1221</v>
      </c>
      <c r="S566" s="2" t="str">
        <f>HYPERLINK(".\links\KOG\AGAP005944-PA-KOG.txt","KOG")</f>
        <v>KOG</v>
      </c>
      <c r="T566" s="2">
        <v>8.9999999999999999E-98</v>
      </c>
      <c r="U566" s="2">
        <v>97</v>
      </c>
      <c r="V566" s="2" t="s">
        <v>5774</v>
      </c>
      <c r="W566" s="10" t="s">
        <v>183</v>
      </c>
      <c r="X566" s="2" t="s">
        <v>4638</v>
      </c>
      <c r="Y566" s="2" t="str">
        <f>HYPERLINK(".\links\REFSEQ-VIRUS\AGAP005944-PA-REFSEQ-VIRUS.txt","REFSEQ-VIRUS")</f>
        <v>REFSEQ-VIRUS</v>
      </c>
      <c r="Z566" s="15">
        <v>1.9999999999999999E-81</v>
      </c>
      <c r="AA566" s="2">
        <v>97.5</v>
      </c>
      <c r="AB566" s="13" t="str">
        <f>HYPERLINK(".\links\pep\AGAP005944-PA-sulf.txt","1")</f>
        <v>1</v>
      </c>
      <c r="AC566" s="13" t="str">
        <f>HYPERLINK(".\links\Sigp\AGAP005944-PA-SigP.txt","CYT")</f>
        <v>CYT</v>
      </c>
      <c r="AD566" s="2" t="s">
        <v>102</v>
      </c>
      <c r="AE566" s="2">
        <v>36.095999999999997</v>
      </c>
      <c r="AF566" s="2">
        <v>5.84</v>
      </c>
      <c r="AG566" s="2" t="s">
        <v>102</v>
      </c>
      <c r="AH566" s="2" t="s">
        <v>102</v>
      </c>
      <c r="AI566" s="2" t="s">
        <v>5775</v>
      </c>
      <c r="AJ566" s="13">
        <v>0</v>
      </c>
      <c r="AK566" s="2" t="s">
        <v>102</v>
      </c>
      <c r="AL566" s="2" t="s">
        <v>102</v>
      </c>
      <c r="AM566" s="2" t="s">
        <v>102</v>
      </c>
      <c r="AN566" s="13" t="str">
        <f>HYPERLINK(".\links\gpi\AGAP005944-PA-gpi.txt","N")</f>
        <v>N</v>
      </c>
      <c r="AO566" s="14" t="str">
        <f>HYPERLINK(".\links\netoglyc\AGAP005944-PA-netoglyc.txt","0")</f>
        <v>0</v>
      </c>
      <c r="AP566" s="13">
        <v>12.5</v>
      </c>
      <c r="AQ566" s="2">
        <v>9.4</v>
      </c>
      <c r="AR566" s="2">
        <v>4.3</v>
      </c>
      <c r="AS566" s="2" t="s">
        <v>104</v>
      </c>
      <c r="AT566" s="9" t="str">
        <f>HYPERLINK(".\links\NR-LIGHT\AGAP005944-PA-NR-LIGHT.txt","AGAP005944-PA")</f>
        <v>AGAP005944-PA</v>
      </c>
      <c r="AU566" s="2" t="str">
        <f>HYPERLINK("http://www.ncbi.nlm.nih.gov/sutils/blink.cgi?pid=XP_315978.4","0.0")</f>
        <v>0.0</v>
      </c>
      <c r="AV566" s="2" t="str">
        <f>HYPERLINK("http://www.ncbi.nlm.nih.gov/protein/XP_315978.4","XP_315978.4")</f>
        <v>XP_315978.4</v>
      </c>
      <c r="AW566" s="2">
        <v>100</v>
      </c>
      <c r="AX566" s="2">
        <v>100</v>
      </c>
      <c r="AY566" s="2">
        <v>100</v>
      </c>
      <c r="AZ566" s="2" t="s">
        <v>105</v>
      </c>
      <c r="BA566" s="9" t="str">
        <f>HYPERLINK(".\links\REFSEQ-INVERTEBRATE\AGAP005944-PA-REFSEQ-INVERTEBRATE.txt","AGAP005944-PA")</f>
        <v>AGAP005944-PA</v>
      </c>
      <c r="BB566" s="2" t="str">
        <f>HYPERLINK("http://www.ncbi.nlm.nih.gov/sutils/blink.cgi?pid=XP_315978.4","0.0")</f>
        <v>0.0</v>
      </c>
      <c r="BC566" s="2" t="str">
        <f>HYPERLINK("http://www.ncbi.nlm.nih.gov/protein/XP_315978.4","XP_315978.4")</f>
        <v>XP_315978.4</v>
      </c>
      <c r="BD566" s="2">
        <v>100</v>
      </c>
      <c r="BE566" s="2">
        <v>100</v>
      </c>
      <c r="BF566" s="2">
        <v>100</v>
      </c>
      <c r="BG566" s="2" t="s">
        <v>105</v>
      </c>
      <c r="BH566" s="9" t="str">
        <f>HYPERLINK(".\links\REFSEQ-PROTOZOA\AGAP005944-PA-REFSEQ-PROTOZOA.txt","nucleoside phosphorylase")</f>
        <v>nucleoside phosphorylase</v>
      </c>
      <c r="BI566" s="2" t="str">
        <f>HYPERLINK("http://www.ncbi.nlm.nih.gov/sutils/blink.cgi?pid=XP_004344270.1","1E-068")</f>
        <v>1E-068</v>
      </c>
      <c r="BJ566" s="2" t="str">
        <f>HYPERLINK("http://www.ncbi.nlm.nih.gov/protein/XP_004344270.1","XP_004344270.1")</f>
        <v>XP_004344270.1</v>
      </c>
      <c r="BK566" s="2">
        <v>46</v>
      </c>
      <c r="BL566" s="2">
        <v>61</v>
      </c>
      <c r="BM566" s="2">
        <v>94</v>
      </c>
      <c r="BN566" s="2" t="s">
        <v>106</v>
      </c>
      <c r="BO566" s="9" t="str">
        <f>HYPERLINK(".\links\SWISSP\AGAP005944-PA-SWISSP.txt","Purine nucleoside phosphorylase")</f>
        <v>Purine nucleoside phosphorylase</v>
      </c>
      <c r="BP566" s="2" t="str">
        <f>HYPERLINK("http://www.uniprot.org/uniprot/P55859","2E-076")</f>
        <v>2E-076</v>
      </c>
      <c r="BQ566" s="2" t="str">
        <f>HYPERLINK("http://www.uniprot.org/uniprot/P55859#expression","P55859")</f>
        <v>P55859</v>
      </c>
      <c r="BR566" s="2">
        <v>51</v>
      </c>
      <c r="BS566" s="2">
        <v>65</v>
      </c>
      <c r="BT566" s="2">
        <v>99</v>
      </c>
      <c r="BU566" s="2" t="s">
        <v>1284</v>
      </c>
      <c r="BV566" s="9" t="str">
        <f>HYPERLINK(".\links\FLYBASE\AGAP005944-PA-FLYBASE.txt","FBpp0072834")</f>
        <v>FBpp0072834</v>
      </c>
      <c r="BW566" s="2" t="str">
        <f>HYPERLINK("http://flybase.org/reports/FBgn0035348#alliance_summary_container","1E-111")</f>
        <v>1E-111</v>
      </c>
      <c r="BX566" s="2">
        <v>329</v>
      </c>
      <c r="BY566" s="2">
        <v>54</v>
      </c>
      <c r="BZ566" s="2">
        <v>72</v>
      </c>
      <c r="CA566" s="2">
        <v>87</v>
      </c>
      <c r="CB566" s="9" t="str">
        <f>HYPERLINK(".\links\CDD\AGAP005944-PA-CDD.txt","PRK08202, purine nucleoside phosphorylase")</f>
        <v>PRK08202, purine nucleoside phosphorylase</v>
      </c>
      <c r="CC566" s="15">
        <v>3.9999999999999996E-93</v>
      </c>
      <c r="CD566" s="2">
        <v>102.6</v>
      </c>
      <c r="CE566" s="2" t="s">
        <v>5776</v>
      </c>
      <c r="CF566" s="2" t="s">
        <v>5777</v>
      </c>
      <c r="CG566" s="9" t="str">
        <f>HYPERLINK(".\links\KOG\AGAP005944-PA-KOG.txt","Purine nucleoside phosphorylase")</f>
        <v>Purine nucleoside phosphorylase</v>
      </c>
      <c r="CH566" s="15">
        <v>8.9999999999999999E-98</v>
      </c>
      <c r="CI566" s="2">
        <v>97.9</v>
      </c>
      <c r="CJ566" s="2" t="s">
        <v>5778</v>
      </c>
      <c r="CK566" s="2" t="s">
        <v>1227</v>
      </c>
      <c r="CL566" s="9" t="str">
        <f>HYPERLINK(".\links\PFAM\AGAP005944-PA-PFAM.txt","PNP_UDP_1, Phosphorylase superfamily")</f>
        <v>PNP_UDP_1, Phosphorylase superfamily</v>
      </c>
      <c r="CM566" s="15">
        <v>8.0000000000000003E-42</v>
      </c>
      <c r="CN566" s="2">
        <v>110.3</v>
      </c>
      <c r="CO566" s="2" t="s">
        <v>5779</v>
      </c>
      <c r="CP566" s="9" t="str">
        <f>HYPERLINK(".\links\SMART\AGAP005944-PA-SMART.txt","PBPe, Eukaryotic homologues of bacterial periplasmic substrate binding proteins")</f>
        <v>PBPe, Eukaryotic homologues of bacterial periplasmic substrate binding proteins</v>
      </c>
      <c r="CQ566" s="15">
        <v>0.59</v>
      </c>
      <c r="CR566" s="2">
        <v>26.3</v>
      </c>
      <c r="CS566" s="2" t="s">
        <v>5780</v>
      </c>
      <c r="CT566" s="2" t="s">
        <v>5774</v>
      </c>
      <c r="CU566" s="2" t="s">
        <v>5774</v>
      </c>
      <c r="CV566" s="2" t="s">
        <v>5774</v>
      </c>
      <c r="CW566" s="2" t="str">
        <f>HYPERLINK(".\links\pep\AGAP005944-PA-pep.txt","AGAP005944-PA")</f>
        <v>AGAP005944-PA</v>
      </c>
      <c r="CX566" s="2" t="s">
        <v>95</v>
      </c>
      <c r="CY566" s="2">
        <v>329</v>
      </c>
      <c r="CZ566" s="2" t="s">
        <v>113</v>
      </c>
      <c r="DA566" s="2" t="s">
        <v>5781</v>
      </c>
      <c r="DB566" s="2">
        <v>0</v>
      </c>
      <c r="DC566" s="2">
        <v>0</v>
      </c>
      <c r="DD566" s="2" t="str">
        <f>HYPERLINK("https://www.kegg.jp/kegg-bin/search_pathway_text?map=aga&amp;keyword=AGAP005944&amp;mode=1&amp;viewImage=true","AGAP005944")</f>
        <v>AGAP005944</v>
      </c>
      <c r="DE566" s="2" t="s">
        <v>5770</v>
      </c>
      <c r="DF566" s="2" t="s">
        <v>5771</v>
      </c>
      <c r="DG566" s="2" t="s">
        <v>94</v>
      </c>
      <c r="DH566" s="2" t="str">
        <f>HYPERLINK("https://vectorbase.org/vectorbase/app/record/gene/AGAP005944","AGAP005944-RA")</f>
        <v>AGAP005944-RA</v>
      </c>
      <c r="DI566" s="2" t="s">
        <v>118</v>
      </c>
      <c r="DJ566" s="2">
        <v>1213</v>
      </c>
      <c r="DK566" s="2" t="str">
        <f>HYPERLINK(".\links\netoglyc\AGAP005944-PA-netoglyc.txt","0")</f>
        <v>0</v>
      </c>
      <c r="DL566" s="2">
        <v>12.5</v>
      </c>
      <c r="DM566" s="2">
        <v>9.4</v>
      </c>
      <c r="DN566" s="2">
        <v>4.3</v>
      </c>
      <c r="DO566" s="2" t="s">
        <v>104</v>
      </c>
      <c r="DP566" s="2" t="s">
        <v>5782</v>
      </c>
      <c r="DQ566" s="2" t="str">
        <f>HYPERLINK(".\links\Sigp\AGAP005944-PA-SigP.txt","CYT")</f>
        <v>CYT</v>
      </c>
      <c r="DR566" s="2" t="s">
        <v>102</v>
      </c>
      <c r="DS566" s="2">
        <v>36.095999999999997</v>
      </c>
      <c r="DT566" s="2">
        <v>5.84</v>
      </c>
      <c r="DU566" s="2" t="s">
        <v>102</v>
      </c>
      <c r="DV566" s="2" t="s">
        <v>102</v>
      </c>
      <c r="DW566" s="2" t="s">
        <v>5775</v>
      </c>
      <c r="DX566" s="2">
        <v>329</v>
      </c>
      <c r="DY566" s="12">
        <v>0</v>
      </c>
      <c r="DZ566" s="2" t="s">
        <v>102</v>
      </c>
      <c r="EA566" s="2" t="s">
        <v>102</v>
      </c>
      <c r="EB566" s="2" t="s">
        <v>102</v>
      </c>
      <c r="EC566" s="2" t="str">
        <f>HYPERLINK(".\links\gpi\AGAP005944-PA-gpi.txt","N")</f>
        <v>N</v>
      </c>
      <c r="ED566" s="2">
        <v>0.28000000000000003</v>
      </c>
      <c r="EF566" s="2">
        <v>15</v>
      </c>
      <c r="EG566" s="2" t="str">
        <f>HYPERLINK(".\links\pep\AGAP005944-PA-sulf.txt","1")</f>
        <v>1</v>
      </c>
      <c r="EH566" s="2" t="s">
        <v>102</v>
      </c>
      <c r="EI566" s="2">
        <v>12.4620060790274</v>
      </c>
      <c r="EJ566" s="2">
        <v>4.2553191489361701</v>
      </c>
      <c r="EK566" s="2">
        <v>9.4224924012158109</v>
      </c>
      <c r="EL566" s="2">
        <v>13.677811550152001</v>
      </c>
      <c r="EM566" s="2" t="s">
        <v>102</v>
      </c>
      <c r="EN566" s="2" t="s">
        <v>102</v>
      </c>
      <c r="EO566" s="2">
        <v>1</v>
      </c>
      <c r="EP566" s="2" t="s">
        <v>102</v>
      </c>
      <c r="EQ566" s="2" t="s">
        <v>102</v>
      </c>
      <c r="ER566" s="2" t="s">
        <v>102</v>
      </c>
      <c r="ES566" s="2" t="s">
        <v>102</v>
      </c>
      <c r="ET566" s="2" t="str">
        <f>HYPERLINK(".\links\REFSEQ-INVERTEBRATE\AGAP005944-PA-REFSEQ-INVERTEBRATE.txt","AGAP005944-PA")</f>
        <v>AGAP005944-PA</v>
      </c>
      <c r="EU566" s="2" t="str">
        <f>HYPERLINK("http://www.ncbi.nlm.nih.gov/sutils/blink.cgi?pid=XP_315978.4","0.0")</f>
        <v>0.0</v>
      </c>
      <c r="EV566" s="2" t="str">
        <f>HYPERLINK("http://www.ncbi.nlm.nih.gov/protein/XP_315978.4","XP_315978.4")</f>
        <v>XP_315978.4</v>
      </c>
      <c r="EW566" s="2">
        <v>100</v>
      </c>
      <c r="EX566" s="2">
        <v>100</v>
      </c>
      <c r="EY566" s="2">
        <v>100</v>
      </c>
      <c r="EZ566" s="2" t="s">
        <v>105</v>
      </c>
    </row>
    <row r="567" spans="1:156" x14ac:dyDescent="0.25">
      <c r="A567" s="2" t="s">
        <v>5783</v>
      </c>
      <c r="B567" s="2">
        <v>-1.13272949494998</v>
      </c>
      <c r="C567" s="2">
        <f t="shared" si="8"/>
        <v>0.45605208442429418</v>
      </c>
      <c r="D567" s="2">
        <v>4.1538902739153301</v>
      </c>
      <c r="E567" s="2">
        <v>12.5726869772146</v>
      </c>
      <c r="F567" s="2">
        <v>3.9142539461643598E-4</v>
      </c>
      <c r="G567" s="2">
        <v>2.2075245596553199E-2</v>
      </c>
      <c r="H567" s="2" t="s">
        <v>5784</v>
      </c>
      <c r="I567" s="2" t="s">
        <v>94</v>
      </c>
      <c r="J567" s="2" t="str">
        <f>HYPERLINK("https://vectorbase.org/vectorbase/app/record/gene/AGAP000209","AGAP000209-RA")</f>
        <v>AGAP000209-RA</v>
      </c>
      <c r="K567" s="2" t="str">
        <f>HYPERLINK(".\links\pep\AGAP000209-PA-pep.txt","AGAP000209-PA")</f>
        <v>AGAP000209-PA</v>
      </c>
      <c r="L567" s="12" t="s">
        <v>95</v>
      </c>
      <c r="M567" s="2">
        <v>1090</v>
      </c>
      <c r="N567" s="2">
        <v>0</v>
      </c>
      <c r="O567" s="2">
        <v>0</v>
      </c>
      <c r="P567" s="2" t="s">
        <v>5785</v>
      </c>
      <c r="Q567" s="9" t="s">
        <v>5786</v>
      </c>
      <c r="R567" s="2" t="s">
        <v>1558</v>
      </c>
      <c r="S567" s="2" t="str">
        <f>HYPERLINK(".\links\REFSEQ-INVERTEBRATE\AGAP000209-PA-REFSEQ-INVERTEBRATE.txt","REFSEQ-INVERTEBRATE")</f>
        <v>REFSEQ-INVERTEBRATE</v>
      </c>
      <c r="T567" s="2">
        <v>0</v>
      </c>
      <c r="U567" s="2">
        <v>103</v>
      </c>
      <c r="V567" s="2" t="s">
        <v>5787</v>
      </c>
      <c r="W567" s="10" t="s">
        <v>5788</v>
      </c>
      <c r="X567" s="2" t="s">
        <v>1558</v>
      </c>
      <c r="Y567" s="2" t="str">
        <f>HYPERLINK(".\links\ARTHORPODA\AGAP000209-PA-ARTHORPODA.txt","ARTHORPODA")</f>
        <v>ARTHORPODA</v>
      </c>
      <c r="Z567" s="2">
        <v>0</v>
      </c>
      <c r="AA567" s="2">
        <v>100</v>
      </c>
      <c r="AB567" s="13" t="str">
        <f>HYPERLINK(".\links\pep\AGAP000209-PA-sulf.txt","2")</f>
        <v>2</v>
      </c>
      <c r="AC567" s="13" t="str">
        <f>HYPERLINK(".\links\Sigp\AGAP000209-PA-SigP.txt","CYT")</f>
        <v>CYT</v>
      </c>
      <c r="AD567" s="2" t="s">
        <v>102</v>
      </c>
      <c r="AE567" s="2">
        <v>115.15300000000001</v>
      </c>
      <c r="AF567" s="2">
        <v>5.82</v>
      </c>
      <c r="AG567" s="2" t="s">
        <v>102</v>
      </c>
      <c r="AH567" s="2" t="s">
        <v>102</v>
      </c>
      <c r="AI567" s="2" t="s">
        <v>823</v>
      </c>
      <c r="AJ567" s="13">
        <v>0</v>
      </c>
      <c r="AK567" s="2" t="s">
        <v>102</v>
      </c>
      <c r="AL567" s="2" t="s">
        <v>102</v>
      </c>
      <c r="AM567" s="2" t="s">
        <v>102</v>
      </c>
      <c r="AN567" s="13" t="str">
        <f>HYPERLINK(".\links\gpi\AGAP000209-PA-gpi.txt","N")</f>
        <v>N</v>
      </c>
      <c r="AO567" s="14" t="str">
        <f>HYPERLINK(".\links\netoglyc\AGAP000209-PA-netoglyc.txt","6")</f>
        <v>6</v>
      </c>
      <c r="AP567" s="13">
        <v>16.2</v>
      </c>
      <c r="AQ567" s="2">
        <v>10.8</v>
      </c>
      <c r="AR567" s="2">
        <v>5.7</v>
      </c>
      <c r="AS567" s="2" t="s">
        <v>104</v>
      </c>
      <c r="AT567" s="9" t="str">
        <f>HYPERLINK(".\links\NR-LIGHT\AGAP000209-PA-NR-LIGHT.txt","AGAP000209-PA")</f>
        <v>AGAP000209-PA</v>
      </c>
      <c r="AU567" s="2" t="str">
        <f>HYPERLINK("http://www.ncbi.nlm.nih.gov/sutils/blink.cgi?pid=XP_310924.4","0.0")</f>
        <v>0.0</v>
      </c>
      <c r="AV567" s="2" t="str">
        <f>HYPERLINK("http://www.ncbi.nlm.nih.gov/protein/XP_310924.4","XP_310924.4")</f>
        <v>XP_310924.4</v>
      </c>
      <c r="AW567" s="2">
        <v>97</v>
      </c>
      <c r="AX567" s="2">
        <v>97</v>
      </c>
      <c r="AY567" s="2">
        <v>102</v>
      </c>
      <c r="AZ567" s="2" t="s">
        <v>105</v>
      </c>
      <c r="BA567" s="9" t="str">
        <f>HYPERLINK(".\links\REFSEQ-INVERTEBRATE\AGAP000209-PA-REFSEQ-INVERTEBRATE.txt","AGAP000209-PA")</f>
        <v>AGAP000209-PA</v>
      </c>
      <c r="BB567" s="2" t="str">
        <f>HYPERLINK("http://www.ncbi.nlm.nih.gov/sutils/blink.cgi?pid=XP_310924.4","0.0")</f>
        <v>0.0</v>
      </c>
      <c r="BC567" s="2" t="str">
        <f>HYPERLINK("http://www.ncbi.nlm.nih.gov/protein/XP_310924.4","XP_310924.4")</f>
        <v>XP_310924.4</v>
      </c>
      <c r="BD567" s="2">
        <v>97</v>
      </c>
      <c r="BE567" s="2">
        <v>97</v>
      </c>
      <c r="BF567" s="2">
        <v>102</v>
      </c>
      <c r="BG567" s="2" t="s">
        <v>105</v>
      </c>
      <c r="BH567" s="9" t="str">
        <f>HYPERLINK(".\links\REFSEQ-PROTOZOA\AGAP000209-PA-REFSEQ-PROTOZOA.txt","PSD-95 alpha")</f>
        <v>PSD-95 alpha</v>
      </c>
      <c r="BI567" s="2" t="str">
        <f>HYPERLINK("http://www.ncbi.nlm.nih.gov/sutils/blink.cgi?pid=XP_004995884.1","1E-009")</f>
        <v>1E-009</v>
      </c>
      <c r="BJ567" s="2" t="str">
        <f>HYPERLINK("http://www.ncbi.nlm.nih.gov/protein/XP_004995884.1","XP_004995884.1")</f>
        <v>XP_004995884.1</v>
      </c>
      <c r="BK567" s="2">
        <v>21</v>
      </c>
      <c r="BL567" s="2">
        <v>41</v>
      </c>
      <c r="BM567" s="2">
        <v>33</v>
      </c>
      <c r="BN567" s="2" t="s">
        <v>435</v>
      </c>
      <c r="BO567" s="9" t="str">
        <f>HYPERLINK(".\links\SWISSP\AGAP000209-PA-SWISSP.txt","Glutamate receptor-interacting protein 2")</f>
        <v>Glutamate receptor-interacting protein 2</v>
      </c>
      <c r="BP567" s="2" t="str">
        <f>HYPERLINK("http://www.uniprot.org/uniprot/Q9C0E4","3E-075")</f>
        <v>3E-075</v>
      </c>
      <c r="BQ567" s="2" t="str">
        <f>HYPERLINK("http://www.uniprot.org/uniprot/Q9C0E4#expression","Q9C0E4")</f>
        <v>Q9C0E4</v>
      </c>
      <c r="BR567" s="2">
        <v>28</v>
      </c>
      <c r="BS567" s="2">
        <v>43</v>
      </c>
      <c r="BT567" s="2">
        <v>102</v>
      </c>
      <c r="BU567" s="2" t="s">
        <v>127</v>
      </c>
      <c r="BV567" s="9" t="str">
        <f>HYPERLINK(".\links\FLYBASE\AGAP000209-PA-FLYBASE.txt","FBpp0310060")</f>
        <v>FBpp0310060</v>
      </c>
      <c r="BW567" s="2" t="str">
        <f>HYPERLINK("http://flybase.org/reports/FBgn0029830#alliance_summary_container","0.0")</f>
        <v>0.0</v>
      </c>
      <c r="BX567" s="2">
        <v>1057</v>
      </c>
      <c r="BY567" s="2">
        <v>50</v>
      </c>
      <c r="BZ567" s="2">
        <v>64</v>
      </c>
      <c r="CA567" s="2">
        <v>99</v>
      </c>
      <c r="CB567" s="9" t="str">
        <f>HYPERLINK(".\links\CDD\AGAP000209-PA-CDD.txt","PDZ_signaling, PDZ domain found in a variety of Eumetazoan signaling molecules, often in tandem arrangements")</f>
        <v>PDZ_signaling, PDZ domain found in a variety of Eumetazoan signaling molecules, often in tandem arrangements</v>
      </c>
      <c r="CC567" s="15">
        <v>4.0000000000000001E-13</v>
      </c>
      <c r="CD567" s="2">
        <v>101.2</v>
      </c>
      <c r="CE567" s="2" t="s">
        <v>5789</v>
      </c>
      <c r="CF567" s="2" t="s">
        <v>5790</v>
      </c>
      <c r="CG567" s="9" t="str">
        <f>HYPERLINK(".\links\KOG\AGAP000209-PA-KOG.txt","WW domain-containing protein")</f>
        <v>WW domain-containing protein</v>
      </c>
      <c r="CH567" s="15">
        <v>5.0000000000000003E-10</v>
      </c>
      <c r="CI567" s="2">
        <v>26.9</v>
      </c>
      <c r="CJ567" s="2" t="s">
        <v>5791</v>
      </c>
      <c r="CK567" s="2" t="s">
        <v>191</v>
      </c>
      <c r="CL567" s="9" t="str">
        <f>HYPERLINK(".\links\PFAM\AGAP000209-PA-PFAM.txt","PDZ, PDZ domain (Also known as DHR or GLGF)")</f>
        <v>PDZ, PDZ domain (Also known as DHR or GLGF)</v>
      </c>
      <c r="CM567" s="15">
        <v>1.9999999999999999E-7</v>
      </c>
      <c r="CN567" s="2">
        <v>101.2</v>
      </c>
      <c r="CO567" s="2" t="s">
        <v>3719</v>
      </c>
      <c r="CP567" s="9" t="str">
        <f>HYPERLINK(".\links\SMART\AGAP000209-PA-SMART.txt","PDZ, Domain present in PSD-95, Dlg, and ZO-1/2")</f>
        <v>PDZ, Domain present in PSD-95, Dlg, and ZO-1/2</v>
      </c>
      <c r="CQ567" s="15">
        <v>2E-14</v>
      </c>
      <c r="CR567" s="2">
        <v>98.8</v>
      </c>
      <c r="CS567" s="2" t="s">
        <v>3720</v>
      </c>
      <c r="CT567" s="2" t="s">
        <v>5787</v>
      </c>
      <c r="CU567" s="2" t="s">
        <v>5787</v>
      </c>
      <c r="CV567" s="2" t="s">
        <v>5787</v>
      </c>
      <c r="CW567" s="2" t="str">
        <f>HYPERLINK(".\links\pep\AGAP000209-PA-pep.txt","AGAP000209-PA")</f>
        <v>AGAP000209-PA</v>
      </c>
      <c r="CX567" s="2" t="s">
        <v>95</v>
      </c>
      <c r="CY567" s="2">
        <v>1090</v>
      </c>
      <c r="CZ567" s="2" t="s">
        <v>113</v>
      </c>
      <c r="DA567" s="2" t="s">
        <v>5792</v>
      </c>
      <c r="DB567" s="2">
        <v>0</v>
      </c>
      <c r="DC567" s="2">
        <v>0</v>
      </c>
      <c r="DD567" s="2" t="str">
        <f>HYPERLINK("https://www.kegg.jp/kegg-bin/search_pathway_text?map=aga&amp;keyword=AGAP000209&amp;mode=1&amp;viewImage=true","AGAP000209")</f>
        <v>AGAP000209</v>
      </c>
      <c r="DE567" s="2" t="s">
        <v>5783</v>
      </c>
      <c r="DF567" s="2" t="s">
        <v>5784</v>
      </c>
      <c r="DG567" s="2" t="s">
        <v>94</v>
      </c>
      <c r="DH567" s="2" t="str">
        <f>HYPERLINK("https://vectorbase.org/vectorbase/app/record/gene/AGAP000209","AGAP000209-RA")</f>
        <v>AGAP000209-RA</v>
      </c>
      <c r="DI567" s="2" t="s">
        <v>118</v>
      </c>
      <c r="DJ567" s="2">
        <v>4181</v>
      </c>
      <c r="DK567" s="2" t="str">
        <f>HYPERLINK(".\links\netoglyc\AGAP000209-PA-netoglyc.txt","6")</f>
        <v>6</v>
      </c>
      <c r="DL567" s="2">
        <v>16.2</v>
      </c>
      <c r="DM567" s="2">
        <v>10.8</v>
      </c>
      <c r="DN567" s="2">
        <v>5.7</v>
      </c>
      <c r="DO567" s="2" t="s">
        <v>104</v>
      </c>
      <c r="DP567" s="2" t="s">
        <v>102</v>
      </c>
      <c r="DQ567" s="2" t="str">
        <f>HYPERLINK(".\links\Sigp\AGAP000209-PA-SigP.txt","CYT")</f>
        <v>CYT</v>
      </c>
      <c r="DR567" s="2" t="s">
        <v>102</v>
      </c>
      <c r="DS567" s="2">
        <v>115.15300000000001</v>
      </c>
      <c r="DT567" s="2">
        <v>5.82</v>
      </c>
      <c r="DU567" s="2" t="s">
        <v>102</v>
      </c>
      <c r="DV567" s="2" t="s">
        <v>102</v>
      </c>
      <c r="DW567" s="2" t="s">
        <v>823</v>
      </c>
      <c r="DX567" s="2">
        <v>1090</v>
      </c>
      <c r="DY567" s="12">
        <v>0</v>
      </c>
      <c r="DZ567" s="2" t="s">
        <v>102</v>
      </c>
      <c r="EA567" s="2" t="s">
        <v>102</v>
      </c>
      <c r="EB567" s="2" t="s">
        <v>102</v>
      </c>
      <c r="EC567" s="2" t="str">
        <f>HYPERLINK(".\links\gpi\AGAP000209-PA-gpi.txt","Y-NoSP")</f>
        <v>Y-NoSP</v>
      </c>
      <c r="ED567" s="2">
        <v>0.18</v>
      </c>
      <c r="EF567" s="2">
        <v>19</v>
      </c>
      <c r="EG567" s="2" t="str">
        <f>HYPERLINK(".\links\pep\AGAP000209-PA-sulf.txt","2")</f>
        <v>2</v>
      </c>
      <c r="EH567" s="2" t="s">
        <v>102</v>
      </c>
      <c r="EI567" s="2">
        <v>16.2385321100917</v>
      </c>
      <c r="EJ567" s="2">
        <v>5.6880733944954098</v>
      </c>
      <c r="EK567" s="2">
        <v>10.825688073394501</v>
      </c>
      <c r="EL567" s="2">
        <v>16.5137614678899</v>
      </c>
      <c r="EM567" s="2">
        <v>2</v>
      </c>
      <c r="EN567" s="2">
        <v>4</v>
      </c>
      <c r="EO567" s="2">
        <v>7</v>
      </c>
      <c r="EP567" s="2" t="s">
        <v>102</v>
      </c>
      <c r="EQ567" s="2" t="s">
        <v>102</v>
      </c>
      <c r="ER567" s="2" t="s">
        <v>102</v>
      </c>
      <c r="ES567" s="2" t="s">
        <v>102</v>
      </c>
      <c r="ET567" s="2" t="str">
        <f>HYPERLINK(".\links\REFSEQ-INVERTEBRATE\AGAP000209-PA-REFSEQ-INVERTEBRATE.txt","AGAP000209-PA")</f>
        <v>AGAP000209-PA</v>
      </c>
      <c r="EU567" s="2" t="str">
        <f>HYPERLINK("http://www.ncbi.nlm.nih.gov/sutils/blink.cgi?pid=XP_310924.4","0.0")</f>
        <v>0.0</v>
      </c>
      <c r="EV567" s="2" t="str">
        <f>HYPERLINK("http://www.ncbi.nlm.nih.gov/protein/XP_310924.4","XP_310924.4")</f>
        <v>XP_310924.4</v>
      </c>
      <c r="EW567" s="2">
        <v>97</v>
      </c>
      <c r="EX567" s="2">
        <v>97</v>
      </c>
      <c r="EY567" s="2">
        <v>102</v>
      </c>
      <c r="EZ567" s="2" t="s">
        <v>105</v>
      </c>
    </row>
    <row r="568" spans="1:156" x14ac:dyDescent="0.25">
      <c r="A568" s="2" t="s">
        <v>5793</v>
      </c>
      <c r="B568" s="2">
        <v>-1.14209194971793</v>
      </c>
      <c r="C568" s="2">
        <f t="shared" si="8"/>
        <v>0.4531020898931602</v>
      </c>
      <c r="D568" s="2">
        <v>0.41776446150921798</v>
      </c>
      <c r="E568" s="2">
        <v>11.104785623809001</v>
      </c>
      <c r="F568" s="2">
        <v>8.6105241687597098E-4</v>
      </c>
      <c r="G568" s="2">
        <v>3.0356607143661E-2</v>
      </c>
      <c r="H568" s="2" t="s">
        <v>5794</v>
      </c>
      <c r="I568" s="2" t="s">
        <v>94</v>
      </c>
      <c r="J568" s="2" t="str">
        <f>HYPERLINK("https://vectorbase.org/vectorbase/app/record/gene/AGAP011967","AGAP011967-RA")</f>
        <v>AGAP011967-RA</v>
      </c>
      <c r="K568" s="2" t="str">
        <f>HYPERLINK(".\links\pep\AGAP011967-PA-pep.txt","AGAP011967-PA")</f>
        <v>AGAP011967-PA</v>
      </c>
      <c r="L568" s="12" t="s">
        <v>4166</v>
      </c>
      <c r="M568" s="2">
        <v>782</v>
      </c>
      <c r="N568" s="2">
        <v>0</v>
      </c>
      <c r="O568" s="2">
        <v>1</v>
      </c>
      <c r="P568" s="2" t="s">
        <v>5795</v>
      </c>
      <c r="Q568" s="9" t="s">
        <v>5796</v>
      </c>
      <c r="R568" s="2" t="s">
        <v>358</v>
      </c>
      <c r="S568" s="2" t="str">
        <f>HYPERLINK(".\links\SWISSP\AGAP011967-PA-SWISSP.txt","SWISSP")</f>
        <v>SWISSP</v>
      </c>
      <c r="T568" s="2">
        <v>0</v>
      </c>
      <c r="U568" s="2">
        <v>95</v>
      </c>
      <c r="V568" s="2" t="s">
        <v>5797</v>
      </c>
      <c r="W568" s="10" t="s">
        <v>5798</v>
      </c>
      <c r="X568" s="2" t="s">
        <v>358</v>
      </c>
      <c r="Y568" s="2" t="str">
        <f>HYPERLINK(".\links\REFSEQVERTEBRATE95\AGAP011967-PA-REFSEQVERTEBRATE95.txt","REFSEQVERTEBRATE95")</f>
        <v>REFSEQVERTEBRATE95</v>
      </c>
      <c r="Z568" s="15">
        <v>0</v>
      </c>
      <c r="AA568" s="2">
        <v>92</v>
      </c>
      <c r="AB568" s="13" t="str">
        <f>HYPERLINK(".\links\pep\AGAP011967-PA-sulf.txt","4")</f>
        <v>4</v>
      </c>
      <c r="AC568" s="13" t="str">
        <f>HYPERLINK(".\links\Sigp\AGAP011967-PA-SigP.txt","CYT")</f>
        <v>CYT</v>
      </c>
      <c r="AD568" s="2" t="s">
        <v>102</v>
      </c>
      <c r="AE568" s="2">
        <v>90.555999999999997</v>
      </c>
      <c r="AF568" s="2">
        <v>9.17</v>
      </c>
      <c r="AG568" s="2" t="s">
        <v>102</v>
      </c>
      <c r="AH568" s="2" t="s">
        <v>102</v>
      </c>
      <c r="AI568" s="2" t="s">
        <v>1262</v>
      </c>
      <c r="AJ568" s="13">
        <v>0</v>
      </c>
      <c r="AK568" s="2" t="s">
        <v>102</v>
      </c>
      <c r="AL568" s="2" t="s">
        <v>102</v>
      </c>
      <c r="AM568" s="2" t="s">
        <v>102</v>
      </c>
      <c r="AN568" s="13" t="str">
        <f>HYPERLINK(".\links\gpi\AGAP011967-PA-gpi.txt","N")</f>
        <v>N</v>
      </c>
      <c r="AO568" s="14" t="str">
        <f>HYPERLINK(".\links\netoglyc\AGAP011967-PA-netoglyc.txt","0")</f>
        <v>0</v>
      </c>
      <c r="AP568" s="13">
        <v>11.3</v>
      </c>
      <c r="AQ568" s="2">
        <v>5.8</v>
      </c>
      <c r="AR568" s="2">
        <v>4.5</v>
      </c>
      <c r="AS568" s="2" t="s">
        <v>104</v>
      </c>
      <c r="AT568" s="9" t="str">
        <f>HYPERLINK(".\links\NR-LIGHT\AGAP011967-PA-NR-LIGHT.txt","AGAP011967-PA, partial")</f>
        <v>AGAP011967-PA, partial</v>
      </c>
      <c r="AU568" s="2" t="str">
        <f>HYPERLINK("http://www.ncbi.nlm.nih.gov/sutils/blink.cgi?pid=XP_320566.3","0.0")</f>
        <v>0.0</v>
      </c>
      <c r="AV568" s="2" t="str">
        <f>HYPERLINK("http://www.ncbi.nlm.nih.gov/protein/XP_320566.3","XP_320566.3")</f>
        <v>XP_320566.3</v>
      </c>
      <c r="AW568" s="2">
        <v>100</v>
      </c>
      <c r="AX568" s="2">
        <v>100</v>
      </c>
      <c r="AY568" s="2">
        <v>100</v>
      </c>
      <c r="AZ568" s="2" t="s">
        <v>105</v>
      </c>
      <c r="BA568" s="9" t="str">
        <f>HYPERLINK(".\links\REFSEQ-INVERTEBRATE\AGAP011967-PA-REFSEQ-INVERTEBRATE.txt","AGAP011967-PA, partial")</f>
        <v>AGAP011967-PA, partial</v>
      </c>
      <c r="BB568" s="2" t="str">
        <f>HYPERLINK("http://www.ncbi.nlm.nih.gov/sutils/blink.cgi?pid=XP_320566.3","0.0")</f>
        <v>0.0</v>
      </c>
      <c r="BC568" s="2" t="str">
        <f>HYPERLINK("http://www.ncbi.nlm.nih.gov/protein/XP_320566.3","XP_320566.3")</f>
        <v>XP_320566.3</v>
      </c>
      <c r="BD568" s="2">
        <v>100</v>
      </c>
      <c r="BE568" s="2">
        <v>100</v>
      </c>
      <c r="BF568" s="2">
        <v>100</v>
      </c>
      <c r="BG568" s="2" t="s">
        <v>105</v>
      </c>
      <c r="BH568" s="9" t="str">
        <f>HYPERLINK(".\links\REFSEQ-PROTOZOA\AGAP011967-PA-REFSEQ-PROTOZOA.txt","hypothetical protein PTSG_11880")</f>
        <v>hypothetical protein PTSG_11880</v>
      </c>
      <c r="BI568" s="2" t="str">
        <f>HYPERLINK("http://www.ncbi.nlm.nih.gov/sutils/blink.cgi?pid=XP_004996940.1","1E-134")</f>
        <v>1E-134</v>
      </c>
      <c r="BJ568" s="2" t="str">
        <f>HYPERLINK("http://www.ncbi.nlm.nih.gov/protein/XP_004996940.1","XP_004996940.1")</f>
        <v>XP_004996940.1</v>
      </c>
      <c r="BK568" s="2">
        <v>35</v>
      </c>
      <c r="BL568" s="2">
        <v>55</v>
      </c>
      <c r="BM568" s="2">
        <v>95</v>
      </c>
      <c r="BN568" s="2" t="s">
        <v>435</v>
      </c>
      <c r="BO568" s="9" t="str">
        <f>HYPERLINK(".\links\SWISSP\AGAP011967-PA-SWISSP.txt","Dynein regulatory complex protein 11")</f>
        <v>Dynein regulatory complex protein 11</v>
      </c>
      <c r="BP568" s="2" t="str">
        <f>HYPERLINK("http://www.uniprot.org/uniprot/Q86XH1","1E-165")</f>
        <v>1E-165</v>
      </c>
      <c r="BQ568" s="2" t="str">
        <f>HYPERLINK("http://www.uniprot.org/uniprot/Q86XH1#expression","Q86XH1")</f>
        <v>Q86XH1</v>
      </c>
      <c r="BR568" s="2">
        <v>40</v>
      </c>
      <c r="BS568" s="2">
        <v>63</v>
      </c>
      <c r="BT568" s="2">
        <v>95</v>
      </c>
      <c r="BU568" s="2" t="s">
        <v>127</v>
      </c>
      <c r="BV568" s="9" t="str">
        <f>HYPERLINK(".\links\FLYBASE\AGAP011967-PA-FLYBASE.txt","FBpp0305029")</f>
        <v>FBpp0305029</v>
      </c>
      <c r="BW568" s="2" t="str">
        <f>HYPERLINK("http://flybase.org/reports/FBgn0037712#alliance_summary_container","0.0")</f>
        <v>0.0</v>
      </c>
      <c r="BX568" s="2">
        <v>824</v>
      </c>
      <c r="BY568" s="2">
        <v>61</v>
      </c>
      <c r="BZ568" s="2">
        <v>77</v>
      </c>
      <c r="CA568" s="2">
        <v>91</v>
      </c>
      <c r="CB568" s="9" t="str">
        <f>HYPERLINK(".\links\CDD\AGAP011967-PA-CDD.txt","SpoVK, ATPases of the AAA+ class")</f>
        <v>SpoVK, ATPases of the AAA+ class</v>
      </c>
      <c r="CC568" s="15">
        <v>9.9999999999999998E-13</v>
      </c>
      <c r="CD568" s="2">
        <v>73.7</v>
      </c>
      <c r="CE568" s="2" t="s">
        <v>5799</v>
      </c>
      <c r="CF568" s="2" t="s">
        <v>5800</v>
      </c>
      <c r="CG568" s="9" t="str">
        <f>HYPERLINK(".\links\KOG\AGAP011967-PA-KOG.txt","AAA+-type ATPase")</f>
        <v>AAA+-type ATPase</v>
      </c>
      <c r="CH568" s="15">
        <v>1E-62</v>
      </c>
      <c r="CI568" s="2">
        <v>84.6</v>
      </c>
      <c r="CJ568" s="2" t="s">
        <v>5801</v>
      </c>
      <c r="CK568" s="2" t="s">
        <v>111</v>
      </c>
      <c r="CL568" s="9" t="str">
        <f>HYPERLINK(".\links\PFAM\AGAP011967-PA-PFAM.txt","AAA, ATPase family associated with various cellular activities (AAA)")</f>
        <v>AAA, ATPase family associated with various cellular activities (AAA)</v>
      </c>
      <c r="CM568" s="15">
        <v>8.0000000000000002E-8</v>
      </c>
      <c r="CN568" s="2">
        <v>85.4</v>
      </c>
      <c r="CO568" s="2" t="s">
        <v>775</v>
      </c>
      <c r="CP568" s="9" t="str">
        <f>HYPERLINK(".\links\SMART\AGAP011967-PA-SMART.txt","AAA, ATPases associated with a variety of cellular activities")</f>
        <v>AAA, ATPases associated with a variety of cellular activities</v>
      </c>
      <c r="CQ568" s="15">
        <v>2E-3</v>
      </c>
      <c r="CR568" s="2">
        <v>102.7</v>
      </c>
      <c r="CS568" s="2" t="s">
        <v>772</v>
      </c>
      <c r="CT568" s="2" t="s">
        <v>5797</v>
      </c>
      <c r="CU568" s="2" t="s">
        <v>5797</v>
      </c>
      <c r="CV568" s="2" t="s">
        <v>5797</v>
      </c>
      <c r="CW568" s="2" t="str">
        <f>HYPERLINK(".\links\pep\AGAP011967-PA-pep.txt","AGAP011967-PA")</f>
        <v>AGAP011967-PA</v>
      </c>
      <c r="CX568" s="2" t="s">
        <v>4166</v>
      </c>
      <c r="CY568" s="2">
        <v>782</v>
      </c>
      <c r="CZ568" s="2" t="s">
        <v>113</v>
      </c>
      <c r="DA568" s="2" t="s">
        <v>5802</v>
      </c>
      <c r="DB568" s="2">
        <v>0</v>
      </c>
      <c r="DC568" s="2">
        <v>1</v>
      </c>
      <c r="DD568" s="2" t="str">
        <f>HYPERLINK("https://www.kegg.jp/kegg-bin/search_pathway_text?map=aga&amp;keyword=AGAP011967&amp;mode=1&amp;viewImage=true","AGAP011967")</f>
        <v>AGAP011967</v>
      </c>
      <c r="DE568" s="2" t="s">
        <v>5793</v>
      </c>
      <c r="DF568" s="2" t="s">
        <v>5794</v>
      </c>
      <c r="DG568" s="2" t="s">
        <v>94</v>
      </c>
      <c r="DH568" s="2" t="str">
        <f>HYPERLINK("https://vectorbase.org/vectorbase/app/record/gene/AGAP011967","AGAP011967-RA")</f>
        <v>AGAP011967-RA</v>
      </c>
      <c r="DI568" s="2" t="s">
        <v>90</v>
      </c>
      <c r="DJ568" s="2">
        <v>2349</v>
      </c>
      <c r="DK568" s="2" t="str">
        <f>HYPERLINK(".\links\netoglyc\AGAP011967-PA-netoglyc.txt","0")</f>
        <v>0</v>
      </c>
      <c r="DL568" s="2">
        <v>11.3</v>
      </c>
      <c r="DM568" s="2">
        <v>5.8</v>
      </c>
      <c r="DN568" s="2">
        <v>4.5</v>
      </c>
      <c r="DO568" s="2" t="s">
        <v>104</v>
      </c>
      <c r="DP568" s="2" t="s">
        <v>102</v>
      </c>
      <c r="DQ568" s="2" t="str">
        <f>HYPERLINK(".\links\Sigp\AGAP011967-PA-SigP.txt","CYT")</f>
        <v>CYT</v>
      </c>
      <c r="DR568" s="2" t="s">
        <v>102</v>
      </c>
      <c r="DS568" s="2">
        <v>90.555999999999997</v>
      </c>
      <c r="DT568" s="2">
        <v>9.17</v>
      </c>
      <c r="DU568" s="2" t="s">
        <v>102</v>
      </c>
      <c r="DV568" s="2" t="s">
        <v>102</v>
      </c>
      <c r="DW568" s="2" t="s">
        <v>1262</v>
      </c>
      <c r="DX568" s="2">
        <v>782</v>
      </c>
      <c r="DY568" s="12">
        <v>0</v>
      </c>
      <c r="DZ568" s="2" t="s">
        <v>102</v>
      </c>
      <c r="EA568" s="2" t="s">
        <v>102</v>
      </c>
      <c r="EB568" s="2" t="s">
        <v>102</v>
      </c>
      <c r="EC568" s="2" t="str">
        <f>HYPERLINK(".\links\gpi\AGAP011967-PA-gpi.txt","N")</f>
        <v>N</v>
      </c>
      <c r="ED568" s="2">
        <v>0.31</v>
      </c>
      <c r="EF568" s="2">
        <v>8</v>
      </c>
      <c r="EG568" s="2" t="str">
        <f>HYPERLINK(".\links\pep\AGAP011967-PA-sulf.txt","4")</f>
        <v>4</v>
      </c>
      <c r="EH568" s="2" t="s">
        <v>102</v>
      </c>
      <c r="EI568" s="2">
        <v>11.2531969309463</v>
      </c>
      <c r="EJ568" s="2">
        <v>4.4757033248081797</v>
      </c>
      <c r="EK568" s="2">
        <v>5.7544757033248102</v>
      </c>
      <c r="EL568" s="2">
        <v>10.230179028133</v>
      </c>
      <c r="EM568" s="2" t="s">
        <v>102</v>
      </c>
      <c r="EN568" s="2">
        <v>5</v>
      </c>
      <c r="EO568" s="2">
        <v>6</v>
      </c>
      <c r="EP568" s="2" t="s">
        <v>102</v>
      </c>
      <c r="EQ568" s="2" t="s">
        <v>102</v>
      </c>
      <c r="ER568" s="2" t="s">
        <v>102</v>
      </c>
      <c r="ES568" s="2" t="s">
        <v>102</v>
      </c>
      <c r="ET568" s="2" t="str">
        <f>HYPERLINK(".\links\REFSEQ-INVERTEBRATE\AGAP011967-PA-REFSEQ-INVERTEBRATE.txt","AGAP011967-PA, partial")</f>
        <v>AGAP011967-PA, partial</v>
      </c>
      <c r="EU568" s="2" t="str">
        <f>HYPERLINK("http://www.ncbi.nlm.nih.gov/sutils/blink.cgi?pid=XP_320566.3","0.0")</f>
        <v>0.0</v>
      </c>
      <c r="EV568" s="2" t="str">
        <f>HYPERLINK("http://www.ncbi.nlm.nih.gov/protein/XP_320566.3","XP_320566.3")</f>
        <v>XP_320566.3</v>
      </c>
      <c r="EW568" s="2">
        <v>100</v>
      </c>
      <c r="EX568" s="2">
        <v>100</v>
      </c>
      <c r="EY568" s="2">
        <v>100</v>
      </c>
      <c r="EZ568" s="2" t="s">
        <v>105</v>
      </c>
    </row>
    <row r="569" spans="1:156" x14ac:dyDescent="0.25">
      <c r="A569" s="2" t="s">
        <v>5803</v>
      </c>
      <c r="B569" s="2">
        <v>-1.2007904860857399</v>
      </c>
      <c r="C569" s="2">
        <f t="shared" si="8"/>
        <v>0.43503684954936767</v>
      </c>
      <c r="D569" s="2">
        <v>2.9774041764848298</v>
      </c>
      <c r="E569" s="2">
        <v>10.755137787921001</v>
      </c>
      <c r="F569" s="2">
        <v>1.0399022474372199E-3</v>
      </c>
      <c r="G569" s="2">
        <v>3.2534084598393097E-2</v>
      </c>
      <c r="H569" s="2" t="s">
        <v>5804</v>
      </c>
      <c r="I569" s="2" t="s">
        <v>94</v>
      </c>
      <c r="J569" s="2" t="str">
        <f>HYPERLINK("https://vectorbase.org/vectorbase/app/record/gene/AGAP005563","AGAP005563-RB")</f>
        <v>AGAP005563-RB</v>
      </c>
      <c r="K569" s="2" t="str">
        <f>HYPERLINK(".\links\pep\AGAP005563-PB-pep.txt","AGAP005563-PB")</f>
        <v>AGAP005563-PB</v>
      </c>
      <c r="L569" s="12" t="s">
        <v>95</v>
      </c>
      <c r="M569" s="2">
        <v>807</v>
      </c>
      <c r="N569" s="2">
        <v>0</v>
      </c>
      <c r="O569" s="2">
        <v>1</v>
      </c>
      <c r="P569" s="2" t="s">
        <v>5805</v>
      </c>
      <c r="Q569" s="9" t="s">
        <v>244</v>
      </c>
      <c r="R569" s="2" t="s">
        <v>167</v>
      </c>
      <c r="S569" s="2" t="str">
        <f>HYPERLINK(".\links\CDD\AGAP005563-PB-CDD.txt","CDD")</f>
        <v>CDD</v>
      </c>
      <c r="T569" s="2">
        <v>1.9999999999999999E-81</v>
      </c>
      <c r="U569" s="2">
        <v>98.1</v>
      </c>
      <c r="V569" s="2" t="s">
        <v>5806</v>
      </c>
      <c r="W569" s="10" t="s">
        <v>246</v>
      </c>
      <c r="X569" s="2" t="s">
        <v>167</v>
      </c>
      <c r="Y569" s="2" t="str">
        <f>HYPERLINK(".\links\REFSEQVERTEBRATE95\AGAP005563-PB-REFSEQVERTEBRATE95.txt","REFSEQVERTEBRATE95")</f>
        <v>REFSEQVERTEBRATE95</v>
      </c>
      <c r="Z569" s="15">
        <v>0</v>
      </c>
      <c r="AA569" s="2">
        <v>91.8</v>
      </c>
      <c r="AB569" s="13" t="s">
        <v>102</v>
      </c>
      <c r="AC569" s="13" t="str">
        <f>HYPERLINK(".\links\Sigp\AGAP005563-PB-SigP.txt","CYT")</f>
        <v>CYT</v>
      </c>
      <c r="AD569" s="2" t="s">
        <v>102</v>
      </c>
      <c r="AE569" s="2">
        <v>88.825000000000003</v>
      </c>
      <c r="AF569" s="2">
        <v>7.65</v>
      </c>
      <c r="AG569" s="2" t="s">
        <v>102</v>
      </c>
      <c r="AH569" s="2" t="s">
        <v>102</v>
      </c>
      <c r="AI569" s="2" t="s">
        <v>5807</v>
      </c>
      <c r="AJ569" s="13" t="str">
        <f>HYPERLINK(".\links\tmhmm\AGAP005563-PB-tmhmm.txt","12")</f>
        <v>12</v>
      </c>
      <c r="AK569" s="2">
        <v>30.7</v>
      </c>
      <c r="AL569" s="2">
        <v>9.9</v>
      </c>
      <c r="AM569" s="2">
        <v>59.4</v>
      </c>
      <c r="AN569" s="13" t="str">
        <f>HYPERLINK(".\links\gpi\AGAP005563-PB-gpi.txt","N")</f>
        <v>N</v>
      </c>
      <c r="AO569" s="14" t="str">
        <f>HYPERLINK(".\links\netoglyc\AGAP005563-PB-netoglyc.txt","1")</f>
        <v>1</v>
      </c>
      <c r="AP569" s="13">
        <v>16.399999999999999</v>
      </c>
      <c r="AQ569" s="2">
        <v>8.3000000000000007</v>
      </c>
      <c r="AR569" s="2">
        <v>4.3</v>
      </c>
      <c r="AS569" s="2" t="s">
        <v>104</v>
      </c>
      <c r="AT569" s="9" t="str">
        <f>HYPERLINK(".\links\NR-LIGHT\AGAP005563-PB-NR-LIGHT.txt","AGAP005563-PA")</f>
        <v>AGAP005563-PA</v>
      </c>
      <c r="AU569" s="2" t="str">
        <f>HYPERLINK("http://www.ncbi.nlm.nih.gov/sutils/blink.cgi?pid=XP_315568.3","0.0")</f>
        <v>0.0</v>
      </c>
      <c r="AV569" s="2" t="str">
        <f>HYPERLINK("http://www.ncbi.nlm.nih.gov/protein/XP_315568.3","XP_315568.3")</f>
        <v>XP_315568.3</v>
      </c>
      <c r="AW569" s="2">
        <v>100</v>
      </c>
      <c r="AX569" s="2">
        <v>100</v>
      </c>
      <c r="AY569" s="2">
        <v>97</v>
      </c>
      <c r="AZ569" s="2" t="s">
        <v>105</v>
      </c>
      <c r="BA569" s="9" t="str">
        <f>HYPERLINK(".\links\REFSEQ-INVERTEBRATE\AGAP005563-PB-REFSEQ-INVERTEBRATE.txt","AGAP005563-PA")</f>
        <v>AGAP005563-PA</v>
      </c>
      <c r="BB569" s="2" t="str">
        <f>HYPERLINK("http://www.ncbi.nlm.nih.gov/sutils/blink.cgi?pid=XP_315568.3","0.0")</f>
        <v>0.0</v>
      </c>
      <c r="BC569" s="2" t="str">
        <f>HYPERLINK("http://www.ncbi.nlm.nih.gov/protein/XP_315568.3","XP_315568.3")</f>
        <v>XP_315568.3</v>
      </c>
      <c r="BD569" s="2">
        <v>100</v>
      </c>
      <c r="BE569" s="2">
        <v>100</v>
      </c>
      <c r="BF569" s="2">
        <v>97</v>
      </c>
      <c r="BG569" s="2" t="s">
        <v>105</v>
      </c>
      <c r="BH569" s="9" t="str">
        <f>HYPERLINK(".\links\REFSEQ-PROTOZOA\AGAP005563-PB-REFSEQ-PROTOZOA.txt","hypothetical protein PTSG_06943")</f>
        <v>hypothetical protein PTSG_06943</v>
      </c>
      <c r="BI569" s="2" t="str">
        <f>HYPERLINK("http://www.ncbi.nlm.nih.gov/sutils/blink.cgi?pid=XP_004992344.1","6E-084")</f>
        <v>6E-084</v>
      </c>
      <c r="BJ569" s="2" t="str">
        <f>HYPERLINK("http://www.ncbi.nlm.nih.gov/protein/XP_004992344.1","XP_004992344.1")</f>
        <v>XP_004992344.1</v>
      </c>
      <c r="BK569" s="2">
        <v>37</v>
      </c>
      <c r="BL569" s="2">
        <v>60</v>
      </c>
      <c r="BM569" s="2">
        <v>84</v>
      </c>
      <c r="BN569" s="2" t="s">
        <v>435</v>
      </c>
      <c r="BO569" s="9" t="str">
        <f>HYPERLINK(".\links\SWISSP\AGAP005563-PB-SWISSP.txt","Facilitated trehalose transporter Tret1")</f>
        <v>Facilitated trehalose transporter Tret1</v>
      </c>
      <c r="BP569" s="2" t="str">
        <f>HYPERLINK("http://www.uniprot.org/uniprot/Q7PIR5","0.0")</f>
        <v>0.0</v>
      </c>
      <c r="BQ569" s="2" t="str">
        <f>HYPERLINK("http://www.uniprot.org/uniprot/Q7PIR5#expression","Q7PIR5")</f>
        <v>Q7PIR5</v>
      </c>
      <c r="BR569" s="2">
        <v>100</v>
      </c>
      <c r="BS569" s="2">
        <v>100</v>
      </c>
      <c r="BT569" s="2">
        <v>97</v>
      </c>
      <c r="BU569" s="2" t="s">
        <v>249</v>
      </c>
      <c r="BV569" s="9" t="str">
        <f>HYPERLINK(".\links\FLYBASE\AGAP005563-PB-FLYBASE.txt","FBpp0087178")</f>
        <v>FBpp0087178</v>
      </c>
      <c r="BW569" s="2" t="str">
        <f>HYPERLINK("http://flybase.org/reports/FBgn0050035#alliance_summary_container","0.0")</f>
        <v>0.0</v>
      </c>
      <c r="BX569" s="2">
        <v>857</v>
      </c>
      <c r="BY569" s="2">
        <v>64</v>
      </c>
      <c r="BZ569" s="2">
        <v>74</v>
      </c>
      <c r="CA569" s="2">
        <v>101</v>
      </c>
      <c r="CB569" s="9" t="str">
        <f>HYPERLINK(".\links\CDD\AGAP005563-PB-CDD.txt","Sugar_tr, Sugar (and other) transporter")</f>
        <v>Sugar_tr, Sugar (and other) transporter</v>
      </c>
      <c r="CC569" s="15">
        <v>2E-85</v>
      </c>
      <c r="CD569" s="2">
        <v>100.4</v>
      </c>
      <c r="CE569" s="2" t="s">
        <v>250</v>
      </c>
      <c r="CF569" s="2" t="s">
        <v>5808</v>
      </c>
      <c r="CG569" s="9" t="str">
        <f>HYPERLINK(".\links\KOG\AGAP005563-PB-KOG.txt","Predicted transporter (major facilitator superfamily)")</f>
        <v>Predicted transporter (major facilitator superfamily)</v>
      </c>
      <c r="CH569" s="15">
        <v>9.9999999999999995E-113</v>
      </c>
      <c r="CI569" s="2">
        <v>100</v>
      </c>
      <c r="CJ569" s="2" t="s">
        <v>252</v>
      </c>
      <c r="CK569" s="2" t="s">
        <v>191</v>
      </c>
      <c r="CL569" s="9" t="str">
        <f>HYPERLINK(".\links\PFAM\AGAP005563-PB-PFAM.txt","Sugar_tr, Sugar (and other) transporter")</f>
        <v>Sugar_tr, Sugar (and other) transporter</v>
      </c>
      <c r="CM569" s="15">
        <v>3.0000000000000001E-86</v>
      </c>
      <c r="CN569" s="2">
        <v>100.4</v>
      </c>
      <c r="CO569" s="2" t="s">
        <v>250</v>
      </c>
      <c r="CP569" s="9" t="str">
        <f>HYPERLINK(".\links\SMART\AGAP005563-PB-SMART.txt","OmpH, Outer membrane protein (OmpH-like)")</f>
        <v>OmpH, Outer membrane protein (OmpH-like)</v>
      </c>
      <c r="CQ569" s="15">
        <v>1</v>
      </c>
      <c r="CR569" s="2">
        <v>55</v>
      </c>
      <c r="CS569" s="2" t="s">
        <v>895</v>
      </c>
      <c r="CT569" s="2" t="s">
        <v>5806</v>
      </c>
      <c r="CU569" s="2" t="s">
        <v>5806</v>
      </c>
      <c r="CV569" s="2" t="s">
        <v>5806</v>
      </c>
      <c r="CW569" s="2" t="str">
        <f>HYPERLINK(".\links\pep\AGAP005563-PB-pep.txt","AGAP005563-PB")</f>
        <v>AGAP005563-PB</v>
      </c>
      <c r="CX569" s="2" t="s">
        <v>95</v>
      </c>
      <c r="CY569" s="2">
        <v>807</v>
      </c>
      <c r="CZ569" s="2" t="s">
        <v>113</v>
      </c>
      <c r="DA569" s="2" t="s">
        <v>5809</v>
      </c>
      <c r="DB569" s="2">
        <v>0</v>
      </c>
      <c r="DC569" s="2">
        <v>1</v>
      </c>
      <c r="DD569" s="2" t="str">
        <f>HYPERLINK("https://www.kegg.jp/kegg-bin/search_pathway_text?map=aga&amp;keyword=AGAP005563&amp;mode=1&amp;viewImage=true","AGAP005563")</f>
        <v>AGAP005563</v>
      </c>
      <c r="DE569" s="2" t="s">
        <v>5803</v>
      </c>
      <c r="DF569" s="2" t="s">
        <v>5804</v>
      </c>
      <c r="DG569" s="2" t="s">
        <v>94</v>
      </c>
      <c r="DH569" s="2" t="str">
        <f>HYPERLINK("https://vectorbase.org/vectorbase/app/record/gene/AGAP005563","AGAP005563-RB")</f>
        <v>AGAP005563-RB</v>
      </c>
      <c r="DI569" s="2" t="s">
        <v>135</v>
      </c>
      <c r="DJ569" s="2">
        <v>4796</v>
      </c>
      <c r="DK569" s="2" t="str">
        <f>HYPERLINK(".\links\netoglyc\AGAP005563-PB-netoglyc.txt","1")</f>
        <v>1</v>
      </c>
      <c r="DL569" s="2">
        <v>16.399999999999999</v>
      </c>
      <c r="DM569" s="2">
        <v>8.3000000000000007</v>
      </c>
      <c r="DN569" s="2">
        <v>4.3</v>
      </c>
      <c r="DO569" s="2" t="s">
        <v>104</v>
      </c>
      <c r="DP569" s="2" t="s">
        <v>5810</v>
      </c>
      <c r="DQ569" s="2" t="str">
        <f>HYPERLINK(".\links\Sigp\AGAP005563-PB-SigP.txt","CYT")</f>
        <v>CYT</v>
      </c>
      <c r="DR569" s="2" t="s">
        <v>102</v>
      </c>
      <c r="DS569" s="2">
        <v>88.825000000000003</v>
      </c>
      <c r="DT569" s="2">
        <v>7.65</v>
      </c>
      <c r="DU569" s="2" t="s">
        <v>102</v>
      </c>
      <c r="DV569" s="2" t="s">
        <v>102</v>
      </c>
      <c r="DW569" s="2" t="s">
        <v>5807</v>
      </c>
      <c r="DX569" s="2">
        <v>807</v>
      </c>
      <c r="DY569" s="12" t="str">
        <f>HYPERLINK(".\links\tmhmm\AGAP005563-PB-tmhmm.txt","12")</f>
        <v>12</v>
      </c>
      <c r="DZ569" s="2">
        <v>30.7</v>
      </c>
      <c r="EA569" s="2">
        <v>9.9</v>
      </c>
      <c r="EB569" s="2">
        <v>59.4</v>
      </c>
      <c r="EC569" s="2" t="str">
        <f>HYPERLINK(".\links\gpi\AGAP005563-PB-gpi.txt","N")</f>
        <v>N</v>
      </c>
      <c r="ED569" s="2">
        <v>0.21</v>
      </c>
      <c r="EF569" s="2">
        <v>6</v>
      </c>
      <c r="EG569" s="2" t="s">
        <v>102</v>
      </c>
      <c r="EH569" s="2" t="s">
        <v>102</v>
      </c>
      <c r="EI569" s="2">
        <v>16.3568773234201</v>
      </c>
      <c r="EJ569" s="2">
        <v>4.3370508054522903</v>
      </c>
      <c r="EK569" s="2">
        <v>8.3023543990086708</v>
      </c>
      <c r="EL569" s="2">
        <v>12.639405204460999</v>
      </c>
      <c r="EM569" s="2">
        <v>1</v>
      </c>
      <c r="EN569" s="2">
        <v>1</v>
      </c>
      <c r="EO569" s="2">
        <v>2</v>
      </c>
      <c r="EP569" s="2" t="s">
        <v>102</v>
      </c>
      <c r="EQ569" s="2" t="s">
        <v>102</v>
      </c>
      <c r="ER569" s="2" t="s">
        <v>102</v>
      </c>
      <c r="ES569" s="2" t="s">
        <v>102</v>
      </c>
      <c r="ET569" s="2" t="str">
        <f>HYPERLINK(".\links\REFSEQ-INVERTEBRATE\AGAP005563-PB-REFSEQ-INVERTEBRATE.txt","AGAP005563-PA")</f>
        <v>AGAP005563-PA</v>
      </c>
      <c r="EU569" s="2" t="str">
        <f>HYPERLINK("http://www.ncbi.nlm.nih.gov/sutils/blink.cgi?pid=XP_315568.3","0.0")</f>
        <v>0.0</v>
      </c>
      <c r="EV569" s="2" t="str">
        <f>HYPERLINK("http://www.ncbi.nlm.nih.gov/protein/XP_315568.3","XP_315568.3")</f>
        <v>XP_315568.3</v>
      </c>
      <c r="EW569" s="2">
        <v>100</v>
      </c>
      <c r="EX569" s="2">
        <v>100</v>
      </c>
      <c r="EY569" s="2">
        <v>97</v>
      </c>
      <c r="EZ569" s="2" t="s">
        <v>105</v>
      </c>
    </row>
    <row r="570" spans="1:156" x14ac:dyDescent="0.25">
      <c r="A570" s="2" t="s">
        <v>5811</v>
      </c>
      <c r="B570" s="2">
        <v>-1.20110263242199</v>
      </c>
      <c r="C570" s="2">
        <f t="shared" si="8"/>
        <v>0.43494273369994424</v>
      </c>
      <c r="D570" s="2">
        <v>7.7139390978399396</v>
      </c>
      <c r="E570" s="2">
        <v>9.1863336924141699</v>
      </c>
      <c r="F570" s="2">
        <v>2.4382879991657301E-3</v>
      </c>
      <c r="G570" s="2">
        <v>4.6584949255024502E-2</v>
      </c>
      <c r="H570" s="2" t="s">
        <v>93</v>
      </c>
      <c r="I570" s="2" t="s">
        <v>94</v>
      </c>
      <c r="J570" s="2" t="str">
        <f>HYPERLINK("https://vectorbase.org/vectorbase/app/record/gene/AGAP011377","AGAP011377-RA")</f>
        <v>AGAP011377-RA</v>
      </c>
      <c r="K570" s="2" t="str">
        <f>HYPERLINK(".\links\pep\AGAP011377-PA-pep.txt","AGAP011377-PA")</f>
        <v>AGAP011377-PA</v>
      </c>
      <c r="L570" s="12" t="s">
        <v>95</v>
      </c>
      <c r="M570" s="2">
        <v>220</v>
      </c>
      <c r="N570" s="2">
        <v>0</v>
      </c>
      <c r="O570" s="2">
        <v>2</v>
      </c>
      <c r="P570" s="2" t="s">
        <v>102</v>
      </c>
      <c r="Q570" s="9" t="s">
        <v>5812</v>
      </c>
      <c r="R570" s="2" t="s">
        <v>147</v>
      </c>
      <c r="S570" s="2" t="str">
        <f>HYPERLINK(".\links\REFSEQ-INVERTEBRATE\AGAP011377-PA-REFSEQ-INVERTEBRATE.txt","REFSEQ-INVERTEBRATE")</f>
        <v>REFSEQ-INVERTEBRATE</v>
      </c>
      <c r="T570" s="2">
        <v>8.9999999999999997E-53</v>
      </c>
      <c r="U570" s="2">
        <v>95.3</v>
      </c>
      <c r="V570" s="2" t="s">
        <v>5813</v>
      </c>
      <c r="W570" s="10" t="s">
        <v>146</v>
      </c>
      <c r="X570" s="2" t="s">
        <v>147</v>
      </c>
      <c r="Y570" s="2" t="str">
        <f>HYPERLINK(".\links\netoglyc\AGAP011377-PA-netoglyc.txt","netoglyc")</f>
        <v>netoglyc</v>
      </c>
      <c r="AB570" s="13" t="s">
        <v>102</v>
      </c>
      <c r="AC570" s="13" t="str">
        <f>HYPERLINK(".\links\Sigp\AGAP011377-PA-SigP.txt","SIG")</f>
        <v>SIG</v>
      </c>
      <c r="AD570" s="2" t="s">
        <v>150</v>
      </c>
      <c r="AE570" s="2">
        <v>23.867000000000001</v>
      </c>
      <c r="AF570" s="2">
        <v>4.59</v>
      </c>
      <c r="AG570" s="2">
        <v>21.542000000000002</v>
      </c>
      <c r="AH570" s="2">
        <v>4.29</v>
      </c>
      <c r="AI570" s="2" t="s">
        <v>5814</v>
      </c>
      <c r="AJ570" s="13" t="str">
        <f>HYPERLINK(".\links\tmhmm\AGAP011377-PA-tmhmm.txt","1")</f>
        <v>1</v>
      </c>
      <c r="AK570" s="2">
        <v>8.6</v>
      </c>
      <c r="AL570" s="2">
        <v>88.2</v>
      </c>
      <c r="AM570" s="2">
        <v>3.2</v>
      </c>
      <c r="AN570" s="13" t="str">
        <f>HYPERLINK(".\links\gpi\AGAP011377-PA-gpi.txt","N")</f>
        <v>N</v>
      </c>
      <c r="AO570" s="14" t="str">
        <f>HYPERLINK(".\links\netoglyc\AGAP011377-PA-netoglyc.txt","39")</f>
        <v>39</v>
      </c>
      <c r="AP570" s="13">
        <v>25.5</v>
      </c>
      <c r="AQ570" s="2">
        <v>3.6</v>
      </c>
      <c r="AR570" s="2">
        <v>6.8</v>
      </c>
      <c r="AS570" s="2" t="s">
        <v>104</v>
      </c>
      <c r="AT570" s="9" t="str">
        <f>HYPERLINK(".\links\NR-LIGHT\AGAP011377-PA-NR-LIGHT.txt","AGAP011377-PA")</f>
        <v>AGAP011377-PA</v>
      </c>
      <c r="AU570" s="2" t="str">
        <f>HYPERLINK("http://www.ncbi.nlm.nih.gov/sutils/blink.cgi?pid=XP_554868.1","1E-130")</f>
        <v>1E-130</v>
      </c>
      <c r="AV570" s="2" t="str">
        <f>HYPERLINK("http://www.ncbi.nlm.nih.gov/protein/XP_554868.1","XP_554868.1")</f>
        <v>XP_554868.1</v>
      </c>
      <c r="AW570" s="2">
        <v>100</v>
      </c>
      <c r="AX570" s="2">
        <v>100</v>
      </c>
      <c r="AY570" s="2">
        <v>100</v>
      </c>
      <c r="AZ570" s="2" t="s">
        <v>105</v>
      </c>
      <c r="BA570" s="9" t="str">
        <f>HYPERLINK(".\links\REFSEQ-INVERTEBRATE\AGAP011377-PA-REFSEQ-INVERTEBRATE.txt","AGAP011377-PA")</f>
        <v>AGAP011377-PA</v>
      </c>
      <c r="BB570" s="2" t="str">
        <f>HYPERLINK("http://www.ncbi.nlm.nih.gov/sutils/blink.cgi?pid=XP_554868.1","1E-130")</f>
        <v>1E-130</v>
      </c>
      <c r="BC570" s="2" t="str">
        <f>HYPERLINK("http://www.ncbi.nlm.nih.gov/protein/XP_554868.1","XP_554868.1")</f>
        <v>XP_554868.1</v>
      </c>
      <c r="BD570" s="2">
        <v>100</v>
      </c>
      <c r="BE570" s="2">
        <v>100</v>
      </c>
      <c r="BF570" s="2">
        <v>100</v>
      </c>
      <c r="BG570" s="2" t="s">
        <v>105</v>
      </c>
      <c r="BH570" s="9" t="str">
        <f>HYPERLINK(".\links\REFSEQ-PROTOZOA\AGAP011377-PA-REFSEQ-PROTOZOA.txt","hypothetical protein PTSG_07131")</f>
        <v>hypothetical protein PTSG_07131</v>
      </c>
      <c r="BI570" s="2" t="str">
        <f>HYPERLINK("http://www.ncbi.nlm.nih.gov/sutils/blink.cgi?pid=XP_004992548.1","5E-016")</f>
        <v>5E-016</v>
      </c>
      <c r="BJ570" s="2" t="str">
        <f>HYPERLINK("http://www.ncbi.nlm.nih.gov/protein/XP_004992548.1","XP_004992548.1")</f>
        <v>XP_004992548.1</v>
      </c>
      <c r="BK570" s="2">
        <v>39</v>
      </c>
      <c r="BL570" s="2">
        <v>46</v>
      </c>
      <c r="BM570" s="2">
        <v>8</v>
      </c>
      <c r="BN570" s="2" t="s">
        <v>435</v>
      </c>
      <c r="BO570" s="9" t="str">
        <f>HYPERLINK(".\links\SWISSP\AGAP011377-PA-SWISSP.txt","Integumentary mucin C.1 (Fragment)")</f>
        <v>Integumentary mucin C.1 (Fragment)</v>
      </c>
      <c r="BP570" s="2" t="str">
        <f>HYPERLINK("http://www.uniprot.org/uniprot/Q05049","2E-012")</f>
        <v>2E-012</v>
      </c>
      <c r="BQ570" s="2" t="str">
        <f>HYPERLINK("http://www.uniprot.org/uniprot/Q05049#expression","Q05049")</f>
        <v>Q05049</v>
      </c>
      <c r="BR570" s="2">
        <v>53</v>
      </c>
      <c r="BS570" s="2">
        <v>61</v>
      </c>
      <c r="BT570" s="2">
        <v>13</v>
      </c>
      <c r="BU570" s="2" t="s">
        <v>625</v>
      </c>
      <c r="BV570" s="9" t="str">
        <f>HYPERLINK(".\links\FLYBASE\AGAP011377-PA-FLYBASE.txt","FBpp0111328")</f>
        <v>FBpp0111328</v>
      </c>
      <c r="BW570" s="2" t="str">
        <f>HYPERLINK("http://flybase.org/reports/FBgn0085249#alliance_summary_container","0.018")</f>
        <v>0.018</v>
      </c>
      <c r="BX570" s="2">
        <v>726</v>
      </c>
      <c r="BY570" s="2">
        <v>38</v>
      </c>
      <c r="BZ570" s="2">
        <v>64</v>
      </c>
      <c r="CA570" s="2">
        <v>4</v>
      </c>
      <c r="CB570" s="9" t="str">
        <f>HYPERLINK(".\links\CDD\AGAP011377-PA-CDD.txt","COG3889, Predicted solute binding protein")</f>
        <v>COG3889, Predicted solute binding protein</v>
      </c>
      <c r="CC570" s="15">
        <v>4.9999999999999998E-7</v>
      </c>
      <c r="CD570" s="2">
        <v>13.2</v>
      </c>
      <c r="CE570" s="2" t="s">
        <v>5815</v>
      </c>
      <c r="CF570" s="2" t="s">
        <v>5816</v>
      </c>
      <c r="CG570" s="9" t="str">
        <f>HYPERLINK(".\links\KOG\AGAP011377-PA-KOG.txt","Nuclear porin")</f>
        <v>Nuclear porin</v>
      </c>
      <c r="CH570" s="15">
        <v>8.9999999999999998E-4</v>
      </c>
      <c r="CI570" s="2">
        <v>18.5</v>
      </c>
      <c r="CJ570" s="2" t="s">
        <v>5817</v>
      </c>
      <c r="CK570" s="2" t="s">
        <v>5818</v>
      </c>
      <c r="CL570" s="9" t="str">
        <f>HYPERLINK(".\links\PFAM\AGAP011377-PA-PFAM.txt","CBM_14, Chitin binding Peritrophin-A domain")</f>
        <v>CBM_14, Chitin binding Peritrophin-A domain</v>
      </c>
      <c r="CM570" s="15">
        <v>9.9999999999999995E-7</v>
      </c>
      <c r="CN570" s="2">
        <v>71.7</v>
      </c>
      <c r="CO570" s="2" t="s">
        <v>5819</v>
      </c>
      <c r="CP570" s="9" t="str">
        <f>HYPERLINK(".\links\SMART\AGAP011377-PA-SMART.txt","ChtBD2, Chitin-binding domain type 2")</f>
        <v>ChtBD2, Chitin-binding domain type 2</v>
      </c>
      <c r="CQ570" s="15">
        <v>2E-8</v>
      </c>
      <c r="CR570" s="2">
        <v>75.5</v>
      </c>
      <c r="CS570" s="2" t="s">
        <v>156</v>
      </c>
      <c r="CT570" s="2" t="s">
        <v>5813</v>
      </c>
      <c r="CU570" s="2" t="s">
        <v>5813</v>
      </c>
      <c r="CV570" s="2" t="s">
        <v>5813</v>
      </c>
      <c r="CW570" s="2" t="str">
        <f>HYPERLINK(".\links\pep\AGAP011377-PA-pep.txt","AGAP011377-PA")</f>
        <v>AGAP011377-PA</v>
      </c>
      <c r="CX570" s="2" t="s">
        <v>95</v>
      </c>
      <c r="CY570" s="2">
        <v>220</v>
      </c>
      <c r="CZ570" s="2" t="s">
        <v>113</v>
      </c>
      <c r="DA570" s="2" t="s">
        <v>5820</v>
      </c>
      <c r="DB570" s="2">
        <v>0</v>
      </c>
      <c r="DC570" s="2">
        <v>2</v>
      </c>
      <c r="DD570" s="2" t="str">
        <f>HYPERLINK("https://www.kegg.jp/kegg-bin/search_pathway_text?map=aga&amp;keyword=AGAP011377&amp;mode=1&amp;viewImage=true","AGAP011377")</f>
        <v>AGAP011377</v>
      </c>
      <c r="DE570" s="2" t="s">
        <v>5811</v>
      </c>
      <c r="DF570" s="2" t="s">
        <v>93</v>
      </c>
      <c r="DG570" s="2" t="s">
        <v>94</v>
      </c>
      <c r="DH570" s="2" t="str">
        <f>HYPERLINK("https://vectorbase.org/vectorbase/app/record/gene/AGAP011377","AGAP011377-RA")</f>
        <v>AGAP011377-RA</v>
      </c>
      <c r="DI570" s="2" t="s">
        <v>118</v>
      </c>
      <c r="DJ570" s="2">
        <v>791</v>
      </c>
      <c r="DK570" s="2" t="str">
        <f>HYPERLINK(".\links\netoglyc\AGAP011377-PA-netoglyc.txt","39")</f>
        <v>39</v>
      </c>
      <c r="DL570" s="2">
        <v>25.5</v>
      </c>
      <c r="DM570" s="2">
        <v>3.6</v>
      </c>
      <c r="DN570" s="2">
        <v>6.8</v>
      </c>
      <c r="DO570" s="2" t="s">
        <v>104</v>
      </c>
      <c r="DP570" s="2" t="s">
        <v>102</v>
      </c>
      <c r="DQ570" s="2" t="str">
        <f>HYPERLINK(".\links\Sigp\AGAP011377-PA-SigP.txt","SIG")</f>
        <v>SIG</v>
      </c>
      <c r="DR570" s="2" t="s">
        <v>150</v>
      </c>
      <c r="DS570" s="2">
        <v>23.867000000000001</v>
      </c>
      <c r="DT570" s="2">
        <v>4.59</v>
      </c>
      <c r="DU570" s="2">
        <v>21.542000000000002</v>
      </c>
      <c r="DV570" s="2">
        <v>4.29</v>
      </c>
      <c r="DW570" s="2" t="s">
        <v>5814</v>
      </c>
      <c r="DX570" s="2">
        <v>220</v>
      </c>
      <c r="DY570" s="12" t="str">
        <f>HYPERLINK(".\links\tmhmm\AGAP011377-PA-tmhmm.txt","1")</f>
        <v>1</v>
      </c>
      <c r="DZ570" s="2">
        <v>8.6</v>
      </c>
      <c r="EA570" s="2">
        <v>88.2</v>
      </c>
      <c r="EB570" s="2">
        <v>3.2</v>
      </c>
      <c r="EC570" s="2" t="str">
        <f>HYPERLINK(".\links\gpi\AGAP011377-PA-gpi.txt","N")</f>
        <v>N</v>
      </c>
      <c r="ED570" s="2">
        <v>0.6</v>
      </c>
      <c r="EE570" s="2" t="s">
        <v>5821</v>
      </c>
      <c r="EF570" s="2">
        <v>17</v>
      </c>
      <c r="EG570" s="2" t="s">
        <v>102</v>
      </c>
      <c r="EH570" s="2" t="s">
        <v>102</v>
      </c>
      <c r="EI570" s="2">
        <v>25.454545454545499</v>
      </c>
      <c r="EJ570" s="2">
        <v>6.8181818181818201</v>
      </c>
      <c r="EK570" s="2">
        <v>3.6363636363636398</v>
      </c>
      <c r="EL570" s="2">
        <v>10.454545454545499</v>
      </c>
      <c r="EM570" s="2">
        <v>1</v>
      </c>
      <c r="EN570" s="2" t="s">
        <v>102</v>
      </c>
      <c r="EO570" s="2">
        <v>1</v>
      </c>
      <c r="EP570" s="2" t="s">
        <v>102</v>
      </c>
      <c r="EQ570" s="2" t="s">
        <v>102</v>
      </c>
      <c r="ER570" s="2" t="s">
        <v>102</v>
      </c>
      <c r="ES570" s="2" t="s">
        <v>102</v>
      </c>
      <c r="ET570" s="2" t="str">
        <f>HYPERLINK(".\links\REFSEQ-INVERTEBRATE\AGAP011377-PA-REFSEQ-INVERTEBRATE.txt","AGAP011377-PA")</f>
        <v>AGAP011377-PA</v>
      </c>
      <c r="EU570" s="2" t="str">
        <f>HYPERLINK("http://www.ncbi.nlm.nih.gov/sutils/blink.cgi?pid=XP_554868.1","1E-154")</f>
        <v>1E-154</v>
      </c>
      <c r="EV570" s="2" t="str">
        <f>HYPERLINK("http://www.ncbi.nlm.nih.gov/protein/XP_554868.1","XP_554868.1")</f>
        <v>XP_554868.1</v>
      </c>
      <c r="EW570" s="2">
        <v>100</v>
      </c>
      <c r="EX570" s="2">
        <v>100</v>
      </c>
      <c r="EY570" s="2">
        <v>100</v>
      </c>
      <c r="EZ570" s="2" t="s">
        <v>105</v>
      </c>
    </row>
    <row r="571" spans="1:156" x14ac:dyDescent="0.25">
      <c r="A571" s="2" t="s">
        <v>5822</v>
      </c>
      <c r="B571" s="2">
        <v>-1.2100414837981901</v>
      </c>
      <c r="C571" s="2">
        <f t="shared" si="8"/>
        <v>0.43225618621756795</v>
      </c>
      <c r="D571" s="2">
        <v>9.3454183803765591</v>
      </c>
      <c r="E571" s="2">
        <v>25.476005224307102</v>
      </c>
      <c r="F571" s="2">
        <v>4.47919123589357E-7</v>
      </c>
      <c r="G571" s="2">
        <v>4.4142429629731198E-4</v>
      </c>
      <c r="H571" s="2" t="s">
        <v>93</v>
      </c>
      <c r="I571" s="2" t="s">
        <v>94</v>
      </c>
      <c r="J571" s="2" t="str">
        <f>HYPERLINK("https://vectorbase.org/vectorbase/app/record/gene/AGAP006063","AGAP006063-RA")</f>
        <v>AGAP006063-RA</v>
      </c>
      <c r="K571" s="2" t="str">
        <f>HYPERLINK(".\links\pep\AGAP006063-PA-pep.txt","AGAP006063-PA")</f>
        <v>AGAP006063-PA</v>
      </c>
      <c r="L571" s="12" t="s">
        <v>95</v>
      </c>
      <c r="M571" s="2">
        <v>584</v>
      </c>
      <c r="N571" s="2">
        <v>0</v>
      </c>
      <c r="O571" s="2">
        <v>1</v>
      </c>
      <c r="P571" s="2" t="s">
        <v>102</v>
      </c>
      <c r="Q571" s="9" t="s">
        <v>5823</v>
      </c>
      <c r="R571" s="2" t="s">
        <v>918</v>
      </c>
      <c r="S571" s="2" t="str">
        <f>HYPERLINK(".\links\REFSEQ-INVERTEBRATE\AGAP006063-PA-REFSEQ-INVERTEBRATE.txt","REFSEQ-INVERTEBRATE")</f>
        <v>REFSEQ-INVERTEBRATE</v>
      </c>
      <c r="T571" s="2">
        <v>0</v>
      </c>
      <c r="U571" s="2">
        <v>111.1</v>
      </c>
      <c r="V571" s="2" t="s">
        <v>5824</v>
      </c>
      <c r="W571" s="10" t="s">
        <v>5825</v>
      </c>
      <c r="X571" s="2" t="s">
        <v>921</v>
      </c>
      <c r="Y571" s="2" t="str">
        <f>HYPERLINK(".\links\REFSEQ-INVERTEBRATE\AGAP006063-PA-REFSEQ-INVERTEBRATE.txt","REFSEQ-INVERTEBRATE")</f>
        <v>REFSEQ-INVERTEBRATE</v>
      </c>
      <c r="Z571" s="2">
        <v>0</v>
      </c>
      <c r="AA571" s="2">
        <v>104.1</v>
      </c>
      <c r="AB571" s="13" t="str">
        <f>HYPERLINK(".\links\pep\AGAP006063-PA-sulf.txt","1")</f>
        <v>1</v>
      </c>
      <c r="AC571" s="13" t="str">
        <f>HYPERLINK(".\links\Sigp\AGAP006063-PA-SigP.txt","CYT")</f>
        <v>CYT</v>
      </c>
      <c r="AD571" s="2" t="s">
        <v>102</v>
      </c>
      <c r="AE571" s="2">
        <v>66.494</v>
      </c>
      <c r="AF571" s="2">
        <v>5.01</v>
      </c>
      <c r="AG571" s="2" t="s">
        <v>102</v>
      </c>
      <c r="AH571" s="2" t="s">
        <v>102</v>
      </c>
      <c r="AI571" s="2" t="s">
        <v>5826</v>
      </c>
      <c r="AJ571" s="13" t="str">
        <f>HYPERLINK(".\links\tmhmm\AGAP006063-PA-tmhmm.txt","1")</f>
        <v>1</v>
      </c>
      <c r="AK571" s="2">
        <v>3.8</v>
      </c>
      <c r="AL571" s="2">
        <v>88.4</v>
      </c>
      <c r="AM571" s="2">
        <v>7.9</v>
      </c>
      <c r="AN571" s="13" t="str">
        <f>HYPERLINK(".\links\gpi\AGAP006063-PA-gpi.txt","N")</f>
        <v>N</v>
      </c>
      <c r="AO571" s="14" t="str">
        <f>HYPERLINK(".\links\netoglyc\AGAP006063-PA-netoglyc.txt","1")</f>
        <v>1</v>
      </c>
      <c r="AP571" s="13">
        <v>10.6</v>
      </c>
      <c r="AQ571" s="2">
        <v>2.4</v>
      </c>
      <c r="AR571" s="2">
        <v>11</v>
      </c>
      <c r="AS571" s="2" t="s">
        <v>104</v>
      </c>
      <c r="AT571" s="9" t="str">
        <f>HYPERLINK(".\links\NR-LIGHT\AGAP006063-PA-NR-LIGHT.txt","AGAP006063-PA")</f>
        <v>AGAP006063-PA</v>
      </c>
      <c r="AU571" s="2" t="str">
        <f>HYPERLINK("http://www.ncbi.nlm.nih.gov/sutils/blink.cgi?pid=XP_316114.4","0.0")</f>
        <v>0.0</v>
      </c>
      <c r="AV571" s="2" t="str">
        <f>HYPERLINK("http://www.ncbi.nlm.nih.gov/protein/XP_316114.4","XP_316114.4")</f>
        <v>XP_316114.4</v>
      </c>
      <c r="AW571" s="2">
        <v>100</v>
      </c>
      <c r="AX571" s="2">
        <v>100</v>
      </c>
      <c r="AY571" s="2">
        <v>100</v>
      </c>
      <c r="AZ571" s="2" t="s">
        <v>105</v>
      </c>
      <c r="BA571" s="9" t="str">
        <f>HYPERLINK(".\links\REFSEQ-INVERTEBRATE\AGAP006063-PA-REFSEQ-INVERTEBRATE.txt","AGAP006063-PA")</f>
        <v>AGAP006063-PA</v>
      </c>
      <c r="BB571" s="2" t="str">
        <f>HYPERLINK("http://www.ncbi.nlm.nih.gov/sutils/blink.cgi?pid=XP_316114.4","0.0")</f>
        <v>0.0</v>
      </c>
      <c r="BC571" s="2" t="str">
        <f>HYPERLINK("http://www.ncbi.nlm.nih.gov/protein/XP_316114.4","XP_316114.4")</f>
        <v>XP_316114.4</v>
      </c>
      <c r="BD571" s="2">
        <v>100</v>
      </c>
      <c r="BE571" s="2">
        <v>100</v>
      </c>
      <c r="BF571" s="2">
        <v>100</v>
      </c>
      <c r="BG571" s="2" t="s">
        <v>105</v>
      </c>
      <c r="BH571" s="9" t="str">
        <f>HYPERLINK(".\links\REFSEQ-PROTOZOA\AGAP006063-PA-REFSEQ-PROTOZOA.txt","hypothetical protein EMWEY_00006690")</f>
        <v>hypothetical protein EMWEY_00006690</v>
      </c>
      <c r="BI571" s="2" t="str">
        <f>HYPERLINK("http://www.ncbi.nlm.nih.gov/sutils/blink.cgi?pid=XP_013333774.1","6E-023")</f>
        <v>6E-023</v>
      </c>
      <c r="BJ571" s="2" t="str">
        <f>HYPERLINK("http://www.ncbi.nlm.nih.gov/protein/XP_013333774.1","XP_013333774.1")</f>
        <v>XP_013333774.1</v>
      </c>
      <c r="BK571" s="2">
        <v>31</v>
      </c>
      <c r="BL571" s="2">
        <v>43</v>
      </c>
      <c r="BM571" s="2">
        <v>12</v>
      </c>
      <c r="BN571" s="2" t="s">
        <v>3692</v>
      </c>
      <c r="BO571" s="9" t="str">
        <f>HYPERLINK(".\links\SWISSP\AGAP006063-PA-SWISSP.txt","Protein LANA1")</f>
        <v>Protein LANA1</v>
      </c>
      <c r="BP571" s="2" t="str">
        <f>HYPERLINK("http://www.uniprot.org/uniprot/Q9QR71","1E-021")</f>
        <v>1E-021</v>
      </c>
      <c r="BQ571" s="2" t="str">
        <f>HYPERLINK("http://www.uniprot.org/uniprot/Q9QR71#expression","Q9QR71")</f>
        <v>Q9QR71</v>
      </c>
      <c r="BR571" s="2">
        <v>25</v>
      </c>
      <c r="BS571" s="2">
        <v>38</v>
      </c>
      <c r="BT571" s="2">
        <v>41</v>
      </c>
      <c r="BU571" s="2" t="s">
        <v>4993</v>
      </c>
      <c r="BV571" s="9" t="str">
        <f>HYPERLINK(".\links\FLYBASE\AGAP006063-PA-FLYBASE.txt","FBpp0311254")</f>
        <v>FBpp0311254</v>
      </c>
      <c r="BW571" s="2" t="str">
        <f>HYPERLINK("http://flybase.org/reports/FBgn0015766#alliance_summary_container","1E-100")</f>
        <v>1E-100</v>
      </c>
      <c r="BX571" s="2">
        <v>605</v>
      </c>
      <c r="BY571" s="2">
        <v>38</v>
      </c>
      <c r="BZ571" s="2">
        <v>52</v>
      </c>
      <c r="CA571" s="2">
        <v>112</v>
      </c>
      <c r="CB571" s="9" t="str">
        <f>HYPERLINK(".\links\CDD\AGAP006063-PA-CDD.txt","PAT1, Topoisomerase II-associated protein PAT1")</f>
        <v>PAT1, Topoisomerase II-associated protein PAT1</v>
      </c>
      <c r="CC571" s="15">
        <v>4.9999999999999998E-7</v>
      </c>
      <c r="CD571" s="2">
        <v>18.899999999999999</v>
      </c>
      <c r="CE571" s="2" t="s">
        <v>3695</v>
      </c>
      <c r="CF571" s="2" t="s">
        <v>5827</v>
      </c>
      <c r="CG571" s="9" t="str">
        <f>HYPERLINK(".\links\KOG\AGAP006063-PA-KOG.txt","subunit TRAP230")</f>
        <v>subunit TRAP230</v>
      </c>
      <c r="CH571" s="15">
        <v>1E-8</v>
      </c>
      <c r="CI571" s="2">
        <v>7.4</v>
      </c>
      <c r="CJ571" s="2" t="s">
        <v>4038</v>
      </c>
      <c r="CK571" s="2" t="s">
        <v>309</v>
      </c>
      <c r="CL571" s="9" t="str">
        <f>HYPERLINK(".\links\PFAM\AGAP006063-PA-PFAM.txt","PAT1, Topoisomerase II-associated protein PAT1")</f>
        <v>PAT1, Topoisomerase II-associated protein PAT1</v>
      </c>
      <c r="CM571" s="15">
        <v>9.9999999999999995E-8</v>
      </c>
      <c r="CN571" s="2">
        <v>18.899999999999999</v>
      </c>
      <c r="CO571" s="2" t="s">
        <v>3695</v>
      </c>
      <c r="CP571" s="9" t="str">
        <f>HYPERLINK(".\links\SMART\AGAP006063-PA-SMART.txt","OSTEO, Osteopontin")</f>
        <v>OSTEO, Osteopontin</v>
      </c>
      <c r="CQ571" s="15">
        <v>3.5999999999999997E-2</v>
      </c>
      <c r="CR571" s="2">
        <v>23</v>
      </c>
      <c r="CS571" s="2" t="s">
        <v>3123</v>
      </c>
      <c r="CT571" s="2" t="s">
        <v>5824</v>
      </c>
      <c r="CU571" s="2" t="s">
        <v>5824</v>
      </c>
      <c r="CV571" s="2" t="s">
        <v>5824</v>
      </c>
      <c r="CW571" s="2" t="str">
        <f>HYPERLINK(".\links\pep\AGAP006063-PA-pep.txt","AGAP006063-PA")</f>
        <v>AGAP006063-PA</v>
      </c>
      <c r="CX571" s="2" t="s">
        <v>95</v>
      </c>
      <c r="CY571" s="2">
        <v>584</v>
      </c>
      <c r="CZ571" s="2" t="s">
        <v>113</v>
      </c>
      <c r="DA571" s="2" t="s">
        <v>5828</v>
      </c>
      <c r="DB571" s="2">
        <v>0</v>
      </c>
      <c r="DC571" s="2">
        <v>1</v>
      </c>
      <c r="DD571" s="2" t="str">
        <f>HYPERLINK("https://www.kegg.jp/kegg-bin/search_pathway_text?map=aga&amp;keyword=AGAP006063&amp;mode=1&amp;viewImage=true","AGAP006063")</f>
        <v>AGAP006063</v>
      </c>
      <c r="DE571" s="2" t="s">
        <v>5822</v>
      </c>
      <c r="DF571" s="2" t="s">
        <v>93</v>
      </c>
      <c r="DG571" s="2" t="s">
        <v>94</v>
      </c>
      <c r="DH571" s="2" t="str">
        <f>HYPERLINK("https://vectorbase.org/vectorbase/app/record/gene/AGAP006063","AGAP006063-RA")</f>
        <v>AGAP006063-RA</v>
      </c>
      <c r="DI571" s="2" t="s">
        <v>115</v>
      </c>
      <c r="DJ571" s="2">
        <v>2874</v>
      </c>
      <c r="DK571" s="2" t="str">
        <f>HYPERLINK(".\links\netoglyc\AGAP006063-PA-netoglyc.txt","1")</f>
        <v>1</v>
      </c>
      <c r="DL571" s="2">
        <v>10.6</v>
      </c>
      <c r="DM571" s="2">
        <v>2.4</v>
      </c>
      <c r="DN571" s="2">
        <v>11</v>
      </c>
      <c r="DO571" s="2" t="s">
        <v>104</v>
      </c>
      <c r="DP571" s="2" t="s">
        <v>102</v>
      </c>
      <c r="DQ571" s="2" t="str">
        <f>HYPERLINK(".\links\Sigp\AGAP006063-PA-SigP.txt","CYT")</f>
        <v>CYT</v>
      </c>
      <c r="DR571" s="2" t="s">
        <v>102</v>
      </c>
      <c r="DS571" s="2">
        <v>66.494</v>
      </c>
      <c r="DT571" s="2">
        <v>5.01</v>
      </c>
      <c r="DU571" s="2" t="s">
        <v>102</v>
      </c>
      <c r="DV571" s="2" t="s">
        <v>102</v>
      </c>
      <c r="DW571" s="2" t="s">
        <v>5826</v>
      </c>
      <c r="DX571" s="2">
        <v>584</v>
      </c>
      <c r="DY571" s="12" t="str">
        <f>HYPERLINK(".\links\tmhmm\AGAP006063-PA-tmhmm.txt","1")</f>
        <v>1</v>
      </c>
      <c r="DZ571" s="2">
        <v>3.8</v>
      </c>
      <c r="EA571" s="2">
        <v>88.4</v>
      </c>
      <c r="EB571" s="2">
        <v>7.9</v>
      </c>
      <c r="EC571" s="2" t="str">
        <f>HYPERLINK(".\links\gpi\AGAP006063-PA-gpi.txt","Y-NoSP")</f>
        <v>Y-NoSP</v>
      </c>
      <c r="ED571" s="2">
        <v>0.43</v>
      </c>
      <c r="EF571" s="2">
        <v>3</v>
      </c>
      <c r="EG571" s="2" t="str">
        <f>HYPERLINK(".\links\pep\AGAP006063-PA-sulf.txt","1")</f>
        <v>1</v>
      </c>
      <c r="EH571" s="2" t="s">
        <v>102</v>
      </c>
      <c r="EI571" s="2">
        <v>10.6164383561644</v>
      </c>
      <c r="EJ571" s="2">
        <v>10.958904109589</v>
      </c>
      <c r="EK571" s="2">
        <v>2.3972602739725999</v>
      </c>
      <c r="EL571" s="2">
        <v>13.3561643835616</v>
      </c>
      <c r="EM571" s="2">
        <v>1</v>
      </c>
      <c r="EN571" s="2" t="s">
        <v>102</v>
      </c>
      <c r="EO571" s="2">
        <v>1</v>
      </c>
      <c r="EP571" s="2" t="s">
        <v>102</v>
      </c>
      <c r="EQ571" s="2" t="s">
        <v>102</v>
      </c>
      <c r="ER571" s="2" t="s">
        <v>102</v>
      </c>
      <c r="ES571" s="2" t="s">
        <v>102</v>
      </c>
      <c r="ET571" s="2" t="str">
        <f>HYPERLINK(".\links\REFSEQ-INVERTEBRATE\AGAP006063-PA-REFSEQ-INVERTEBRATE.txt","AGAP006063-PA")</f>
        <v>AGAP006063-PA</v>
      </c>
      <c r="EU571" s="2" t="str">
        <f>HYPERLINK("http://www.ncbi.nlm.nih.gov/sutils/blink.cgi?pid=XP_316114.4","0.0")</f>
        <v>0.0</v>
      </c>
      <c r="EV571" s="2" t="str">
        <f>HYPERLINK("http://www.ncbi.nlm.nih.gov/protein/XP_316114.4","XP_316114.4")</f>
        <v>XP_316114.4</v>
      </c>
      <c r="EW571" s="2">
        <v>100</v>
      </c>
      <c r="EX571" s="2">
        <v>100</v>
      </c>
      <c r="EY571" s="2">
        <v>100</v>
      </c>
      <c r="EZ571" s="2" t="s">
        <v>105</v>
      </c>
    </row>
    <row r="572" spans="1:156" x14ac:dyDescent="0.25">
      <c r="A572" s="2" t="s">
        <v>5829</v>
      </c>
      <c r="B572" s="2">
        <v>-1.41317213491771</v>
      </c>
      <c r="C572" s="2">
        <f t="shared" si="8"/>
        <v>0.37548517811113929</v>
      </c>
      <c r="D572" s="2">
        <v>-0.51330118933479696</v>
      </c>
      <c r="E572" s="2">
        <v>9.7653286220162592</v>
      </c>
      <c r="F572" s="2">
        <v>1.7783372554686201E-3</v>
      </c>
      <c r="G572" s="2">
        <v>4.1346142313873603E-2</v>
      </c>
      <c r="H572" s="2" t="s">
        <v>93</v>
      </c>
      <c r="I572" s="2" t="s">
        <v>94</v>
      </c>
      <c r="J572" s="2" t="str">
        <f>HYPERLINK("https://vectorbase.org/vectorbase/app/record/gene/AGAP028471","AGAP028471-RA")</f>
        <v>AGAP028471-RA</v>
      </c>
      <c r="K572" s="2" t="str">
        <f>HYPERLINK(".\links\pep\AGAP028471-PA-pep.txt","AGAP028471-PA")</f>
        <v>AGAP028471-PA</v>
      </c>
      <c r="L572" s="12" t="s">
        <v>95</v>
      </c>
      <c r="M572" s="2">
        <v>110</v>
      </c>
      <c r="N572" s="2">
        <v>0</v>
      </c>
      <c r="O572" s="2">
        <v>0</v>
      </c>
      <c r="P572" s="2" t="s">
        <v>102</v>
      </c>
      <c r="Q572" s="9" t="s">
        <v>5830</v>
      </c>
      <c r="R572" s="2" t="s">
        <v>931</v>
      </c>
      <c r="S572" s="2" t="str">
        <f>HYPERLINK(".\links\PFAM\AGAP028471-PA-PFAM.txt","PFAM")</f>
        <v>PFAM</v>
      </c>
      <c r="T572" s="2">
        <v>4.9999999999999997E-21</v>
      </c>
      <c r="U572" s="2">
        <v>89.3</v>
      </c>
      <c r="V572" s="2" t="s">
        <v>5831</v>
      </c>
      <c r="W572" s="10" t="s">
        <v>5832</v>
      </c>
      <c r="X572" s="2" t="s">
        <v>931</v>
      </c>
      <c r="Y572" s="2" t="str">
        <f>HYPERLINK(".\links\PFAM\AGAP028471-PA-PFAM.txt","PFAM")</f>
        <v>PFAM</v>
      </c>
      <c r="Z572" s="2">
        <v>2.0000000000000001E-13</v>
      </c>
      <c r="AA572" s="2">
        <v>84.2</v>
      </c>
      <c r="AB572" s="13" t="s">
        <v>102</v>
      </c>
      <c r="AC572" s="13" t="str">
        <f>HYPERLINK(".\links\Sigp\AGAP028471-PA-SigP.txt","CYT")</f>
        <v>CYT</v>
      </c>
      <c r="AD572" s="2" t="s">
        <v>102</v>
      </c>
      <c r="AE572" s="2">
        <v>12.432</v>
      </c>
      <c r="AF572" s="2">
        <v>10.52</v>
      </c>
      <c r="AG572" s="2" t="s">
        <v>102</v>
      </c>
      <c r="AH572" s="2" t="s">
        <v>102</v>
      </c>
      <c r="AI572" s="2" t="s">
        <v>1274</v>
      </c>
      <c r="AJ572" s="13">
        <v>0</v>
      </c>
      <c r="AK572" s="2" t="s">
        <v>102</v>
      </c>
      <c r="AL572" s="2" t="s">
        <v>102</v>
      </c>
      <c r="AM572" s="2" t="s">
        <v>102</v>
      </c>
      <c r="AN572" s="13" t="str">
        <f>HYPERLINK(".\links\gpi\AGAP028471-PA-gpi.txt","N")</f>
        <v>N</v>
      </c>
      <c r="AO572" s="14" t="str">
        <f>HYPERLINK(".\links\netoglyc\AGAP028471-PA-netoglyc.txt","2")</f>
        <v>2</v>
      </c>
      <c r="AP572" s="13">
        <v>15.5</v>
      </c>
      <c r="AQ572" s="2">
        <v>4.5</v>
      </c>
      <c r="AR572" s="2">
        <v>4.5</v>
      </c>
      <c r="AS572" s="2" t="s">
        <v>104</v>
      </c>
      <c r="AT572" s="9" t="str">
        <f>HYPERLINK(".\links\NR-LIGHT\AGAP028471-PA-NR-LIGHT.txt","AGAP013020-PA")</f>
        <v>AGAP013020-PA</v>
      </c>
      <c r="AU572" s="2" t="str">
        <f>HYPERLINK("http://www.ncbi.nlm.nih.gov/sutils/blink.cgi?pid=XP_003435910.1","1E-036")</f>
        <v>1E-036</v>
      </c>
      <c r="AV572" s="2" t="str">
        <f>HYPERLINK("http://www.ncbi.nlm.nih.gov/protein/XP_003435910.1","XP_003435910.1")</f>
        <v>XP_003435910.1</v>
      </c>
      <c r="AW572" s="2">
        <v>65</v>
      </c>
      <c r="AX572" s="2">
        <v>86</v>
      </c>
      <c r="AY572" s="2">
        <v>24</v>
      </c>
      <c r="AZ572" s="2" t="s">
        <v>105</v>
      </c>
      <c r="BA572" s="9" t="str">
        <f>HYPERLINK(".\links\REFSEQ-INVERTEBRATE\AGAP028471-PA-REFSEQ-INVERTEBRATE.txt","AGAP013020-PA")</f>
        <v>AGAP013020-PA</v>
      </c>
      <c r="BB572" s="2" t="str">
        <f>HYPERLINK("http://www.ncbi.nlm.nih.gov/sutils/blink.cgi?pid=XP_003435910.1","1E-036")</f>
        <v>1E-036</v>
      </c>
      <c r="BC572" s="2" t="str">
        <f>HYPERLINK("http://www.ncbi.nlm.nih.gov/protein/XP_003435910.1","XP_003435910.1")</f>
        <v>XP_003435910.1</v>
      </c>
      <c r="BD572" s="2">
        <v>65</v>
      </c>
      <c r="BE572" s="2">
        <v>86</v>
      </c>
      <c r="BF572" s="2">
        <v>24</v>
      </c>
      <c r="BG572" s="2" t="s">
        <v>105</v>
      </c>
      <c r="BH572" s="9" t="str">
        <f>HYPERLINK(".\links\REFSEQ-PROTOZOA\AGAP028471-PA-REFSEQ-PROTOZOA.txt","vacuolar H+-ATPase E subunit")</f>
        <v>vacuolar H+-ATPase E subunit</v>
      </c>
      <c r="BI572" s="2" t="str">
        <f>HYPERLINK("http://www.ncbi.nlm.nih.gov/sutils/blink.cgi?pid=XP_643473.1","3.7")</f>
        <v>3.7</v>
      </c>
      <c r="BJ572" s="2" t="str">
        <f>HYPERLINK("http://www.ncbi.nlm.nih.gov/protein/XP_643473.1","XP_643473.1")</f>
        <v>XP_643473.1</v>
      </c>
      <c r="BK572" s="2">
        <v>26</v>
      </c>
      <c r="BL572" s="2">
        <v>41</v>
      </c>
      <c r="BM572" s="2">
        <v>37</v>
      </c>
      <c r="BN572" s="2" t="s">
        <v>612</v>
      </c>
      <c r="BO572" s="9" t="str">
        <f>HYPERLINK(".\links\SWISSP\AGAP028471-PA-SWISSP.txt","V-type proton ATPase subunit E")</f>
        <v>V-type proton ATPase subunit E</v>
      </c>
      <c r="BP572" s="2" t="str">
        <f>HYPERLINK("http://www.uniprot.org/uniprot/O00780","1.6")</f>
        <v>1.6</v>
      </c>
      <c r="BQ572" s="2" t="str">
        <f>HYPERLINK("http://www.uniprot.org/uniprot/O00780#expression","O00780")</f>
        <v>O00780</v>
      </c>
      <c r="BR572" s="2">
        <v>26</v>
      </c>
      <c r="BS572" s="2">
        <v>41</v>
      </c>
      <c r="BT572" s="2">
        <v>37</v>
      </c>
      <c r="BU572" s="2" t="s">
        <v>1919</v>
      </c>
      <c r="BV572" s="9" t="str">
        <f>HYPERLINK(".\links\FLYBASE\AGAP028471-PA-FLYBASE.txt","FBpp0082362")</f>
        <v>FBpp0082362</v>
      </c>
      <c r="BW572" s="2" t="str">
        <f>HYPERLINK("http://flybase.org/reports/FBgn0051326#alliance_summary_container","3E-07")</f>
        <v>3E-07</v>
      </c>
      <c r="BX572" s="2">
        <v>520</v>
      </c>
      <c r="BY572" s="2">
        <v>34</v>
      </c>
      <c r="BZ572" s="2">
        <v>55</v>
      </c>
      <c r="CA572" s="2">
        <v>13</v>
      </c>
      <c r="CB572" s="9" t="str">
        <f>HYPERLINK(".\links\CDD\AGAP028471-PA-CDD.txt","GD_N, Serine protease gd N-terminus")</f>
        <v>GD_N, Serine protease gd N-terminus</v>
      </c>
      <c r="CC572" s="15">
        <v>1.9999999999999999E-20</v>
      </c>
      <c r="CD572" s="2">
        <v>89.3</v>
      </c>
      <c r="CE572" s="2" t="s">
        <v>5833</v>
      </c>
      <c r="CF572" s="2" t="s">
        <v>5834</v>
      </c>
      <c r="CG572" s="9" t="str">
        <f>HYPERLINK(".\links\KOG\AGAP028471-PA-KOG.txt","Telomerase catalytic subunit/reverse transcriptase TERT")</f>
        <v>Telomerase catalytic subunit/reverse transcriptase TERT</v>
      </c>
      <c r="CH572" s="15">
        <v>2.2999999999999998</v>
      </c>
      <c r="CI572" s="2">
        <v>5.5</v>
      </c>
      <c r="CJ572" s="2" t="s">
        <v>5835</v>
      </c>
      <c r="CK572" s="2" t="s">
        <v>5836</v>
      </c>
      <c r="CL572" s="9" t="str">
        <f>HYPERLINK(".\links\PFAM\AGAP028471-PA-PFAM.txt","GD_N, Serine protease gd N-terminus")</f>
        <v>GD_N, Serine protease gd N-terminus</v>
      </c>
      <c r="CM572" s="15">
        <v>4.9999999999999997E-21</v>
      </c>
      <c r="CN572" s="2">
        <v>89.3</v>
      </c>
      <c r="CO572" s="2" t="s">
        <v>5833</v>
      </c>
      <c r="CP572" s="9" t="str">
        <f>HYPERLINK(".\links\SMART\AGAP028471-PA-SMART.txt","AHS2, Allophanate hydrolase subunit 2")</f>
        <v>AHS2, Allophanate hydrolase subunit 2</v>
      </c>
      <c r="CQ572" s="15">
        <v>1.9</v>
      </c>
      <c r="CR572" s="2">
        <v>5.4</v>
      </c>
      <c r="CS572" s="2" t="s">
        <v>5837</v>
      </c>
      <c r="CT572" s="2" t="s">
        <v>5831</v>
      </c>
      <c r="CU572" s="2" t="s">
        <v>5831</v>
      </c>
      <c r="CV572" s="2" t="s">
        <v>5831</v>
      </c>
      <c r="CW572" s="2" t="str">
        <f>HYPERLINK(".\links\pep\AGAP028471-PA-pep.txt","AGAP028471-PA")</f>
        <v>AGAP028471-PA</v>
      </c>
      <c r="CX572" s="2" t="s">
        <v>95</v>
      </c>
      <c r="CY572" s="2">
        <v>110</v>
      </c>
      <c r="CZ572" s="2" t="s">
        <v>113</v>
      </c>
      <c r="DA572" s="2" t="s">
        <v>5838</v>
      </c>
      <c r="DB572" s="2">
        <v>0</v>
      </c>
      <c r="DC572" s="2">
        <v>0</v>
      </c>
      <c r="DD572" s="2" t="str">
        <f>HYPERLINK("https://www.kegg.jp/kegg-bin/search_pathway_text?map=aga&amp;keyword=AGAP028471&amp;mode=1&amp;viewImage=true","AGAP028471")</f>
        <v>AGAP028471</v>
      </c>
      <c r="DE572" s="2" t="s">
        <v>5829</v>
      </c>
      <c r="DF572" s="2" t="s">
        <v>93</v>
      </c>
      <c r="DG572" s="2" t="s">
        <v>94</v>
      </c>
      <c r="DH572" s="2" t="str">
        <f>HYPERLINK("https://vectorbase.org/vectorbase/app/record/gene/AGAP028471","AGAP028471-RA")</f>
        <v>AGAP028471-RA</v>
      </c>
      <c r="DI572" s="2" t="s">
        <v>118</v>
      </c>
      <c r="DJ572" s="2">
        <v>941</v>
      </c>
      <c r="DK572" s="2" t="str">
        <f>HYPERLINK(".\links\netoglyc\AGAP028471-PA-netoglyc.txt","2")</f>
        <v>2</v>
      </c>
      <c r="DL572" s="2">
        <v>15.5</v>
      </c>
      <c r="DM572" s="2">
        <v>4.5</v>
      </c>
      <c r="DN572" s="2">
        <v>4.5</v>
      </c>
      <c r="DO572" s="2" t="s">
        <v>104</v>
      </c>
      <c r="DP572" s="2" t="s">
        <v>102</v>
      </c>
      <c r="DQ572" s="2" t="str">
        <f>HYPERLINK(".\links\Sigp\AGAP028471-PA-SigP.txt","CYT")</f>
        <v>CYT</v>
      </c>
      <c r="DR572" s="2" t="s">
        <v>102</v>
      </c>
      <c r="DS572" s="2">
        <v>12.432</v>
      </c>
      <c r="DT572" s="2">
        <v>10.52</v>
      </c>
      <c r="DU572" s="2" t="s">
        <v>102</v>
      </c>
      <c r="DV572" s="2" t="s">
        <v>102</v>
      </c>
      <c r="DW572" s="2" t="s">
        <v>1274</v>
      </c>
      <c r="DX572" s="2">
        <v>110</v>
      </c>
      <c r="DY572" s="12">
        <v>0</v>
      </c>
      <c r="DZ572" s="2" t="s">
        <v>102</v>
      </c>
      <c r="EA572" s="2" t="s">
        <v>102</v>
      </c>
      <c r="EB572" s="2" t="s">
        <v>102</v>
      </c>
      <c r="EC572" s="2" t="str">
        <f>HYPERLINK(".\links\gpi\AGAP028471-PA-gpi.txt","Y-NoSP")</f>
        <v>Y-NoSP</v>
      </c>
      <c r="ED572" s="2">
        <v>0.4</v>
      </c>
      <c r="EF572" s="2">
        <v>1</v>
      </c>
      <c r="EG572" s="2" t="s">
        <v>102</v>
      </c>
      <c r="EH572" s="2" t="s">
        <v>102</v>
      </c>
      <c r="EI572" s="2">
        <v>15.454545454545499</v>
      </c>
      <c r="EJ572" s="2">
        <v>4.5454545454545503</v>
      </c>
      <c r="EK572" s="2">
        <v>4.5454545454545503</v>
      </c>
      <c r="EL572" s="2">
        <v>9.0909090909090899</v>
      </c>
      <c r="EM572" s="2" t="s">
        <v>102</v>
      </c>
      <c r="EN572" s="2" t="s">
        <v>102</v>
      </c>
      <c r="EO572" s="2" t="s">
        <v>102</v>
      </c>
      <c r="EP572" s="2" t="s">
        <v>102</v>
      </c>
      <c r="EQ572" s="2" t="s">
        <v>102</v>
      </c>
      <c r="ER572" s="2" t="s">
        <v>102</v>
      </c>
      <c r="ES572" s="2" t="s">
        <v>102</v>
      </c>
      <c r="ET572" s="2" t="str">
        <f>HYPERLINK(".\links\REFSEQ-INVERTEBRATE\AGAP028471-PA-REFSEQ-INVERTEBRATE.txt","AGAP013020-PA")</f>
        <v>AGAP013020-PA</v>
      </c>
      <c r="EU572" s="2" t="str">
        <f>HYPERLINK("http://www.ncbi.nlm.nih.gov/sutils/blink.cgi?pid=XP_003435910.1","9E-46")</f>
        <v>9E-46</v>
      </c>
      <c r="EV572" s="2" t="str">
        <f>HYPERLINK("http://www.ncbi.nlm.nih.gov/protein/XP_003435910.1","XP_003435910.1")</f>
        <v>XP_003435910.1</v>
      </c>
      <c r="EW572" s="2">
        <v>65</v>
      </c>
      <c r="EX572" s="2">
        <v>86</v>
      </c>
      <c r="EY572" s="2">
        <v>24</v>
      </c>
      <c r="EZ572" s="2" t="s">
        <v>105</v>
      </c>
    </row>
    <row r="573" spans="1:156" x14ac:dyDescent="0.25">
      <c r="A573" s="2" t="s">
        <v>5839</v>
      </c>
      <c r="B573" s="2">
        <v>-1.48496440251072</v>
      </c>
      <c r="C573" s="2">
        <f t="shared" si="8"/>
        <v>0.35725734990131042</v>
      </c>
      <c r="D573" s="2">
        <v>5.40588109702525</v>
      </c>
      <c r="E573" s="2">
        <v>9.9297901661430501</v>
      </c>
      <c r="F573" s="2">
        <v>1.6262507222588199E-3</v>
      </c>
      <c r="G573" s="2">
        <v>3.9377643409977098E-2</v>
      </c>
      <c r="H573" s="2" t="s">
        <v>5840</v>
      </c>
      <c r="I573" s="2" t="s">
        <v>94</v>
      </c>
      <c r="J573" s="2" t="str">
        <f>HYPERLINK("https://vectorbase.org/vectorbase/app/record/gene/AGAP003623","AGAP003623-RB")</f>
        <v>AGAP003623-RB</v>
      </c>
      <c r="K573" s="2" t="str">
        <f>HYPERLINK(".\links\pep\AGAP003623-PB-pep.txt","AGAP003623-PB")</f>
        <v>AGAP003623-PB</v>
      </c>
      <c r="L573" s="12" t="s">
        <v>95</v>
      </c>
      <c r="M573" s="2">
        <v>714</v>
      </c>
      <c r="N573" s="2">
        <v>0</v>
      </c>
      <c r="O573" s="2">
        <v>0</v>
      </c>
      <c r="P573" s="2" t="s">
        <v>5841</v>
      </c>
      <c r="Q573" s="9" t="s">
        <v>5589</v>
      </c>
      <c r="R573" s="2" t="s">
        <v>181</v>
      </c>
      <c r="S573" s="2" t="str">
        <f>HYPERLINK(".\links\CDD\AGAP003623-PB-CDD.txt","CDD")</f>
        <v>CDD</v>
      </c>
      <c r="T573" s="2">
        <v>0</v>
      </c>
      <c r="U573" s="2">
        <v>109.2</v>
      </c>
      <c r="V573" s="2" t="s">
        <v>5842</v>
      </c>
      <c r="W573" s="10" t="s">
        <v>183</v>
      </c>
      <c r="X573" s="2" t="s">
        <v>181</v>
      </c>
      <c r="Y573" s="2" t="str">
        <f>HYPERLINK(".\links\COG\AGAP003623-PB-COG.txt","COG")</f>
        <v>COG</v>
      </c>
      <c r="Z573" s="15">
        <v>2E-87</v>
      </c>
      <c r="AA573" s="2">
        <v>103.9</v>
      </c>
      <c r="AB573" s="13" t="str">
        <f>HYPERLINK(".\links\pep\AGAP003623-PB-sulf.txt","1")</f>
        <v>1</v>
      </c>
      <c r="AC573" s="13" t="str">
        <f>HYPERLINK(".\links\Sigp\AGAP003623-PB-SigP.txt","CYT")</f>
        <v>CYT</v>
      </c>
      <c r="AD573" s="2" t="s">
        <v>102</v>
      </c>
      <c r="AE573" s="2">
        <v>80.009</v>
      </c>
      <c r="AF573" s="2">
        <v>8.41</v>
      </c>
      <c r="AG573" s="2" t="s">
        <v>102</v>
      </c>
      <c r="AH573" s="2" t="s">
        <v>102</v>
      </c>
      <c r="AI573" s="2" t="s">
        <v>5843</v>
      </c>
      <c r="AJ573" s="13" t="str">
        <f>HYPERLINK(".\links\tmhmm\AGAP003623-PB-tmhmm.txt","1")</f>
        <v>1</v>
      </c>
      <c r="AK573" s="2">
        <v>3.1</v>
      </c>
      <c r="AL573" s="2">
        <v>95.1</v>
      </c>
      <c r="AM573" s="2">
        <v>1.8</v>
      </c>
      <c r="AN573" s="13" t="str">
        <f>HYPERLINK(".\links\gpi\AGAP003623-PB-gpi.txt","N")</f>
        <v>N</v>
      </c>
      <c r="AO573" s="14" t="str">
        <f>HYPERLINK(".\links\netoglyc\AGAP003623-PB-netoglyc.txt","3")</f>
        <v>3</v>
      </c>
      <c r="AP573" s="13">
        <v>12</v>
      </c>
      <c r="AQ573" s="2">
        <v>7.3</v>
      </c>
      <c r="AR573" s="2">
        <v>4.8</v>
      </c>
      <c r="AS573" s="2" t="s">
        <v>104</v>
      </c>
      <c r="AT573" s="9" t="str">
        <f>HYPERLINK(".\links\NR-LIGHT\AGAP003623-PB-NR-LIGHT.txt","AGAP003623-PB")</f>
        <v>AGAP003623-PB</v>
      </c>
      <c r="AU573" s="2" t="str">
        <f>HYPERLINK("http://www.ncbi.nlm.nih.gov/sutils/blink.cgi?pid=XP_003436541.1","0.0")</f>
        <v>0.0</v>
      </c>
      <c r="AV573" s="2" t="str">
        <f>HYPERLINK("http://www.ncbi.nlm.nih.gov/protein/XP_003436541.1","XP_003436541.1")</f>
        <v>XP_003436541.1</v>
      </c>
      <c r="AW573" s="2">
        <v>100</v>
      </c>
      <c r="AX573" s="2">
        <v>100</v>
      </c>
      <c r="AY573" s="2">
        <v>100</v>
      </c>
      <c r="AZ573" s="2" t="s">
        <v>105</v>
      </c>
      <c r="BA573" s="9" t="str">
        <f>HYPERLINK(".\links\REFSEQ-INVERTEBRATE\AGAP003623-PB-REFSEQ-INVERTEBRATE.txt","AGAP003623-PB")</f>
        <v>AGAP003623-PB</v>
      </c>
      <c r="BB573" s="2" t="str">
        <f>HYPERLINK("http://www.ncbi.nlm.nih.gov/sutils/blink.cgi?pid=XP_003436541.1","0.0")</f>
        <v>0.0</v>
      </c>
      <c r="BC573" s="2" t="str">
        <f>HYPERLINK("http://www.ncbi.nlm.nih.gov/protein/XP_003436541.1","XP_003436541.1")</f>
        <v>XP_003436541.1</v>
      </c>
      <c r="BD573" s="2">
        <v>100</v>
      </c>
      <c r="BE573" s="2">
        <v>100</v>
      </c>
      <c r="BF573" s="2">
        <v>100</v>
      </c>
      <c r="BG573" s="2" t="s">
        <v>105</v>
      </c>
      <c r="BH573" s="9" t="str">
        <f>HYPERLINK(".\links\REFSEQ-PROTOZOA\AGAP003623-PB-REFSEQ-PROTOZOA.txt","hypothetical protein SARC_10738")</f>
        <v>hypothetical protein SARC_10738</v>
      </c>
      <c r="BI573" s="2" t="str">
        <f>HYPERLINK("http://www.ncbi.nlm.nih.gov/sutils/blink.cgi?pid=XP_014150680.1","1E-138")</f>
        <v>1E-138</v>
      </c>
      <c r="BJ573" s="2" t="str">
        <f>HYPERLINK("http://www.ncbi.nlm.nih.gov/protein/XP_014150680.1","XP_014150680.1")</f>
        <v>XP_014150680.1</v>
      </c>
      <c r="BK573" s="2">
        <v>42</v>
      </c>
      <c r="BL573" s="2">
        <v>60</v>
      </c>
      <c r="BM573" s="2">
        <v>95</v>
      </c>
      <c r="BN573" s="2" t="s">
        <v>393</v>
      </c>
      <c r="BO573" s="9" t="str">
        <f>HYPERLINK(".\links\SWISSP\AGAP003623-PB-SWISSP.txt","Long-chain-fatty-acid--CoA ligase 3")</f>
        <v>Long-chain-fatty-acid--CoA ligase 3</v>
      </c>
      <c r="BP573" s="2" t="str">
        <f>HYPERLINK("http://www.uniprot.org/uniprot/Q9CZW4","1E-179")</f>
        <v>1E-179</v>
      </c>
      <c r="BQ573" s="2" t="str">
        <f>HYPERLINK("http://www.uniprot.org/uniprot/Q9CZW4#expression","Q9CZW4")</f>
        <v>Q9CZW4</v>
      </c>
      <c r="BR573" s="2">
        <v>47</v>
      </c>
      <c r="BS573" s="2">
        <v>64</v>
      </c>
      <c r="BT573" s="2">
        <v>97</v>
      </c>
      <c r="BU573" s="2" t="s">
        <v>662</v>
      </c>
      <c r="BV573" s="9" t="str">
        <f>HYPERLINK(".\links\FLYBASE\AGAP003623-PB-FLYBASE.txt","FBpp0099845")</f>
        <v>FBpp0099845</v>
      </c>
      <c r="BW573" s="2" t="str">
        <f>HYPERLINK("http://flybase.org/reports/FBgn0263120#alliance_summary_container","0.0")</f>
        <v>0.0</v>
      </c>
      <c r="BX573" s="2">
        <v>717</v>
      </c>
      <c r="BY573" s="2">
        <v>71</v>
      </c>
      <c r="BZ573" s="2">
        <v>86</v>
      </c>
      <c r="CA573" s="2">
        <v>99</v>
      </c>
      <c r="CB573" s="9" t="str">
        <f>HYPERLINK(".\links\CDD\AGAP003623-PB-CDD.txt","LC-FACS_euk, Eukaryotic long-chain fatty acid CoA synthetase (LC-FACS)")</f>
        <v>LC-FACS_euk, Eukaryotic long-chain fatty acid CoA synthetase (LC-FACS)</v>
      </c>
      <c r="CC573" s="15">
        <v>0</v>
      </c>
      <c r="CD573" s="2">
        <v>109.3</v>
      </c>
      <c r="CE573" s="2" t="s">
        <v>5593</v>
      </c>
      <c r="CF573" s="2" t="s">
        <v>5844</v>
      </c>
      <c r="CG573" s="9" t="str">
        <f>HYPERLINK(".\links\KOG\AGAP003623-PB-KOG.txt","Acyl-CoA synthetase")</f>
        <v>Acyl-CoA synthetase</v>
      </c>
      <c r="CH573" s="15">
        <v>0</v>
      </c>
      <c r="CI573" s="2">
        <v>100.7</v>
      </c>
      <c r="CJ573" s="2" t="s">
        <v>5845</v>
      </c>
      <c r="CK573" s="2" t="s">
        <v>3802</v>
      </c>
      <c r="CL573" s="9" t="str">
        <f>HYPERLINK(".\links\PFAM\AGAP003623-PB-PFAM.txt","AMP-binding, AMP-binding enzyme")</f>
        <v>AMP-binding, AMP-binding enzyme</v>
      </c>
      <c r="CM573" s="15">
        <v>1.9999999999999999E-80</v>
      </c>
      <c r="CN573" s="2">
        <v>111.9</v>
      </c>
      <c r="CO573" s="2" t="s">
        <v>527</v>
      </c>
      <c r="CP573" s="9" t="str">
        <f>HYPERLINK(".\links\SMART\AGAP003623-PB-SMART.txt","ClpB_D2-small, C-terminal, D2-small domain, of ClpB protein")</f>
        <v>ClpB_D2-small, C-terminal, D2-small domain, of ClpB protein</v>
      </c>
      <c r="CQ573" s="15">
        <v>0.21</v>
      </c>
      <c r="CR573" s="2">
        <v>42.2</v>
      </c>
      <c r="CS573" s="2" t="s">
        <v>5846</v>
      </c>
      <c r="CT573" s="2" t="s">
        <v>5842</v>
      </c>
      <c r="CU573" s="2" t="s">
        <v>5842</v>
      </c>
      <c r="CV573" s="2" t="s">
        <v>5842</v>
      </c>
      <c r="CW573" s="2" t="str">
        <f>HYPERLINK(".\links\pep\AGAP003623-PB-pep.txt","AGAP003623-PB")</f>
        <v>AGAP003623-PB</v>
      </c>
      <c r="CX573" s="2" t="s">
        <v>95</v>
      </c>
      <c r="CY573" s="2">
        <v>714</v>
      </c>
      <c r="CZ573" s="2" t="s">
        <v>113</v>
      </c>
      <c r="DA573" s="2" t="s">
        <v>5847</v>
      </c>
      <c r="DB573" s="2">
        <v>0</v>
      </c>
      <c r="DC573" s="2">
        <v>0</v>
      </c>
      <c r="DD573" s="2" t="str">
        <f>HYPERLINK("https://www.kegg.jp/kegg-bin/search_pathway_text?map=aga&amp;keyword=AGAP003623&amp;mode=1&amp;viewImage=true","AGAP003623")</f>
        <v>AGAP003623</v>
      </c>
      <c r="DE573" s="2" t="s">
        <v>5839</v>
      </c>
      <c r="DF573" s="2" t="s">
        <v>5840</v>
      </c>
      <c r="DG573" s="2" t="s">
        <v>94</v>
      </c>
      <c r="DH573" s="2" t="str">
        <f>HYPERLINK("https://vectorbase.org/vectorbase/app/record/gene/AGAP003623","AGAP003623-RB")</f>
        <v>AGAP003623-RB</v>
      </c>
      <c r="DI573" s="2" t="s">
        <v>118</v>
      </c>
      <c r="DJ573" s="2">
        <v>4270</v>
      </c>
      <c r="DK573" s="2" t="str">
        <f>HYPERLINK(".\links\netoglyc\AGAP003623-PB-netoglyc.txt","3")</f>
        <v>3</v>
      </c>
      <c r="DL573" s="2">
        <v>12</v>
      </c>
      <c r="DM573" s="2">
        <v>7.3</v>
      </c>
      <c r="DN573" s="2">
        <v>4.8</v>
      </c>
      <c r="DO573" s="2" t="s">
        <v>104</v>
      </c>
      <c r="DP573" s="2" t="s">
        <v>102</v>
      </c>
      <c r="DQ573" s="2" t="str">
        <f>HYPERLINK(".\links\Sigp\AGAP003623-PB-SigP.txt","CYT")</f>
        <v>CYT</v>
      </c>
      <c r="DR573" s="2" t="s">
        <v>102</v>
      </c>
      <c r="DS573" s="2">
        <v>80.009</v>
      </c>
      <c r="DT573" s="2">
        <v>8.41</v>
      </c>
      <c r="DU573" s="2" t="s">
        <v>102</v>
      </c>
      <c r="DV573" s="2" t="s">
        <v>102</v>
      </c>
      <c r="DW573" s="2" t="s">
        <v>5843</v>
      </c>
      <c r="DX573" s="2">
        <v>714</v>
      </c>
      <c r="DY573" s="12" t="str">
        <f>HYPERLINK(".\links\tmhmm\AGAP003623-PB-tmhmm.txt","1")</f>
        <v>1</v>
      </c>
      <c r="DZ573" s="2">
        <v>3.1</v>
      </c>
      <c r="EA573" s="2">
        <v>95.1</v>
      </c>
      <c r="EB573" s="2">
        <v>1.8</v>
      </c>
      <c r="EC573" s="2" t="str">
        <f>HYPERLINK(".\links\gpi\AGAP003623-PB-gpi.txt","N")</f>
        <v>N</v>
      </c>
      <c r="ED573" s="2">
        <v>0.22</v>
      </c>
      <c r="EF573" s="2">
        <v>15</v>
      </c>
      <c r="EG573" s="2" t="str">
        <f>HYPERLINK(".\links\pep\AGAP003623-PB-sulf.txt","1")</f>
        <v>1</v>
      </c>
      <c r="EH573" s="2" t="s">
        <v>102</v>
      </c>
      <c r="EI573" s="2">
        <v>12.0448179271709</v>
      </c>
      <c r="EJ573" s="2">
        <v>4.7619047619047601</v>
      </c>
      <c r="EK573" s="2">
        <v>7.2829131652661099</v>
      </c>
      <c r="EL573" s="2">
        <v>12.0448179271709</v>
      </c>
      <c r="EM573" s="2">
        <v>1</v>
      </c>
      <c r="EN573" s="2">
        <v>5</v>
      </c>
      <c r="EO573" s="2">
        <v>6</v>
      </c>
      <c r="EP573" s="2" t="s">
        <v>102</v>
      </c>
      <c r="EQ573" s="2" t="s">
        <v>102</v>
      </c>
      <c r="ER573" s="2" t="s">
        <v>102</v>
      </c>
      <c r="ES573" s="2" t="s">
        <v>102</v>
      </c>
      <c r="ET573" s="2" t="str">
        <f>HYPERLINK(".\links\REFSEQ-INVERTEBRATE\AGAP003623-PB-REFSEQ-INVERTEBRATE.txt","AGAP003623-PB")</f>
        <v>AGAP003623-PB</v>
      </c>
      <c r="EU573" s="2" t="str">
        <f>HYPERLINK("http://www.ncbi.nlm.nih.gov/sutils/blink.cgi?pid=XP_003436541.1","0.0")</f>
        <v>0.0</v>
      </c>
      <c r="EV573" s="2" t="str">
        <f>HYPERLINK("http://www.ncbi.nlm.nih.gov/protein/XP_003436541.1","XP_003436541.1")</f>
        <v>XP_003436541.1</v>
      </c>
      <c r="EW573" s="2">
        <v>100</v>
      </c>
      <c r="EX573" s="2">
        <v>100</v>
      </c>
      <c r="EY573" s="2">
        <v>100</v>
      </c>
      <c r="EZ573" s="2" t="s">
        <v>105</v>
      </c>
    </row>
    <row r="574" spans="1:156" x14ac:dyDescent="0.25">
      <c r="A574" s="2" t="s">
        <v>5848</v>
      </c>
      <c r="B574" s="2">
        <v>-1.49639347355194</v>
      </c>
      <c r="C574" s="2">
        <f t="shared" si="8"/>
        <v>0.35443832796946945</v>
      </c>
      <c r="D574" s="2">
        <v>2.9966367903042901</v>
      </c>
      <c r="E574" s="2">
        <v>16.333662785011999</v>
      </c>
      <c r="F574" s="2">
        <v>5.3112047630695702E-5</v>
      </c>
      <c r="G574" s="2">
        <v>8.4422456354920298E-3</v>
      </c>
      <c r="H574" s="2" t="s">
        <v>93</v>
      </c>
      <c r="I574" s="2" t="s">
        <v>94</v>
      </c>
      <c r="J574" s="2" t="str">
        <f>HYPERLINK("https://vectorbase.org/vectorbase/app/record/gene/AGAP000865","AGAP000865-RA")</f>
        <v>AGAP000865-RA</v>
      </c>
      <c r="K574" s="2" t="str">
        <f>HYPERLINK(".\links\pep\AGAP000865-PA-pep.txt","AGAP000865-PA")</f>
        <v>AGAP000865-PA</v>
      </c>
      <c r="L574" s="12" t="s">
        <v>95</v>
      </c>
      <c r="M574" s="2">
        <v>1535</v>
      </c>
      <c r="N574" s="2">
        <v>0</v>
      </c>
      <c r="O574" s="2">
        <v>3</v>
      </c>
      <c r="P574" s="2" t="s">
        <v>102</v>
      </c>
      <c r="Q574" s="9" t="s">
        <v>5849</v>
      </c>
      <c r="R574" s="2" t="s">
        <v>355</v>
      </c>
      <c r="S574" s="2" t="str">
        <f>HYPERLINK(".\links\KOG\AGAP000865-PA-KOG.txt","KOG")</f>
        <v>KOG</v>
      </c>
      <c r="T574" s="2">
        <v>4.0000000000000002E-32</v>
      </c>
      <c r="U574" s="2">
        <v>65.3</v>
      </c>
      <c r="V574" s="2" t="s">
        <v>5850</v>
      </c>
      <c r="W574" s="10" t="s">
        <v>5851</v>
      </c>
      <c r="X574" s="2" t="s">
        <v>355</v>
      </c>
      <c r="Y574" s="2" t="str">
        <f>HYPERLINK(".\links\EC\AGAP000865-PA-EC.txt","EC")</f>
        <v>EC</v>
      </c>
      <c r="Z574" s="15">
        <v>0</v>
      </c>
      <c r="AA574" s="2">
        <v>61.2</v>
      </c>
      <c r="AB574" s="13" t="str">
        <f>HYPERLINK(".\links\pep\AGAP000865-PA-sulf.txt","3")</f>
        <v>3</v>
      </c>
      <c r="AC574" s="13" t="str">
        <f>HYPERLINK(".\links\Sigp\AGAP000865-PA-SigP.txt","CYT")</f>
        <v>CYT</v>
      </c>
      <c r="AD574" s="2" t="s">
        <v>102</v>
      </c>
      <c r="AE574" s="2">
        <v>166.595</v>
      </c>
      <c r="AF574" s="2">
        <v>6.48</v>
      </c>
      <c r="AG574" s="2" t="s">
        <v>102</v>
      </c>
      <c r="AH574" s="2" t="s">
        <v>102</v>
      </c>
      <c r="AI574" s="2" t="s">
        <v>124</v>
      </c>
      <c r="AJ574" s="13">
        <v>0</v>
      </c>
      <c r="AK574" s="2" t="s">
        <v>102</v>
      </c>
      <c r="AL574" s="2" t="s">
        <v>102</v>
      </c>
      <c r="AM574" s="2" t="s">
        <v>102</v>
      </c>
      <c r="AN574" s="13" t="str">
        <f>HYPERLINK(".\links\gpi\AGAP000865-PA-gpi.txt","N")</f>
        <v>N</v>
      </c>
      <c r="AO574" s="14" t="str">
        <f>HYPERLINK(".\links\netoglyc\AGAP000865-PA-netoglyc.txt","11")</f>
        <v>11</v>
      </c>
      <c r="AP574" s="13">
        <v>17.399999999999999</v>
      </c>
      <c r="AQ574" s="2">
        <v>7.9</v>
      </c>
      <c r="AR574" s="2">
        <v>6.2</v>
      </c>
      <c r="AS574" s="2" t="s">
        <v>104</v>
      </c>
      <c r="AT574" s="9" t="str">
        <f>HYPERLINK(".\links\NR-LIGHT\AGAP000865-PA-NR-LIGHT.txt","AGAP000865-PA")</f>
        <v>AGAP000865-PA</v>
      </c>
      <c r="AU574" s="2" t="str">
        <f>HYPERLINK("http://www.ncbi.nlm.nih.gov/sutils/blink.cgi?pid=XP_316836.5","0.0")</f>
        <v>0.0</v>
      </c>
      <c r="AV574" s="2" t="str">
        <f>HYPERLINK("http://www.ncbi.nlm.nih.gov/protein/XP_316836.5","XP_316836.5")</f>
        <v>XP_316836.5</v>
      </c>
      <c r="AW574" s="2">
        <v>100</v>
      </c>
      <c r="AX574" s="2">
        <v>100</v>
      </c>
      <c r="AY574" s="2">
        <v>100</v>
      </c>
      <c r="AZ574" s="2" t="s">
        <v>105</v>
      </c>
      <c r="BA574" s="9" t="str">
        <f>HYPERLINK(".\links\REFSEQ-INVERTEBRATE\AGAP000865-PA-REFSEQ-INVERTEBRATE.txt","AGAP000865-PA")</f>
        <v>AGAP000865-PA</v>
      </c>
      <c r="BB574" s="2" t="str">
        <f>HYPERLINK("http://www.ncbi.nlm.nih.gov/sutils/blink.cgi?pid=XP_316836.5","0.0")</f>
        <v>0.0</v>
      </c>
      <c r="BC574" s="2" t="str">
        <f>HYPERLINK("http://www.ncbi.nlm.nih.gov/protein/XP_316836.5","XP_316836.5")</f>
        <v>XP_316836.5</v>
      </c>
      <c r="BD574" s="2">
        <v>100</v>
      </c>
      <c r="BE574" s="2">
        <v>100</v>
      </c>
      <c r="BF574" s="2">
        <v>100</v>
      </c>
      <c r="BG574" s="2" t="s">
        <v>105</v>
      </c>
      <c r="BH574" s="9" t="str">
        <f>HYPERLINK(".\links\REFSEQ-PROTOZOA\AGAP000865-PA-REFSEQ-PROTOZOA.txt","hypothetical protein CAOG_03469")</f>
        <v>hypothetical protein CAOG_03469</v>
      </c>
      <c r="BI574" s="2" t="str">
        <f>HYPERLINK("http://www.ncbi.nlm.nih.gov/sutils/blink.cgi?pid=XP_004348374.1","7E-028")</f>
        <v>7E-028</v>
      </c>
      <c r="BJ574" s="2" t="str">
        <f>HYPERLINK("http://www.ncbi.nlm.nih.gov/protein/XP_004348374.1","XP_004348374.1")</f>
        <v>XP_004348374.1</v>
      </c>
      <c r="BK574" s="2">
        <v>43</v>
      </c>
      <c r="BL574" s="2">
        <v>63</v>
      </c>
      <c r="BM574" s="2">
        <v>25</v>
      </c>
      <c r="BN574" s="2" t="s">
        <v>106</v>
      </c>
      <c r="BO574" s="9" t="str">
        <f>HYPERLINK(".\links\SWISSP\AGAP000865-PA-SWISSP.txt","Breakpoint cluster region protein")</f>
        <v>Breakpoint cluster region protein</v>
      </c>
      <c r="BP574" s="2" t="str">
        <f>HYPERLINK("http://www.uniprot.org/uniprot/Q6PAJ1","1E-128")</f>
        <v>1E-128</v>
      </c>
      <c r="BQ574" s="2" t="str">
        <f>HYPERLINK("http://www.uniprot.org/uniprot/Q6PAJ1#expression","Q6PAJ1")</f>
        <v>Q6PAJ1</v>
      </c>
      <c r="BR574" s="2">
        <v>36</v>
      </c>
      <c r="BS574" s="2">
        <v>55</v>
      </c>
      <c r="BT574" s="2">
        <v>61</v>
      </c>
      <c r="BU574" s="2" t="s">
        <v>662</v>
      </c>
      <c r="BV574" s="9" t="str">
        <f>HYPERLINK(".\links\FLYBASE\AGAP000865-PA-FLYBASE.txt","FBpp0111833")</f>
        <v>FBpp0111833</v>
      </c>
      <c r="BW574" s="2" t="str">
        <f>HYPERLINK("http://flybase.org/reports/FBgn0025836#alliance_summary_container","0.0")</f>
        <v>0.0</v>
      </c>
      <c r="BX574" s="2">
        <v>1403</v>
      </c>
      <c r="BY574" s="2">
        <v>54</v>
      </c>
      <c r="BZ574" s="2">
        <v>69</v>
      </c>
      <c r="CA574" s="2">
        <v>83</v>
      </c>
      <c r="CB574" s="9" t="str">
        <f>HYPERLINK(".\links\CDD\AGAP000865-PA-CDD.txt","PH_BCR_arthropod, Breakpoint Cluster Region-related pleckstrin homology (PH) domain")</f>
        <v>PH_BCR_arthropod, Breakpoint Cluster Region-related pleckstrin homology (PH) domain</v>
      </c>
      <c r="CC574" s="15">
        <v>4.0000000000000001E-84</v>
      </c>
      <c r="CD574" s="2">
        <v>106.1</v>
      </c>
      <c r="CE574" s="2" t="s">
        <v>5852</v>
      </c>
      <c r="CF574" s="2" t="s">
        <v>5853</v>
      </c>
      <c r="CG574" s="9" t="str">
        <f>HYPERLINK(".\links\KOG\AGAP000865-PA-KOG.txt","Rac GTPase-activating protein BCR/ABR")</f>
        <v>Rac GTPase-activating protein BCR/ABR</v>
      </c>
      <c r="CH574" s="15">
        <v>4.0000000000000002E-89</v>
      </c>
      <c r="CI574" s="2">
        <v>87.1</v>
      </c>
      <c r="CJ574" s="2" t="s">
        <v>5854</v>
      </c>
      <c r="CK574" s="2" t="s">
        <v>173</v>
      </c>
      <c r="CL574" s="9" t="str">
        <f>HYPERLINK(".\links\PFAM\AGAP000865-PA-PFAM.txt","RhoGAP, RhoGAP domain")</f>
        <v>RhoGAP, RhoGAP domain</v>
      </c>
      <c r="CM574" s="15">
        <v>1.9999999999999999E-47</v>
      </c>
      <c r="CN574" s="2">
        <v>100.7</v>
      </c>
      <c r="CO574" s="2" t="s">
        <v>5855</v>
      </c>
      <c r="CP574" s="9" t="str">
        <f>HYPERLINK(".\links\SMART\AGAP000865-PA-SMART.txt","RhoGAP, GTPase-activator protein for Rho-like GTPases")</f>
        <v>RhoGAP, GTPase-activator protein for Rho-like GTPases</v>
      </c>
      <c r="CQ574" s="15">
        <v>1E-46</v>
      </c>
      <c r="CR574" s="2">
        <v>91.4</v>
      </c>
      <c r="CS574" s="2" t="s">
        <v>5856</v>
      </c>
      <c r="CT574" s="2" t="s">
        <v>5850</v>
      </c>
      <c r="CU574" s="2" t="s">
        <v>5850</v>
      </c>
      <c r="CV574" s="2" t="s">
        <v>5850</v>
      </c>
      <c r="CW574" s="2" t="str">
        <f>HYPERLINK(".\links\pep\AGAP000865-PA-pep.txt","AGAP000865-PA")</f>
        <v>AGAP000865-PA</v>
      </c>
      <c r="CX574" s="2" t="s">
        <v>95</v>
      </c>
      <c r="CY574" s="2">
        <v>1443</v>
      </c>
      <c r="CZ574" s="2" t="s">
        <v>113</v>
      </c>
      <c r="DA574" s="2" t="s">
        <v>5857</v>
      </c>
      <c r="DB574" s="2">
        <v>0</v>
      </c>
      <c r="DC574" s="2">
        <v>2</v>
      </c>
      <c r="DD574" s="2" t="str">
        <f>HYPERLINK("https://www.kegg.jp/kegg-bin/search_pathway_text?map=aga&amp;keyword=AGAP000865&amp;mode=1&amp;viewImage=true","AGAP000865")</f>
        <v>AGAP000865</v>
      </c>
      <c r="DE574" s="2" t="s">
        <v>5848</v>
      </c>
      <c r="DF574" s="2" t="s">
        <v>93</v>
      </c>
      <c r="DG574" s="2" t="s">
        <v>94</v>
      </c>
      <c r="DH574" s="2" t="str">
        <f>HYPERLINK("https://vectorbase.org/vectorbase/app/record/gene/AGAP000865","AGAP000865-RA")</f>
        <v>AGAP000865-RA</v>
      </c>
      <c r="DI574" s="2" t="s">
        <v>90</v>
      </c>
      <c r="DJ574" s="2">
        <v>8092</v>
      </c>
      <c r="DK574" s="2" t="str">
        <f>HYPERLINK(".\links\netoglyc\AGAP000865-PA-netoglyc.txt","11")</f>
        <v>11</v>
      </c>
      <c r="DL574" s="2">
        <v>18</v>
      </c>
      <c r="DM574" s="2">
        <v>7.8</v>
      </c>
      <c r="DN574" s="2">
        <v>6.2</v>
      </c>
      <c r="DO574" s="2" t="s">
        <v>104</v>
      </c>
      <c r="DP574" s="2" t="s">
        <v>5858</v>
      </c>
      <c r="DQ574" s="2" t="str">
        <f>HYPERLINK(".\links\Sigp\AGAP000865-PA-SigP.txt","CYT")</f>
        <v>CYT</v>
      </c>
      <c r="DR574" s="2" t="s">
        <v>102</v>
      </c>
      <c r="DS574" s="2">
        <v>156.43799999999999</v>
      </c>
      <c r="DT574" s="2">
        <v>8.02</v>
      </c>
      <c r="DU574" s="2" t="s">
        <v>102</v>
      </c>
      <c r="DV574" s="2" t="s">
        <v>102</v>
      </c>
      <c r="DW574" s="2" t="s">
        <v>124</v>
      </c>
      <c r="DX574" s="2">
        <v>1443</v>
      </c>
      <c r="DY574" s="12">
        <v>0</v>
      </c>
      <c r="DZ574" s="2" t="s">
        <v>102</v>
      </c>
      <c r="EA574" s="2" t="s">
        <v>102</v>
      </c>
      <c r="EB574" s="2" t="s">
        <v>102</v>
      </c>
      <c r="EC574" s="2" t="str">
        <f>HYPERLINK(".\links\gpi\AGAP000865-PA-gpi.txt","Y-NoSP")</f>
        <v>Y-NoSP</v>
      </c>
      <c r="ED574" s="2">
        <v>0.14000000000000001</v>
      </c>
      <c r="EF574" s="2">
        <v>14</v>
      </c>
      <c r="EG574" s="2" t="str">
        <f>HYPERLINK(".\links\pep\AGAP000865-PA-sulf.txt","3")</f>
        <v>3</v>
      </c>
      <c r="EH574" s="2" t="s">
        <v>102</v>
      </c>
      <c r="EI574" s="2">
        <v>18.018018018018001</v>
      </c>
      <c r="EJ574" s="2">
        <v>6.2370062370062396</v>
      </c>
      <c r="EK574" s="2">
        <v>7.7616077616077597</v>
      </c>
      <c r="EL574" s="2">
        <v>13.998613998613999</v>
      </c>
      <c r="EM574" s="2">
        <v>1</v>
      </c>
      <c r="EN574" s="2">
        <v>1</v>
      </c>
      <c r="EO574" s="2">
        <v>12</v>
      </c>
      <c r="EP574" s="2" t="s">
        <v>102</v>
      </c>
      <c r="EQ574" s="2" t="s">
        <v>102</v>
      </c>
      <c r="ER574" s="2" t="s">
        <v>102</v>
      </c>
      <c r="ES574" s="2" t="s">
        <v>102</v>
      </c>
      <c r="ET574" s="2" t="str">
        <f>HYPERLINK(".\links\REFSEQ-INVERTEBRATE\AGAP000865-PA-REFSEQ-INVERTEBRATE.txt","AGAP000865-PA")</f>
        <v>AGAP000865-PA</v>
      </c>
      <c r="EU574" s="2" t="str">
        <f>HYPERLINK("http://www.ncbi.nlm.nih.gov/sutils/blink.cgi?pid=XP_316836.5","0.0")</f>
        <v>0.0</v>
      </c>
      <c r="EV574" s="2" t="str">
        <f>HYPERLINK("http://www.ncbi.nlm.nih.gov/protein/XP_316836.5","XP_316836.5")</f>
        <v>XP_316836.5</v>
      </c>
      <c r="EW574" s="2">
        <v>99</v>
      </c>
      <c r="EX574" s="2">
        <v>99</v>
      </c>
      <c r="EY574" s="2">
        <v>93</v>
      </c>
      <c r="EZ574" s="2" t="s">
        <v>105</v>
      </c>
    </row>
    <row r="575" spans="1:156" x14ac:dyDescent="0.25">
      <c r="A575" s="2" t="s">
        <v>5859</v>
      </c>
      <c r="B575" s="2">
        <v>-1.56188158477204</v>
      </c>
      <c r="C575" s="2">
        <f t="shared" si="8"/>
        <v>0.33870904419151171</v>
      </c>
      <c r="D575" s="2">
        <v>1.19248613114298</v>
      </c>
      <c r="E575" s="2">
        <v>10.916287601254</v>
      </c>
      <c r="F575" s="2">
        <v>9.53224388167621E-4</v>
      </c>
      <c r="G575" s="2">
        <v>3.1567485137173897E-2</v>
      </c>
      <c r="H575" s="2" t="s">
        <v>5860</v>
      </c>
      <c r="I575" s="2" t="s">
        <v>94</v>
      </c>
      <c r="J575" s="2" t="str">
        <f>HYPERLINK("https://vectorbase.org/vectorbase/app/record/gene/AGAP003581","AGAP003581-RA")</f>
        <v>AGAP003581-RA</v>
      </c>
      <c r="K575" s="2" t="str">
        <f>HYPERLINK(".\links\pep\AGAP003581-PA-pep.txt","AGAP003581-PA")</f>
        <v>AGAP003581-PA</v>
      </c>
      <c r="L575" s="12" t="s">
        <v>95</v>
      </c>
      <c r="M575" s="2">
        <v>363</v>
      </c>
      <c r="N575" s="2">
        <v>0</v>
      </c>
      <c r="O575" s="2">
        <v>0</v>
      </c>
      <c r="P575" s="2" t="s">
        <v>5861</v>
      </c>
      <c r="Q575" s="9" t="s">
        <v>5862</v>
      </c>
      <c r="R575" s="2" t="s">
        <v>5863</v>
      </c>
      <c r="S575" s="2" t="str">
        <f>HYPERLINK(".\links\KOG\AGAP003581-PA-KOG.txt","KOG")</f>
        <v>KOG</v>
      </c>
      <c r="T575" s="2">
        <v>4.0000000000000002E-33</v>
      </c>
      <c r="U575" s="2">
        <v>96.9</v>
      </c>
      <c r="V575" s="2" t="s">
        <v>5864</v>
      </c>
      <c r="W575" s="10" t="s">
        <v>5865</v>
      </c>
      <c r="X575" s="2" t="s">
        <v>495</v>
      </c>
      <c r="Y575" s="2" t="str">
        <f>HYPERLINK(".\links\COG\AGAP003581-PA-COG.txt","COG")</f>
        <v>COG</v>
      </c>
      <c r="Z575" s="15">
        <v>1.0000000000000001E-33</v>
      </c>
      <c r="AA575" s="2">
        <v>101.7</v>
      </c>
      <c r="AB575" s="13" t="s">
        <v>102</v>
      </c>
      <c r="AC575" s="13" t="str">
        <f>HYPERLINK(".\links\Sigp\AGAP003581-PA-SigP.txt","CYT")</f>
        <v>CYT</v>
      </c>
      <c r="AD575" s="2" t="s">
        <v>102</v>
      </c>
      <c r="AE575" s="2">
        <v>39.302</v>
      </c>
      <c r="AF575" s="2">
        <v>6.93</v>
      </c>
      <c r="AG575" s="2" t="s">
        <v>102</v>
      </c>
      <c r="AH575" s="2" t="s">
        <v>102</v>
      </c>
      <c r="AI575" s="2" t="s">
        <v>5866</v>
      </c>
      <c r="AJ575" s="13" t="str">
        <f>HYPERLINK(".\links\tmhmm\AGAP003581-PA-tmhmm.txt","1")</f>
        <v>1</v>
      </c>
      <c r="AK575" s="2">
        <v>6.1</v>
      </c>
      <c r="AL575" s="2">
        <v>46.3</v>
      </c>
      <c r="AM575" s="2">
        <v>47.7</v>
      </c>
      <c r="AN575" s="13" t="str">
        <f>HYPERLINK(".\links\gpi\AGAP003581-PA-gpi.txt","N")</f>
        <v>N</v>
      </c>
      <c r="AO575" s="14" t="str">
        <f>HYPERLINK(".\links\netoglyc\AGAP003581-PA-netoglyc.txt","0")</f>
        <v>0</v>
      </c>
      <c r="AP575" s="13">
        <v>7.2</v>
      </c>
      <c r="AQ575" s="2">
        <v>9.6</v>
      </c>
      <c r="AR575" s="2">
        <v>4.4000000000000004</v>
      </c>
      <c r="AS575" s="2" t="s">
        <v>104</v>
      </c>
      <c r="AT575" s="9" t="str">
        <f>HYPERLINK(".\links\NR-LIGHT\AGAP003581-PA-NR-LIGHT.txt","AGAP003581-PA")</f>
        <v>AGAP003581-PA</v>
      </c>
      <c r="AU575" s="2" t="str">
        <f>HYPERLINK("http://www.ncbi.nlm.nih.gov/sutils/blink.cgi?pid=XP_313335.4","0.0")</f>
        <v>0.0</v>
      </c>
      <c r="AV575" s="2" t="str">
        <f>HYPERLINK("http://www.ncbi.nlm.nih.gov/protein/XP_313335.4","XP_313335.4")</f>
        <v>XP_313335.4</v>
      </c>
      <c r="AW575" s="2">
        <v>100</v>
      </c>
      <c r="AX575" s="2">
        <v>100</v>
      </c>
      <c r="AY575" s="2">
        <v>100</v>
      </c>
      <c r="AZ575" s="2" t="s">
        <v>105</v>
      </c>
      <c r="BA575" s="9" t="str">
        <f>HYPERLINK(".\links\REFSEQ-INVERTEBRATE\AGAP003581-PA-REFSEQ-INVERTEBRATE.txt","AGAP003581-PA")</f>
        <v>AGAP003581-PA</v>
      </c>
      <c r="BB575" s="2" t="str">
        <f>HYPERLINK("http://www.ncbi.nlm.nih.gov/sutils/blink.cgi?pid=XP_313335.4","0.0")</f>
        <v>0.0</v>
      </c>
      <c r="BC575" s="2" t="str">
        <f>HYPERLINK("http://www.ncbi.nlm.nih.gov/protein/XP_313335.4","XP_313335.4")</f>
        <v>XP_313335.4</v>
      </c>
      <c r="BD575" s="2">
        <v>100</v>
      </c>
      <c r="BE575" s="2">
        <v>100</v>
      </c>
      <c r="BF575" s="2">
        <v>100</v>
      </c>
      <c r="BG575" s="2" t="s">
        <v>105</v>
      </c>
      <c r="BH575" s="9" t="str">
        <f>HYPERLINK(".\links\REFSEQ-PROTOZOA\AGAP003581-PA-REFSEQ-PROTOZOA.txt","sorbitol dehydrogenase")</f>
        <v>sorbitol dehydrogenase</v>
      </c>
      <c r="BI575" s="2" t="str">
        <f>HYPERLINK("http://www.ncbi.nlm.nih.gov/sutils/blink.cgi?pid=XP_004363600.1","1E-090")</f>
        <v>1E-090</v>
      </c>
      <c r="BJ575" s="2" t="str">
        <f>HYPERLINK("http://www.ncbi.nlm.nih.gov/protein/XP_004363600.1","XP_004363600.1")</f>
        <v>XP_004363600.1</v>
      </c>
      <c r="BK575" s="2">
        <v>48</v>
      </c>
      <c r="BL575" s="2">
        <v>67</v>
      </c>
      <c r="BM575" s="2">
        <v>99</v>
      </c>
      <c r="BN575" s="2" t="s">
        <v>106</v>
      </c>
      <c r="BO575" s="9" t="str">
        <f>HYPERLINK(".\links\SWISSP\AGAP003581-PA-SWISSP.txt","Sorbitol dehydrogenase")</f>
        <v>Sorbitol dehydrogenase</v>
      </c>
      <c r="BP575" s="2" t="str">
        <f>HYPERLINK("http://www.uniprot.org/uniprot/Q58D31","5E-086")</f>
        <v>5E-086</v>
      </c>
      <c r="BQ575" s="2" t="str">
        <f>HYPERLINK("http://www.uniprot.org/uniprot/Q58D31#expression","Q58D31")</f>
        <v>Q58D31</v>
      </c>
      <c r="BR575" s="2">
        <v>45</v>
      </c>
      <c r="BS575" s="2">
        <v>66</v>
      </c>
      <c r="BT575" s="2">
        <v>100</v>
      </c>
      <c r="BU575" s="2" t="s">
        <v>1284</v>
      </c>
      <c r="BV575" s="9" t="str">
        <f>HYPERLINK(".\links\FLYBASE\AGAP003581-PA-FLYBASE.txt","FBpp0081800")</f>
        <v>FBpp0081800</v>
      </c>
      <c r="BW575" s="2" t="str">
        <f>HYPERLINK("http://flybase.org/reports/FBgn0022359#alliance_summary_container","1E-127")</f>
        <v>1E-127</v>
      </c>
      <c r="BX575" s="2">
        <v>360</v>
      </c>
      <c r="BY575" s="2">
        <v>51</v>
      </c>
      <c r="BZ575" s="2">
        <v>72</v>
      </c>
      <c r="CA575" s="2">
        <v>99</v>
      </c>
      <c r="CB575" s="9" t="str">
        <f>HYPERLINK(".\links\CDD\AGAP003581-PA-CDD.txt","sorbitol_DH, Sorbitol dehydrogenase")</f>
        <v>sorbitol_DH, Sorbitol dehydrogenase</v>
      </c>
      <c r="CC575" s="15">
        <v>1.0000000000000001E-133</v>
      </c>
      <c r="CD575" s="2">
        <v>100.6</v>
      </c>
      <c r="CE575" s="2" t="s">
        <v>5867</v>
      </c>
      <c r="CF575" s="2" t="s">
        <v>5868</v>
      </c>
      <c r="CG575" s="9" t="str">
        <f>HYPERLINK(".\links\KOG\AGAP003581-PA-KOG.txt","Sorbitol dehydrogenase")</f>
        <v>Sorbitol dehydrogenase</v>
      </c>
      <c r="CH575" s="15">
        <v>1E-107</v>
      </c>
      <c r="CI575" s="2">
        <v>100.8</v>
      </c>
      <c r="CJ575" s="2" t="s">
        <v>5869</v>
      </c>
      <c r="CK575" s="2" t="s">
        <v>526</v>
      </c>
      <c r="CL575" s="9" t="str">
        <f>HYPERLINK(".\links\PFAM\AGAP003581-PA-PFAM.txt","ADH_N, Alcohol dehydrogenase GroES-like domain")</f>
        <v>ADH_N, Alcohol dehydrogenase GroES-like domain</v>
      </c>
      <c r="CM575" s="15">
        <v>3E-24</v>
      </c>
      <c r="CN575" s="2">
        <v>98.1</v>
      </c>
      <c r="CO575" s="2" t="s">
        <v>5870</v>
      </c>
      <c r="CP575" s="9" t="str">
        <f>HYPERLINK(".\links\SMART\AGAP003581-PA-SMART.txt","PKS_ER, Enoylreductase")</f>
        <v>PKS_ER, Enoylreductase</v>
      </c>
      <c r="CQ575" s="15">
        <v>8E-14</v>
      </c>
      <c r="CR575" s="2">
        <v>47.4</v>
      </c>
      <c r="CS575" s="2" t="s">
        <v>1135</v>
      </c>
      <c r="CT575" s="2" t="s">
        <v>5864</v>
      </c>
      <c r="CU575" s="2" t="s">
        <v>5864</v>
      </c>
      <c r="CV575" s="2" t="s">
        <v>5864</v>
      </c>
      <c r="CW575" s="2" t="str">
        <f>HYPERLINK(".\links\pep\AGAP003581-PA-pep.txt","AGAP003581-PA")</f>
        <v>AGAP003581-PA</v>
      </c>
      <c r="CX575" s="2" t="s">
        <v>95</v>
      </c>
      <c r="CY575" s="2">
        <v>363</v>
      </c>
      <c r="CZ575" s="2" t="s">
        <v>113</v>
      </c>
      <c r="DA575" s="2" t="s">
        <v>5871</v>
      </c>
      <c r="DB575" s="2">
        <v>0</v>
      </c>
      <c r="DC575" s="2">
        <v>0</v>
      </c>
      <c r="DD575" s="2" t="str">
        <f>HYPERLINK("https://www.kegg.jp/kegg-bin/search_pathway_text?map=aga&amp;keyword=AGAP003581&amp;mode=1&amp;viewImage=true","AGAP003581")</f>
        <v>AGAP003581</v>
      </c>
      <c r="DE575" s="2" t="s">
        <v>5859</v>
      </c>
      <c r="DF575" s="2" t="s">
        <v>5860</v>
      </c>
      <c r="DG575" s="2" t="s">
        <v>94</v>
      </c>
      <c r="DH575" s="2" t="str">
        <f>HYPERLINK("https://vectorbase.org/vectorbase/app/record/gene/AGAP003581","AGAP003581-RA")</f>
        <v>AGAP003581-RA</v>
      </c>
      <c r="DI575" s="2" t="s">
        <v>115</v>
      </c>
      <c r="DJ575" s="2">
        <v>1174</v>
      </c>
      <c r="DK575" s="2" t="str">
        <f>HYPERLINK(".\links\netoglyc\AGAP003581-PA-netoglyc.txt","0")</f>
        <v>0</v>
      </c>
      <c r="DL575" s="2">
        <v>7.2</v>
      </c>
      <c r="DM575" s="2">
        <v>9.6</v>
      </c>
      <c r="DN575" s="2">
        <v>4.4000000000000004</v>
      </c>
      <c r="DO575" s="2" t="s">
        <v>104</v>
      </c>
      <c r="DP575" s="2" t="s">
        <v>102</v>
      </c>
      <c r="DQ575" s="2" t="str">
        <f>HYPERLINK(".\links\Sigp\AGAP003581-PA-SigP.txt","CYT")</f>
        <v>CYT</v>
      </c>
      <c r="DR575" s="2" t="s">
        <v>102</v>
      </c>
      <c r="DS575" s="2">
        <v>39.302</v>
      </c>
      <c r="DT575" s="2">
        <v>6.93</v>
      </c>
      <c r="DU575" s="2" t="s">
        <v>102</v>
      </c>
      <c r="DV575" s="2" t="s">
        <v>102</v>
      </c>
      <c r="DW575" s="2" t="s">
        <v>5866</v>
      </c>
      <c r="DX575" s="2">
        <v>363</v>
      </c>
      <c r="DY575" s="12" t="str">
        <f>HYPERLINK(".\links\tmhmm\AGAP003581-PA-tmhmm.txt","1")</f>
        <v>1</v>
      </c>
      <c r="DZ575" s="2">
        <v>6.1</v>
      </c>
      <c r="EA575" s="2">
        <v>46.3</v>
      </c>
      <c r="EB575" s="2">
        <v>47.7</v>
      </c>
      <c r="EC575" s="2" t="str">
        <f>HYPERLINK(".\links\gpi\AGAP003581-PA-gpi.txt","N")</f>
        <v>N</v>
      </c>
      <c r="ED575" s="2">
        <v>0.32</v>
      </c>
      <c r="EF575" s="2">
        <v>13</v>
      </c>
      <c r="EG575" s="2" t="s">
        <v>102</v>
      </c>
      <c r="EH575" s="2" t="s">
        <v>102</v>
      </c>
      <c r="EI575" s="2">
        <v>7.1625344352617102</v>
      </c>
      <c r="EJ575" s="2">
        <v>4.4077134986225897</v>
      </c>
      <c r="EK575" s="2">
        <v>9.6418732782369094</v>
      </c>
      <c r="EL575" s="2">
        <v>14.049586776859501</v>
      </c>
      <c r="EM575" s="2" t="s">
        <v>102</v>
      </c>
      <c r="EN575" s="2" t="s">
        <v>102</v>
      </c>
      <c r="EO575" s="2">
        <v>1</v>
      </c>
      <c r="EP575" s="2" t="s">
        <v>102</v>
      </c>
      <c r="EQ575" s="2" t="s">
        <v>102</v>
      </c>
      <c r="ER575" s="2" t="s">
        <v>102</v>
      </c>
      <c r="ES575" s="2" t="s">
        <v>102</v>
      </c>
      <c r="ET575" s="2" t="str">
        <f>HYPERLINK(".\links\REFSEQ-INVERTEBRATE\AGAP003581-PA-REFSEQ-INVERTEBRATE.txt","AGAP003581-PA")</f>
        <v>AGAP003581-PA</v>
      </c>
      <c r="EU575" s="2" t="str">
        <f>HYPERLINK("http://www.ncbi.nlm.nih.gov/sutils/blink.cgi?pid=XP_313335.4","0.0")</f>
        <v>0.0</v>
      </c>
      <c r="EV575" s="2" t="str">
        <f>HYPERLINK("http://www.ncbi.nlm.nih.gov/protein/XP_313335.4","XP_313335.4")</f>
        <v>XP_313335.4</v>
      </c>
      <c r="EW575" s="2">
        <v>100</v>
      </c>
      <c r="EX575" s="2">
        <v>100</v>
      </c>
      <c r="EY575" s="2">
        <v>100</v>
      </c>
      <c r="EZ575" s="2" t="s">
        <v>105</v>
      </c>
    </row>
    <row r="576" spans="1:156" x14ac:dyDescent="0.25">
      <c r="A576" s="2" t="s">
        <v>5872</v>
      </c>
      <c r="B576" s="2">
        <v>-1.6018731961586401</v>
      </c>
      <c r="C576" s="2">
        <f t="shared" si="8"/>
        <v>0.32944894315587697</v>
      </c>
      <c r="D576" s="2">
        <v>2.6971790308565402</v>
      </c>
      <c r="E576" s="2">
        <v>18.040169911072201</v>
      </c>
      <c r="F576" s="2">
        <v>2.1629254871043401E-5</v>
      </c>
      <c r="G576" s="2">
        <v>6.2693031398274304E-3</v>
      </c>
      <c r="H576" s="2" t="s">
        <v>93</v>
      </c>
      <c r="I576" s="2" t="s">
        <v>94</v>
      </c>
      <c r="J576" s="2" t="str">
        <f>HYPERLINK("https://vectorbase.org/vectorbase/app/record/gene/AGAP029488","AGAP029488-RA")</f>
        <v>AGAP029488-RA</v>
      </c>
      <c r="K576" s="2" t="str">
        <f>HYPERLINK(".\links\pep\AGAP029488-PA-pep.txt","AGAP029488-PA")</f>
        <v>AGAP029488-PA</v>
      </c>
      <c r="L576" s="12" t="s">
        <v>95</v>
      </c>
      <c r="M576" s="2">
        <v>2465</v>
      </c>
      <c r="N576" s="2">
        <v>0</v>
      </c>
      <c r="O576" s="2">
        <v>5</v>
      </c>
      <c r="P576" s="2" t="s">
        <v>102</v>
      </c>
      <c r="Q576" s="9" t="s">
        <v>5873</v>
      </c>
      <c r="R576" s="2" t="s">
        <v>444</v>
      </c>
      <c r="S576" s="2" t="str">
        <f>HYPERLINK(".\links\REFSEQ-INVERTEBRATE\AGAP029488-PA-REFSEQ-INVERTEBRATE.txt","REFSEQ-INVERTEBRATE")</f>
        <v>REFSEQ-INVERTEBRATE</v>
      </c>
      <c r="T576" s="2">
        <v>0</v>
      </c>
      <c r="U576" s="2">
        <v>106.1</v>
      </c>
      <c r="V576" s="2" t="s">
        <v>5874</v>
      </c>
      <c r="W576" s="10" t="s">
        <v>5875</v>
      </c>
      <c r="X576" s="2" t="s">
        <v>358</v>
      </c>
      <c r="Y576" s="2" t="str">
        <f>HYPERLINK(".\links\ARTHORPODA\AGAP029488-PA-ARTHORPODA.txt","ARTHORPODA")</f>
        <v>ARTHORPODA</v>
      </c>
      <c r="Z576" s="2">
        <v>0</v>
      </c>
      <c r="AA576" s="2">
        <v>100</v>
      </c>
      <c r="AB576" s="13" t="str">
        <f>HYPERLINK(".\links\pep\AGAP029488-PA-sulf.txt","3")</f>
        <v>3</v>
      </c>
      <c r="AC576" s="13" t="str">
        <f>HYPERLINK(".\links\Sigp\AGAP029488-PA-SigP.txt","CYT")</f>
        <v>CYT</v>
      </c>
      <c r="AD576" s="2" t="s">
        <v>102</v>
      </c>
      <c r="AE576" s="2">
        <v>265.91000000000003</v>
      </c>
      <c r="AF576" s="2">
        <v>9.17</v>
      </c>
      <c r="AG576" s="2" t="s">
        <v>102</v>
      </c>
      <c r="AH576" s="2" t="s">
        <v>102</v>
      </c>
      <c r="AI576" s="2" t="s">
        <v>211</v>
      </c>
      <c r="AJ576" s="13">
        <v>0</v>
      </c>
      <c r="AK576" s="2" t="s">
        <v>102</v>
      </c>
      <c r="AL576" s="2" t="s">
        <v>102</v>
      </c>
      <c r="AM576" s="2" t="s">
        <v>102</v>
      </c>
      <c r="AN576" s="9" t="str">
        <f>HYPERLINK(".\links\gpi\AGAP029488-PA-gpi.txt","N")</f>
        <v>N</v>
      </c>
      <c r="AO576" s="14" t="str">
        <f>HYPERLINK(".\links\netoglyc\AGAP029488-PA-netoglyc.txt","22")</f>
        <v>22</v>
      </c>
      <c r="AP576" s="13">
        <v>21.8</v>
      </c>
      <c r="AQ576" s="2">
        <v>5.8</v>
      </c>
      <c r="AR576" s="2">
        <v>5.9</v>
      </c>
      <c r="AS576" s="2" t="s">
        <v>104</v>
      </c>
      <c r="AT576" s="9" t="str">
        <f>HYPERLINK(".\links\NR-LIGHT\AGAP029488-PA-NR-LIGHT.txt","AGAP000904-PA, partial")</f>
        <v>AGAP000904-PA, partial</v>
      </c>
      <c r="AU576" s="2" t="str">
        <f>HYPERLINK("http://www.ncbi.nlm.nih.gov/sutils/blink.cgi?pid=XP_555903.4","0.0")</f>
        <v>0.0</v>
      </c>
      <c r="AV576" s="2" t="str">
        <f>HYPERLINK("http://www.ncbi.nlm.nih.gov/protein/XP_555903.4","XP_555903.4")</f>
        <v>XP_555903.4</v>
      </c>
      <c r="AW576" s="2">
        <v>100</v>
      </c>
      <c r="AX576" s="2">
        <v>100</v>
      </c>
      <c r="AY576" s="2">
        <v>63</v>
      </c>
      <c r="AZ576" s="2" t="s">
        <v>105</v>
      </c>
      <c r="BA576" s="9" t="str">
        <f>HYPERLINK(".\links\REFSEQ-INVERTEBRATE\AGAP029488-PA-REFSEQ-INVERTEBRATE.txt","AGAP000904-PA, partial")</f>
        <v>AGAP000904-PA, partial</v>
      </c>
      <c r="BB576" s="2" t="str">
        <f>HYPERLINK("http://www.ncbi.nlm.nih.gov/sutils/blink.cgi?pid=XP_555903.4","0.0")</f>
        <v>0.0</v>
      </c>
      <c r="BC576" s="2" t="str">
        <f>HYPERLINK("http://www.ncbi.nlm.nih.gov/protein/XP_555903.4","XP_555903.4")</f>
        <v>XP_555903.4</v>
      </c>
      <c r="BD576" s="2">
        <v>100</v>
      </c>
      <c r="BE576" s="2">
        <v>100</v>
      </c>
      <c r="BF576" s="2">
        <v>63</v>
      </c>
      <c r="BG576" s="2" t="s">
        <v>105</v>
      </c>
      <c r="BH576" s="9" t="str">
        <f>HYPERLINK(".\links\REFSEQ-PROTOZOA\AGAP029488-PA-REFSEQ-PROTOZOA.txt","proteophosphoglycan 5")</f>
        <v>proteophosphoglycan 5</v>
      </c>
      <c r="BI576" s="2" t="str">
        <f>HYPERLINK("http://www.ncbi.nlm.nih.gov/sutils/blink.cgi?pid=XP_003722449.1","8E-050")</f>
        <v>8E-050</v>
      </c>
      <c r="BJ576" s="2" t="str">
        <f>HYPERLINK("http://www.ncbi.nlm.nih.gov/protein/XP_003722449.1","XP_003722449.1")</f>
        <v>XP_003722449.1</v>
      </c>
      <c r="BK576" s="2">
        <v>16</v>
      </c>
      <c r="BL576" s="2">
        <v>33</v>
      </c>
      <c r="BM576" s="2">
        <v>14</v>
      </c>
      <c r="BN576" s="2" t="s">
        <v>3969</v>
      </c>
      <c r="BO576" s="9" t="str">
        <f>HYPERLINK(".\links\SWISSP\AGAP029488-PA-SWISSP.txt","Smoothelin")</f>
        <v>Smoothelin</v>
      </c>
      <c r="BP576" s="2" t="str">
        <f>HYPERLINK("http://www.uniprot.org/uniprot/P53814","2E-042")</f>
        <v>2E-042</v>
      </c>
      <c r="BQ576" s="2" t="str">
        <f>HYPERLINK("http://www.uniprot.org/uniprot/P53814#expression","P53814")</f>
        <v>P53814</v>
      </c>
      <c r="BR576" s="2">
        <v>25</v>
      </c>
      <c r="BS576" s="2">
        <v>39</v>
      </c>
      <c r="BT576" s="2">
        <v>100</v>
      </c>
      <c r="BU576" s="2" t="s">
        <v>127</v>
      </c>
      <c r="BV576" s="9" t="str">
        <f>HYPERLINK(".\links\FLYBASE\AGAP029488-PA-FLYBASE.txt","FBpp0311300")</f>
        <v>FBpp0311300</v>
      </c>
      <c r="BW576" s="2" t="str">
        <f>HYPERLINK("http://flybase.org/reports/FBgn0085446#alliance_summary_container","1E-132")</f>
        <v>1E-132</v>
      </c>
      <c r="BX576" s="2">
        <v>3212</v>
      </c>
      <c r="BY576" s="2">
        <v>44</v>
      </c>
      <c r="BZ576" s="2">
        <v>58</v>
      </c>
      <c r="CA576" s="2">
        <v>20</v>
      </c>
      <c r="CB576" s="9" t="str">
        <f>HYPERLINK(".\links\CDD\AGAP029488-PA-CDD.txt","CH, Calponin homology domain")</f>
        <v>CH, Calponin homology domain</v>
      </c>
      <c r="CC576" s="15">
        <v>9.9999999999999992E-25</v>
      </c>
      <c r="CD576" s="2">
        <v>100</v>
      </c>
      <c r="CE576" s="2" t="s">
        <v>5876</v>
      </c>
      <c r="CF576" s="2" t="s">
        <v>5877</v>
      </c>
      <c r="CG576" s="9" t="str">
        <f>HYPERLINK(".\links\KOG\AGAP029488-PA-KOG.txt","Beta-spectrin")</f>
        <v>Beta-spectrin</v>
      </c>
      <c r="CH576" s="15">
        <v>5.9999999999999998E-30</v>
      </c>
      <c r="CI576" s="2">
        <v>4.4000000000000004</v>
      </c>
      <c r="CJ576" s="2" t="s">
        <v>5878</v>
      </c>
      <c r="CK576" s="2" t="s">
        <v>131</v>
      </c>
      <c r="CL576" s="9" t="str">
        <f>HYPERLINK(".\links\PFAM\AGAP029488-PA-PFAM.txt","CH, Calponin homology (CH) domain")</f>
        <v>CH, Calponin homology (CH) domain</v>
      </c>
      <c r="CM576" s="15">
        <v>2.9999999999999998E-25</v>
      </c>
      <c r="CN576" s="2">
        <v>101.8</v>
      </c>
      <c r="CO576" s="2" t="s">
        <v>5879</v>
      </c>
      <c r="CP576" s="9" t="str">
        <f>HYPERLINK(".\links\SMART\AGAP029488-PA-SMART.txt","CH, Calponin homology domain")</f>
        <v>CH, Calponin homology domain</v>
      </c>
      <c r="CQ576" s="15">
        <v>1.9999999999999998E-24</v>
      </c>
      <c r="CR576" s="2">
        <v>101</v>
      </c>
      <c r="CS576" s="2" t="s">
        <v>2152</v>
      </c>
      <c r="CT576" s="2" t="s">
        <v>5874</v>
      </c>
      <c r="CU576" s="2" t="s">
        <v>5874</v>
      </c>
      <c r="CV576" s="2" t="s">
        <v>5874</v>
      </c>
      <c r="CW576" s="2" t="str">
        <f>HYPERLINK(".\links\pep\AGAP029488-PA-pep.txt","AGAP029488-PA")</f>
        <v>AGAP029488-PA</v>
      </c>
      <c r="CX576" s="2" t="s">
        <v>95</v>
      </c>
      <c r="CY576" s="2">
        <v>2498</v>
      </c>
      <c r="CZ576" s="2" t="s">
        <v>113</v>
      </c>
      <c r="DA576" s="2" t="s">
        <v>5880</v>
      </c>
      <c r="DB576" s="2">
        <v>0</v>
      </c>
      <c r="DC576" s="2">
        <v>5</v>
      </c>
      <c r="DD576" s="2" t="str">
        <f>HYPERLINK("https://www.kegg.jp/kegg-bin/search_pathway_text?map=aga&amp;keyword=AGAP029488&amp;mode=1&amp;viewImage=true","AGAP029488")</f>
        <v>AGAP029488</v>
      </c>
      <c r="DE576" s="2" t="s">
        <v>5872</v>
      </c>
      <c r="DF576" s="2" t="s">
        <v>93</v>
      </c>
      <c r="DG576" s="2" t="s">
        <v>94</v>
      </c>
      <c r="DH576" s="2" t="str">
        <f>HYPERLINK("https://vectorbase.org/vectorbase/app/record/gene/AGAP029488","AGAP029488-RA")</f>
        <v>AGAP029488-RA</v>
      </c>
      <c r="DI576" s="2" t="s">
        <v>115</v>
      </c>
      <c r="DJ576" s="2">
        <v>9683</v>
      </c>
      <c r="DK576" s="2" t="str">
        <f>HYPERLINK(".\links\netoglyc\AGAP029488-PA-netoglyc.txt","23")</f>
        <v>23</v>
      </c>
      <c r="DL576" s="2">
        <v>21.7</v>
      </c>
      <c r="DM576" s="2">
        <v>5.7</v>
      </c>
      <c r="DN576" s="2">
        <v>5.8</v>
      </c>
      <c r="DO576" s="2" t="s">
        <v>104</v>
      </c>
      <c r="DP576" s="2" t="s">
        <v>5881</v>
      </c>
      <c r="DQ576" s="2" t="str">
        <f>HYPERLINK(".\links\Sigp\AGAP029488-PA-SigP.txt","CYT")</f>
        <v>CYT</v>
      </c>
      <c r="DR576" s="2" t="s">
        <v>102</v>
      </c>
      <c r="DS576" s="2">
        <v>269.98500000000001</v>
      </c>
      <c r="DT576" s="2">
        <v>9.14</v>
      </c>
      <c r="DU576" s="2" t="s">
        <v>102</v>
      </c>
      <c r="DV576" s="2" t="s">
        <v>102</v>
      </c>
      <c r="DW576" s="2" t="s">
        <v>211</v>
      </c>
      <c r="DX576" s="2">
        <v>2498</v>
      </c>
      <c r="DY576" s="12">
        <v>0</v>
      </c>
      <c r="DZ576" s="2" t="s">
        <v>102</v>
      </c>
      <c r="EA576" s="2" t="s">
        <v>102</v>
      </c>
      <c r="EB576" s="2" t="s">
        <v>102</v>
      </c>
      <c r="EC576" s="2" t="str">
        <f>HYPERLINK(".\links\gpi\AGAP029488-PA-gpi.txt","N")</f>
        <v>N</v>
      </c>
      <c r="ED576" s="2">
        <v>0.33</v>
      </c>
      <c r="EF576" s="2">
        <v>14</v>
      </c>
      <c r="EG576" s="2" t="str">
        <f>HYPERLINK(".\links\pep\AGAP029488-PA-sulf.txt","3")</f>
        <v>3</v>
      </c>
      <c r="EH576" s="2" t="s">
        <v>102</v>
      </c>
      <c r="EI576" s="2">
        <v>21.657325860688601</v>
      </c>
      <c r="EJ576" s="2">
        <v>5.8046437149719798</v>
      </c>
      <c r="EK576" s="2">
        <v>5.7245796637309896</v>
      </c>
      <c r="EL576" s="2">
        <v>11.529223378703</v>
      </c>
      <c r="EM576" s="2">
        <v>1</v>
      </c>
      <c r="EN576" s="2">
        <v>4</v>
      </c>
      <c r="EO576" s="2">
        <v>5</v>
      </c>
      <c r="EP576" s="2" t="s">
        <v>102</v>
      </c>
      <c r="EQ576" s="2" t="s">
        <v>102</v>
      </c>
      <c r="ER576" s="2" t="s">
        <v>102</v>
      </c>
      <c r="ES576" s="2" t="s">
        <v>102</v>
      </c>
      <c r="ET576" s="2" t="str">
        <f>HYPERLINK(".\links\REFSEQ-INVERTEBRATE\AGAP029488-PA-REFSEQ-INVERTEBRATE.txt","AGAP000904-PA, partial")</f>
        <v>AGAP000904-PA, partial</v>
      </c>
      <c r="EU576" s="2" t="str">
        <f>HYPERLINK("http://www.ncbi.nlm.nih.gov/sutils/blink.cgi?pid=XP_555903.4","0.0")</f>
        <v>0.0</v>
      </c>
      <c r="EV576" s="2" t="str">
        <f>HYPERLINK("http://www.ncbi.nlm.nih.gov/protein/XP_555903.4","XP_555903.4")</f>
        <v>XP_555903.4</v>
      </c>
      <c r="EW576" s="2">
        <v>99</v>
      </c>
      <c r="EX576" s="2">
        <v>99</v>
      </c>
      <c r="EY576" s="2">
        <v>64</v>
      </c>
      <c r="EZ576" s="2" t="s">
        <v>105</v>
      </c>
    </row>
    <row r="577" spans="1:156" x14ac:dyDescent="0.25">
      <c r="A577" s="2" t="s">
        <v>5882</v>
      </c>
      <c r="B577" s="2">
        <v>-1.6210306564880399</v>
      </c>
      <c r="C577" s="2">
        <f t="shared" si="8"/>
        <v>0.32510312829836918</v>
      </c>
      <c r="D577" s="2">
        <v>8.7307811178771999</v>
      </c>
      <c r="E577" s="2">
        <v>9.0609843610327907</v>
      </c>
      <c r="F577" s="2">
        <v>2.61121364308193E-3</v>
      </c>
      <c r="G577" s="2">
        <v>4.7269525491001697E-2</v>
      </c>
      <c r="H577" s="2" t="s">
        <v>93</v>
      </c>
      <c r="I577" s="2" t="s">
        <v>94</v>
      </c>
      <c r="J577" s="2" t="str">
        <f>HYPERLINK("https://vectorbase.org/vectorbase/app/record/gene/AGAP011976","AGAP011976-RA")</f>
        <v>AGAP011976-RA</v>
      </c>
      <c r="K577" s="2" t="str">
        <f>HYPERLINK(".\links\pep\AGAP011976-PA-pep.txt","AGAP011976-PA")</f>
        <v>AGAP011976-PA</v>
      </c>
      <c r="L577" s="12" t="s">
        <v>95</v>
      </c>
      <c r="M577" s="2">
        <v>517</v>
      </c>
      <c r="N577" s="2">
        <v>0</v>
      </c>
      <c r="O577" s="2">
        <v>2</v>
      </c>
      <c r="P577" s="2" t="s">
        <v>102</v>
      </c>
      <c r="Q577" s="9" t="s">
        <v>5883</v>
      </c>
      <c r="R577" s="2" t="s">
        <v>5884</v>
      </c>
      <c r="S577" s="2" t="str">
        <f>HYPERLINK(".\links\REFSEQ-INVERTEBRATE\AGAP011976-PA-REFSEQ-INVERTEBRATE.txt","REFSEQ-INVERTEBRATE")</f>
        <v>REFSEQ-INVERTEBRATE</v>
      </c>
      <c r="T577" s="2">
        <v>0</v>
      </c>
      <c r="V577" s="2" t="s">
        <v>5885</v>
      </c>
      <c r="W577" s="10" t="s">
        <v>5883</v>
      </c>
      <c r="X577" s="2" t="s">
        <v>5886</v>
      </c>
      <c r="Y577" s="2" t="str">
        <f>HYPERLINK(".\links\REFSEQ-INVERTEBRATE\AGAP011976-PA-REFSEQ-INVERTEBRATE.txt","REFSEQ-INVERTEBRATE")</f>
        <v>REFSEQ-INVERTEBRATE</v>
      </c>
      <c r="Z577" s="15">
        <v>0</v>
      </c>
      <c r="AA577" s="2">
        <v>100</v>
      </c>
      <c r="AB577" s="13" t="s">
        <v>102</v>
      </c>
      <c r="AC577" s="13" t="str">
        <f>HYPERLINK(".\links\Sigp\AGAP011976-PA-SigP.txt","SIG")</f>
        <v>SIG</v>
      </c>
      <c r="AD577" s="2" t="s">
        <v>4726</v>
      </c>
      <c r="AE577" s="2">
        <v>55.927999999999997</v>
      </c>
      <c r="AF577" s="2">
        <v>5.55</v>
      </c>
      <c r="AG577" s="2">
        <v>52.924999999999997</v>
      </c>
      <c r="AH577" s="2">
        <v>5.46</v>
      </c>
      <c r="AI577" s="2" t="s">
        <v>5887</v>
      </c>
      <c r="AJ577" s="13">
        <v>0</v>
      </c>
      <c r="AK577" s="2" t="s">
        <v>102</v>
      </c>
      <c r="AL577" s="2" t="s">
        <v>102</v>
      </c>
      <c r="AM577" s="2" t="s">
        <v>102</v>
      </c>
      <c r="AN577" s="13" t="str">
        <f>HYPERLINK(".\links\gpi\AGAP011976-PA-gpi.txt","Y")</f>
        <v>Y</v>
      </c>
      <c r="AO577" s="14" t="str">
        <f>HYPERLINK(".\links\netoglyc\AGAP011976-PA-netoglyc.txt","1")</f>
        <v>1</v>
      </c>
      <c r="AP577" s="13">
        <v>12.8</v>
      </c>
      <c r="AQ577" s="2">
        <v>11.2</v>
      </c>
      <c r="AR577" s="2">
        <v>4.0999999999999996</v>
      </c>
      <c r="AS577" s="2" t="s">
        <v>104</v>
      </c>
      <c r="AT577" s="9" t="str">
        <f>HYPERLINK(".\links\NR-LIGHT\AGAP011976-PA-NR-LIGHT.txt","AGAP011976-PA, partial")</f>
        <v>AGAP011976-PA, partial</v>
      </c>
      <c r="AU577" s="2" t="str">
        <f>HYPERLINK("http://www.ncbi.nlm.nih.gov/sutils/blink.cgi?pid=XP_552254.3","0.0")</f>
        <v>0.0</v>
      </c>
      <c r="AV577" s="2" t="str">
        <f>HYPERLINK("http://www.ncbi.nlm.nih.gov/protein/XP_552254.3","XP_552254.3")</f>
        <v>XP_552254.3</v>
      </c>
      <c r="AW577" s="2">
        <v>100</v>
      </c>
      <c r="AX577" s="2">
        <v>100</v>
      </c>
      <c r="AY577" s="2">
        <v>94</v>
      </c>
      <c r="AZ577" s="2" t="s">
        <v>105</v>
      </c>
      <c r="BA577" s="9" t="str">
        <f>HYPERLINK(".\links\REFSEQ-INVERTEBRATE\AGAP011976-PA-REFSEQ-INVERTEBRATE.txt","AGAP011976-PA, partial")</f>
        <v>AGAP011976-PA, partial</v>
      </c>
      <c r="BB577" s="2" t="str">
        <f>HYPERLINK("http://www.ncbi.nlm.nih.gov/sutils/blink.cgi?pid=XP_552254.3","0.0")</f>
        <v>0.0</v>
      </c>
      <c r="BC577" s="2" t="str">
        <f>HYPERLINK("http://www.ncbi.nlm.nih.gov/protein/XP_552254.3","XP_552254.3")</f>
        <v>XP_552254.3</v>
      </c>
      <c r="BD577" s="2">
        <v>100</v>
      </c>
      <c r="BE577" s="2">
        <v>100</v>
      </c>
      <c r="BF577" s="2">
        <v>94</v>
      </c>
      <c r="BG577" s="2" t="s">
        <v>105</v>
      </c>
      <c r="BH577" s="9" t="str">
        <f>HYPERLINK(".\links\REFSEQ-PROTOZOA\AGAP011976-PA-REFSEQ-PROTOZOA.txt","transmembrane protein, putative")</f>
        <v>transmembrane protein, putative</v>
      </c>
      <c r="BI577" s="2" t="str">
        <f>HYPERLINK("http://www.ncbi.nlm.nih.gov/sutils/blink.cgi?pid=XP_001023548.3","0.014")</f>
        <v>0.014</v>
      </c>
      <c r="BJ577" s="2" t="str">
        <f>HYPERLINK("http://www.ncbi.nlm.nih.gov/protein/XP_001023548.3","XP_001023548.3")</f>
        <v>XP_001023548.3</v>
      </c>
      <c r="BK577" s="2">
        <v>80</v>
      </c>
      <c r="BL577" s="2">
        <v>90</v>
      </c>
      <c r="BM577" s="2">
        <v>5</v>
      </c>
      <c r="BN577" s="2" t="s">
        <v>539</v>
      </c>
      <c r="BO577" s="9" t="str">
        <f>HYPERLINK(".\links\SWISSP\AGAP011976-PA-SWISSP.txt","Harpin HrpN (Fragment)")</f>
        <v>Harpin HrpN (Fragment)</v>
      </c>
      <c r="BP577" s="2" t="str">
        <f>HYPERLINK("http://www.uniprot.org/uniprot/Q47279","0.016")</f>
        <v>0.016</v>
      </c>
      <c r="BQ577" s="2" t="str">
        <f>HYPERLINK("http://www.uniprot.org/uniprot/Q47279#expression","Q47279")</f>
        <v>Q47279</v>
      </c>
      <c r="BR577" s="2">
        <v>34</v>
      </c>
      <c r="BS577" s="2">
        <v>52</v>
      </c>
      <c r="BT577" s="2">
        <v>22</v>
      </c>
      <c r="BU577" s="2" t="s">
        <v>5888</v>
      </c>
      <c r="BV577" s="9" t="str">
        <f>HYPERLINK(".\links\FLYBASE\AGAP011976-PA-FLYBASE.txt","FBpp0071463")</f>
        <v>FBpp0071463</v>
      </c>
      <c r="BW577" s="2" t="str">
        <f>HYPERLINK("http://flybase.org/reports/FBgn0034580#alliance_summary_container","1E-06")</f>
        <v>1E-06</v>
      </c>
      <c r="BX577" s="2">
        <v>476</v>
      </c>
      <c r="BY577" s="2">
        <v>28</v>
      </c>
      <c r="BZ577" s="2">
        <v>42</v>
      </c>
      <c r="CA577" s="2">
        <v>30</v>
      </c>
      <c r="CB577" s="9" t="str">
        <f>HYPERLINK(".\links\CDD\AGAP011976-PA-CDD.txt","Glyco_18, Glyco_18 domain")</f>
        <v>Glyco_18, Glyco_18 domain</v>
      </c>
      <c r="CC577" s="15">
        <v>3.9999999999999998E-6</v>
      </c>
      <c r="CD577" s="2">
        <v>35</v>
      </c>
      <c r="CE577" s="2" t="s">
        <v>5889</v>
      </c>
      <c r="CF577" s="2" t="s">
        <v>5890</v>
      </c>
      <c r="CG577" s="9" t="str">
        <f>HYPERLINK(".\links\KOG\AGAP011976-PA-KOG.txt","Chitinase")</f>
        <v>Chitinase</v>
      </c>
      <c r="CH577" s="15">
        <v>5.0000000000000001E-4</v>
      </c>
      <c r="CI577" s="2">
        <v>16.399999999999999</v>
      </c>
      <c r="CJ577" s="2" t="s">
        <v>5891</v>
      </c>
      <c r="CK577" s="2" t="s">
        <v>2307</v>
      </c>
      <c r="CL577" s="9" t="str">
        <f>HYPERLINK(".\links\PFAM\AGAP011976-PA-PFAM.txt","CBM_14, Chitin binding Peritrophin-A domain")</f>
        <v>CBM_14, Chitin binding Peritrophin-A domain</v>
      </c>
      <c r="CM577" s="15">
        <v>2.0000000000000002E-5</v>
      </c>
      <c r="CN577" s="2">
        <v>105.7</v>
      </c>
      <c r="CO577" s="2" t="s">
        <v>5819</v>
      </c>
      <c r="CP577" s="9" t="str">
        <f>HYPERLINK(".\links\SMART\AGAP011976-PA-SMART.txt","Glyco_18, Glyco_18 domain")</f>
        <v>Glyco_18, Glyco_18 domain</v>
      </c>
      <c r="CQ577" s="15">
        <v>2.9999999999999997E-8</v>
      </c>
      <c r="CR577" s="2">
        <v>35</v>
      </c>
      <c r="CS577" s="2" t="s">
        <v>5889</v>
      </c>
      <c r="CT577" s="2" t="s">
        <v>5885</v>
      </c>
      <c r="CU577" s="2" t="s">
        <v>5885</v>
      </c>
      <c r="CV577" s="2" t="s">
        <v>5885</v>
      </c>
      <c r="CW577" s="2" t="str">
        <f>HYPERLINK(".\links\pep\AGAP011976-PA-pep.txt","AGAP011976-PA")</f>
        <v>AGAP011976-PA</v>
      </c>
      <c r="CX577" s="2" t="s">
        <v>95</v>
      </c>
      <c r="CY577" s="2">
        <v>517</v>
      </c>
      <c r="CZ577" s="2" t="s">
        <v>113</v>
      </c>
      <c r="DA577" s="2" t="s">
        <v>5892</v>
      </c>
      <c r="DB577" s="2">
        <v>0</v>
      </c>
      <c r="DC577" s="2">
        <v>2</v>
      </c>
      <c r="DD577" s="2" t="str">
        <f>HYPERLINK("https://www.kegg.jp/kegg-bin/search_pathway_text?map=aga&amp;keyword=AGAP011976&amp;mode=1&amp;viewImage=true","AGAP011976")</f>
        <v>AGAP011976</v>
      </c>
      <c r="DE577" s="2" t="s">
        <v>5882</v>
      </c>
      <c r="DF577" s="2" t="s">
        <v>93</v>
      </c>
      <c r="DG577" s="2" t="s">
        <v>94</v>
      </c>
      <c r="DH577" s="2" t="str">
        <f>HYPERLINK("https://vectorbase.org/vectorbase/app/record/gene/AGAP011976","AGAP011976-RA")</f>
        <v>AGAP011976-RA</v>
      </c>
      <c r="DI577" s="2" t="s">
        <v>135</v>
      </c>
      <c r="DJ577" s="2">
        <v>1554</v>
      </c>
      <c r="DK577" s="2" t="str">
        <f>HYPERLINK(".\links\netoglyc\AGAP011976-PA-netoglyc.txt","1")</f>
        <v>1</v>
      </c>
      <c r="DL577" s="2">
        <v>12.8</v>
      </c>
      <c r="DM577" s="2">
        <v>11.2</v>
      </c>
      <c r="DN577" s="2">
        <v>4.0999999999999996</v>
      </c>
      <c r="DO577" s="2" t="s">
        <v>104</v>
      </c>
      <c r="DP577" s="2" t="s">
        <v>102</v>
      </c>
      <c r="DQ577" s="2" t="str">
        <f>HYPERLINK(".\links\Sigp\AGAP011976-PA-SigP.txt","SIG")</f>
        <v>SIG</v>
      </c>
      <c r="DR577" s="2" t="s">
        <v>4726</v>
      </c>
      <c r="DS577" s="2">
        <v>55.927999999999997</v>
      </c>
      <c r="DT577" s="2">
        <v>5.55</v>
      </c>
      <c r="DU577" s="2">
        <v>52.924999999999997</v>
      </c>
      <c r="DV577" s="2">
        <v>5.46</v>
      </c>
      <c r="DW577" s="2" t="s">
        <v>5887</v>
      </c>
      <c r="DX577" s="2">
        <v>517</v>
      </c>
      <c r="DY577" s="12">
        <v>0</v>
      </c>
      <c r="DZ577" s="2" t="s">
        <v>102</v>
      </c>
      <c r="EA577" s="2" t="s">
        <v>102</v>
      </c>
      <c r="EB577" s="2" t="s">
        <v>102</v>
      </c>
      <c r="EC577" s="2" t="str">
        <f>HYPERLINK(".\links\gpi\AGAP011976-PA-gpi.txt","Y-NoSP")</f>
        <v>Y-NoSP</v>
      </c>
      <c r="ED577" s="2">
        <v>0.33</v>
      </c>
      <c r="EF577" s="2">
        <v>23</v>
      </c>
      <c r="EG577" s="2" t="s">
        <v>102</v>
      </c>
      <c r="EH577" s="2" t="s">
        <v>102</v>
      </c>
      <c r="EI577" s="2">
        <v>12.7659574468085</v>
      </c>
      <c r="EJ577" s="2">
        <v>4.0618955512572503</v>
      </c>
      <c r="EK577" s="2">
        <v>11.2185686653772</v>
      </c>
      <c r="EL577" s="2">
        <v>15.2804642166344</v>
      </c>
      <c r="EM577" s="2" t="s">
        <v>102</v>
      </c>
      <c r="EN577" s="2">
        <v>2</v>
      </c>
      <c r="EO577" s="2">
        <v>2</v>
      </c>
      <c r="EP577" s="2" t="s">
        <v>102</v>
      </c>
      <c r="EQ577" s="2" t="s">
        <v>102</v>
      </c>
      <c r="ER577" s="2" t="s">
        <v>102</v>
      </c>
      <c r="ES577" s="2" t="s">
        <v>102</v>
      </c>
      <c r="ET577" s="2" t="str">
        <f>HYPERLINK(".\links\REFSEQ-INVERTEBRATE\AGAP011976-PA-REFSEQ-INVERTEBRATE.txt","AGAP011976-PA, partial")</f>
        <v>AGAP011976-PA, partial</v>
      </c>
      <c r="EU577" s="2" t="str">
        <f>HYPERLINK("http://www.ncbi.nlm.nih.gov/sutils/blink.cgi?pid=XP_552254.3","0.0")</f>
        <v>0.0</v>
      </c>
      <c r="EV577" s="2" t="str">
        <f>HYPERLINK("http://www.ncbi.nlm.nih.gov/protein/XP_552254.3","XP_552254.3")</f>
        <v>XP_552254.3</v>
      </c>
      <c r="EW577" s="2">
        <v>99</v>
      </c>
      <c r="EX577" s="2">
        <v>99</v>
      </c>
      <c r="EY577" s="2">
        <v>94</v>
      </c>
      <c r="EZ577" s="2" t="s">
        <v>105</v>
      </c>
    </row>
    <row r="578" spans="1:156" x14ac:dyDescent="0.25">
      <c r="A578" s="2" t="s">
        <v>5893</v>
      </c>
      <c r="B578" s="2">
        <v>-1.63440076239183</v>
      </c>
      <c r="C578" s="2">
        <f t="shared" ref="C578:C590" si="9">2^B578</f>
        <v>0.32210416873796116</v>
      </c>
      <c r="D578" s="2">
        <v>3.9392858259030299</v>
      </c>
      <c r="E578" s="2">
        <v>18.7549605060264</v>
      </c>
      <c r="F578" s="2">
        <v>1.48636227355879E-5</v>
      </c>
      <c r="G578" s="2">
        <v>5.1290491904634498E-3</v>
      </c>
      <c r="H578" s="2" t="s">
        <v>93</v>
      </c>
      <c r="I578" s="2" t="s">
        <v>94</v>
      </c>
      <c r="J578" s="2" t="str">
        <f>HYPERLINK("https://vectorbase.org/vectorbase/app/record/gene/AGAP013301","AGAP013301-RB")</f>
        <v>AGAP013301-RB</v>
      </c>
      <c r="K578" s="2" t="str">
        <f>HYPERLINK(".\links\pep\AGAP013301-PB-pep.txt","AGAP013301-PB")</f>
        <v>AGAP013301-PB</v>
      </c>
      <c r="L578" s="12" t="s">
        <v>95</v>
      </c>
      <c r="M578" s="2">
        <v>1517</v>
      </c>
      <c r="N578" s="2">
        <v>0</v>
      </c>
      <c r="O578" s="2">
        <v>5</v>
      </c>
      <c r="P578" s="2" t="s">
        <v>102</v>
      </c>
      <c r="Q578" s="9" t="s">
        <v>5894</v>
      </c>
      <c r="R578" s="2" t="s">
        <v>444</v>
      </c>
      <c r="S578" s="2" t="str">
        <f>HYPERLINK(".\links\REFSEQ-INVERTEBRATE\AGAP013301-PB-REFSEQ-INVERTEBRATE.txt","REFSEQ-INVERTEBRATE")</f>
        <v>REFSEQ-INVERTEBRATE</v>
      </c>
      <c r="T578" s="2">
        <v>0</v>
      </c>
      <c r="U578" s="2">
        <v>84.4</v>
      </c>
      <c r="V578" s="2" t="s">
        <v>5895</v>
      </c>
      <c r="W578" s="10" t="s">
        <v>5896</v>
      </c>
      <c r="X578" s="2" t="s">
        <v>444</v>
      </c>
      <c r="Y578" s="2" t="str">
        <f>HYPERLINK(".\links\REFSEQ-INVERTEBRATE\AGAP013301-PB-REFSEQ-INVERTEBRATE.txt","REFSEQ-INVERTEBRATE")</f>
        <v>REFSEQ-INVERTEBRATE</v>
      </c>
      <c r="Z578" s="15">
        <v>0</v>
      </c>
      <c r="AA578" s="2">
        <v>81.400000000000006</v>
      </c>
      <c r="AB578" s="13" t="str">
        <f>HYPERLINK(".\links\pep\AGAP013301-PB-sulf.txt","1")</f>
        <v>1</v>
      </c>
      <c r="AC578" s="13" t="str">
        <f>HYPERLINK(".\links\Sigp\AGAP013301-PB-SigP.txt","CYT")</f>
        <v>CYT</v>
      </c>
      <c r="AD578" s="2" t="s">
        <v>102</v>
      </c>
      <c r="AE578" s="2">
        <v>154.47499999999999</v>
      </c>
      <c r="AF578" s="2">
        <v>9.15</v>
      </c>
      <c r="AG578" s="2" t="s">
        <v>102</v>
      </c>
      <c r="AH578" s="2" t="s">
        <v>102</v>
      </c>
      <c r="AI578" s="2" t="s">
        <v>1167</v>
      </c>
      <c r="AJ578" s="13">
        <v>0</v>
      </c>
      <c r="AK578" s="2" t="s">
        <v>102</v>
      </c>
      <c r="AL578" s="2" t="s">
        <v>102</v>
      </c>
      <c r="AM578" s="2" t="s">
        <v>102</v>
      </c>
      <c r="AN578" s="13" t="str">
        <f>HYPERLINK(".\links\gpi\AGAP013301-PB-gpi.txt","N")</f>
        <v>N</v>
      </c>
      <c r="AO578" s="14" t="str">
        <f>HYPERLINK(".\links\netoglyc\AGAP013301-PB-netoglyc.txt","76")</f>
        <v>76</v>
      </c>
      <c r="AP578" s="13">
        <v>22.4</v>
      </c>
      <c r="AQ578" s="2">
        <v>9</v>
      </c>
      <c r="AR578" s="2">
        <v>10.1</v>
      </c>
      <c r="AS578" s="2" t="s">
        <v>104</v>
      </c>
      <c r="AT578" s="9" t="str">
        <f>HYPERLINK(".\links\NR-LIGHT\AGAP013301-PB-NR-LIGHT.txt","AGAP013301-PA")</f>
        <v>AGAP013301-PA</v>
      </c>
      <c r="AU578" s="2" t="str">
        <f>HYPERLINK("http://www.ncbi.nlm.nih.gov/sutils/blink.cgi?pid=XP_003436327.1","0.0")</f>
        <v>0.0</v>
      </c>
      <c r="AV578" s="2" t="str">
        <f>HYPERLINK("http://www.ncbi.nlm.nih.gov/protein/XP_003436327.1","XP_003436327.1")</f>
        <v>XP_003436327.1</v>
      </c>
      <c r="AW578" s="2">
        <v>100</v>
      </c>
      <c r="AX578" s="2">
        <v>100</v>
      </c>
      <c r="AY578" s="2">
        <v>97</v>
      </c>
      <c r="AZ578" s="2" t="s">
        <v>105</v>
      </c>
      <c r="BA578" s="9" t="str">
        <f>HYPERLINK(".\links\REFSEQ-INVERTEBRATE\AGAP013301-PB-REFSEQ-INVERTEBRATE.txt","AGAP013301-PA")</f>
        <v>AGAP013301-PA</v>
      </c>
      <c r="BB578" s="2" t="str">
        <f>HYPERLINK("http://www.ncbi.nlm.nih.gov/sutils/blink.cgi?pid=XP_003436327.1","0.0")</f>
        <v>0.0</v>
      </c>
      <c r="BC578" s="2" t="str">
        <f>HYPERLINK("http://www.ncbi.nlm.nih.gov/protein/XP_003436327.1","XP_003436327.1")</f>
        <v>XP_003436327.1</v>
      </c>
      <c r="BD578" s="2">
        <v>100</v>
      </c>
      <c r="BE578" s="2">
        <v>100</v>
      </c>
      <c r="BF578" s="2">
        <v>97</v>
      </c>
      <c r="BG578" s="2" t="s">
        <v>105</v>
      </c>
      <c r="BH578" s="9" t="str">
        <f>HYPERLINK(".\links\REFSEQ-PROTOZOA\AGAP013301-PB-REFSEQ-PROTOZOA.txt","proteophosphoglycan 5")</f>
        <v>proteophosphoglycan 5</v>
      </c>
      <c r="BI578" s="2" t="str">
        <f>HYPERLINK("http://www.ncbi.nlm.nih.gov/sutils/blink.cgi?pid=XP_003722449.1","1E-050")</f>
        <v>1E-050</v>
      </c>
      <c r="BJ578" s="2" t="str">
        <f>HYPERLINK("http://www.ncbi.nlm.nih.gov/protein/XP_003722449.1","XP_003722449.1")</f>
        <v>XP_003722449.1</v>
      </c>
      <c r="BK578" s="2">
        <v>20</v>
      </c>
      <c r="BL578" s="2">
        <v>38</v>
      </c>
      <c r="BM578" s="2">
        <v>8</v>
      </c>
      <c r="BN578" s="2" t="s">
        <v>3969</v>
      </c>
      <c r="BO578" s="9" t="str">
        <f>HYPERLINK(".\links\SWISSP\AGAP013301-PB-SWISSP.txt","Max-binding protein MNT")</f>
        <v>Max-binding protein MNT</v>
      </c>
      <c r="BP578" s="2" t="str">
        <f>HYPERLINK("http://www.uniprot.org/uniprot/Q0VH32","8E-032")</f>
        <v>8E-032</v>
      </c>
      <c r="BQ578" s="2" t="str">
        <f>HYPERLINK("http://www.uniprot.org/uniprot/Q0VH32#expression","Q0VH32")</f>
        <v>Q0VH32</v>
      </c>
      <c r="BR578" s="2">
        <v>35</v>
      </c>
      <c r="BS578" s="2">
        <v>48</v>
      </c>
      <c r="BT578" s="2">
        <v>58</v>
      </c>
      <c r="BU578" s="2" t="s">
        <v>625</v>
      </c>
      <c r="BV578" s="9" t="str">
        <f>HYPERLINK(".\links\FLYBASE\AGAP013301-PB-FLYBASE.txt","FBpp0291038")</f>
        <v>FBpp0291038</v>
      </c>
      <c r="BW578" s="2" t="str">
        <f>HYPERLINK("http://flybase.org/reports/FBgn0023215#alliance_summary_container","4E-25")</f>
        <v>4E-25</v>
      </c>
      <c r="BX578" s="2">
        <v>581</v>
      </c>
      <c r="BY578" s="2">
        <v>57</v>
      </c>
      <c r="BZ578" s="2">
        <v>71</v>
      </c>
      <c r="CA578" s="2">
        <v>17</v>
      </c>
      <c r="CB578" s="9" t="str">
        <f>HYPERLINK(".\links\CDD\AGAP013301-PB-CDD.txt","HLH, Helix-loop-helix domain, found in specific DNA- binding proteins that act as transcription factors")</f>
        <v>HLH, Helix-loop-helix domain, found in specific DNA- binding proteins that act as transcription factors</v>
      </c>
      <c r="CC578" s="15">
        <v>9.9999999999999994E-12</v>
      </c>
      <c r="CD578" s="2">
        <v>93.3</v>
      </c>
      <c r="CE578" s="2" t="s">
        <v>5897</v>
      </c>
      <c r="CF578" s="2" t="s">
        <v>5898</v>
      </c>
      <c r="CG578" s="9" t="str">
        <f>HYPERLINK(".\links\KOG\AGAP013301-PB-KOG.txt","Upstream transcription factor 2/L-myc-2 protein")</f>
        <v>Upstream transcription factor 2/L-myc-2 protein</v>
      </c>
      <c r="CH578" s="15">
        <v>7.0000000000000003E-19</v>
      </c>
      <c r="CI578" s="2">
        <v>87.5</v>
      </c>
      <c r="CJ578" s="2" t="s">
        <v>5899</v>
      </c>
      <c r="CK578" s="2" t="s">
        <v>309</v>
      </c>
      <c r="CL578" s="9" t="str">
        <f>HYPERLINK(".\links\PFAM\AGAP013301-PB-PFAM.txt","HLH, Helix-loop-helix DNA-binding domain")</f>
        <v>HLH, Helix-loop-helix DNA-binding domain</v>
      </c>
      <c r="CM578" s="15">
        <v>7.9999999999999998E-12</v>
      </c>
      <c r="CN578" s="2">
        <v>100</v>
      </c>
      <c r="CO578" s="2" t="s">
        <v>5900</v>
      </c>
      <c r="CP578" s="9" t="str">
        <f>HYPERLINK(".\links\SMART\AGAP013301-PB-SMART.txt","HLH, helix loop helix domain")</f>
        <v>HLH, helix loop helix domain</v>
      </c>
      <c r="CQ578" s="15">
        <v>1.9999999999999999E-11</v>
      </c>
      <c r="CR578" s="2">
        <v>100</v>
      </c>
      <c r="CS578" s="2" t="s">
        <v>4087</v>
      </c>
      <c r="CT578" s="2" t="s">
        <v>5895</v>
      </c>
      <c r="CU578" s="2" t="s">
        <v>5895</v>
      </c>
      <c r="CV578" s="2" t="s">
        <v>5895</v>
      </c>
      <c r="CW578" s="2" t="str">
        <f>HYPERLINK(".\links\pep\AGAP013301-PB-pep.txt","AGAP013301-PB")</f>
        <v>AGAP013301-PB</v>
      </c>
      <c r="CX578" s="2" t="s">
        <v>95</v>
      </c>
      <c r="CY578" s="2">
        <v>1517</v>
      </c>
      <c r="CZ578" s="2" t="s">
        <v>113</v>
      </c>
      <c r="DA578" s="2" t="s">
        <v>5901</v>
      </c>
      <c r="DB578" s="2">
        <v>0</v>
      </c>
      <c r="DC578" s="2">
        <v>5</v>
      </c>
      <c r="DD578" s="2" t="str">
        <f>HYPERLINK("https://www.kegg.jp/kegg-bin/search_pathway_text?map=aga&amp;keyword=AGAP013301&amp;mode=1&amp;viewImage=true","AGAP013301")</f>
        <v>AGAP013301</v>
      </c>
      <c r="DE578" s="2" t="s">
        <v>5893</v>
      </c>
      <c r="DF578" s="2" t="s">
        <v>93</v>
      </c>
      <c r="DG578" s="2" t="s">
        <v>94</v>
      </c>
      <c r="DH578" s="2" t="str">
        <f>HYPERLINK("https://vectorbase.org/vectorbase/app/record/gene/AGAP013301","AGAP013301-RB")</f>
        <v>AGAP013301-RB</v>
      </c>
      <c r="DI578" s="2" t="s">
        <v>115</v>
      </c>
      <c r="DJ578" s="2">
        <v>9700</v>
      </c>
      <c r="DK578" s="2" t="str">
        <f>HYPERLINK(".\links\netoglyc\AGAP013301-PB-netoglyc.txt","76")</f>
        <v>76</v>
      </c>
      <c r="DL578" s="2">
        <v>22.4</v>
      </c>
      <c r="DM578" s="2">
        <v>9</v>
      </c>
      <c r="DN578" s="2">
        <v>10.1</v>
      </c>
      <c r="DO578" s="2" t="s">
        <v>104</v>
      </c>
      <c r="DP578" s="2" t="s">
        <v>102</v>
      </c>
      <c r="DQ578" s="2" t="str">
        <f>HYPERLINK(".\links\Sigp\AGAP013301-PB-SigP.txt","CYT")</f>
        <v>CYT</v>
      </c>
      <c r="DR578" s="2" t="s">
        <v>102</v>
      </c>
      <c r="DS578" s="2">
        <v>154.47499999999999</v>
      </c>
      <c r="DT578" s="2">
        <v>9.15</v>
      </c>
      <c r="DU578" s="2" t="s">
        <v>102</v>
      </c>
      <c r="DV578" s="2" t="s">
        <v>102</v>
      </c>
      <c r="DW578" s="2" t="s">
        <v>1167</v>
      </c>
      <c r="DX578" s="2">
        <v>1517</v>
      </c>
      <c r="DY578" s="12">
        <v>0</v>
      </c>
      <c r="DZ578" s="2" t="s">
        <v>102</v>
      </c>
      <c r="EA578" s="2" t="s">
        <v>102</v>
      </c>
      <c r="EB578" s="2" t="s">
        <v>102</v>
      </c>
      <c r="EC578" s="2" t="str">
        <f>HYPERLINK(".\links\gpi\AGAP013301-PB-gpi.txt","Y-NoSP")</f>
        <v>Y-NoSP</v>
      </c>
      <c r="ED578" s="2">
        <v>0.41</v>
      </c>
      <c r="EF578" s="2">
        <v>13</v>
      </c>
      <c r="EG578" s="2" t="str">
        <f>HYPERLINK(".\links\pep\AGAP013301-PB-sulf.txt","1")</f>
        <v>1</v>
      </c>
      <c r="EH578" s="2" t="s">
        <v>102</v>
      </c>
      <c r="EI578" s="2">
        <v>22.412656558997998</v>
      </c>
      <c r="EJ578" s="2">
        <v>10.0856954515491</v>
      </c>
      <c r="EK578" s="2">
        <v>9.0309822017139094</v>
      </c>
      <c r="EL578" s="2">
        <v>19.116677653263</v>
      </c>
      <c r="EM578" s="2">
        <v>6</v>
      </c>
      <c r="EN578" s="2">
        <v>4</v>
      </c>
      <c r="EO578" s="2">
        <v>5</v>
      </c>
      <c r="EP578" s="2" t="s">
        <v>102</v>
      </c>
      <c r="EQ578" s="2" t="s">
        <v>102</v>
      </c>
      <c r="ER578" s="2" t="s">
        <v>102</v>
      </c>
      <c r="ES578" s="2" t="s">
        <v>102</v>
      </c>
      <c r="ET578" s="2" t="str">
        <f>HYPERLINK(".\links\REFSEQ-INVERTEBRATE\AGAP013301-PB-REFSEQ-INVERTEBRATE.txt","AGAP013301-PA")</f>
        <v>AGAP013301-PA</v>
      </c>
      <c r="EU578" s="2" t="str">
        <f>HYPERLINK("http://www.ncbi.nlm.nih.gov/sutils/blink.cgi?pid=XP_003436327.1","0.0")</f>
        <v>0.0</v>
      </c>
      <c r="EV578" s="2" t="str">
        <f>HYPERLINK("http://www.ncbi.nlm.nih.gov/protein/XP_003436327.1","XP_003436327.1")</f>
        <v>XP_003436327.1</v>
      </c>
      <c r="EW578" s="2">
        <v>100</v>
      </c>
      <c r="EX578" s="2">
        <v>100</v>
      </c>
      <c r="EY578" s="2">
        <v>97</v>
      </c>
      <c r="EZ578" s="2" t="s">
        <v>105</v>
      </c>
    </row>
    <row r="579" spans="1:156" x14ac:dyDescent="0.25">
      <c r="A579" s="2" t="s">
        <v>5902</v>
      </c>
      <c r="B579" s="2">
        <v>-1.7844567908528399</v>
      </c>
      <c r="C579" s="2">
        <f t="shared" si="9"/>
        <v>0.29028525735557054</v>
      </c>
      <c r="D579" s="2">
        <v>2.7129772828062602</v>
      </c>
      <c r="E579" s="2">
        <v>10.383207870347601</v>
      </c>
      <c r="F579" s="2">
        <v>1.27166559364707E-3</v>
      </c>
      <c r="G579" s="2">
        <v>3.5909067121466701E-2</v>
      </c>
      <c r="H579" s="2" t="s">
        <v>5903</v>
      </c>
      <c r="I579" s="2" t="s">
        <v>94</v>
      </c>
      <c r="J579" s="2" t="str">
        <f>HYPERLINK("https://vectorbase.org/vectorbase/app/record/gene/AGAP008141","AGAP008141-RA")</f>
        <v>AGAP008141-RA</v>
      </c>
      <c r="K579" s="2" t="str">
        <f>HYPERLINK(".\links\pep\AGAP008141-PA-pep.txt","AGAP008141-PA")</f>
        <v>AGAP008141-PA</v>
      </c>
      <c r="L579" s="12" t="s">
        <v>95</v>
      </c>
      <c r="M579" s="2">
        <v>480</v>
      </c>
      <c r="N579" s="2">
        <v>0</v>
      </c>
      <c r="O579" s="2">
        <v>0</v>
      </c>
      <c r="P579" s="2" t="s">
        <v>5904</v>
      </c>
      <c r="Q579" s="9" t="s">
        <v>5905</v>
      </c>
      <c r="R579" s="2" t="s">
        <v>1558</v>
      </c>
      <c r="S579" s="2" t="str">
        <f>HYPERLINK(".\links\KOG\AGAP008141-PA-KOG.txt","KOG")</f>
        <v>KOG</v>
      </c>
      <c r="T579" s="2">
        <v>0</v>
      </c>
      <c r="U579" s="2">
        <v>97</v>
      </c>
      <c r="V579" s="2" t="s">
        <v>5906</v>
      </c>
      <c r="W579" s="10" t="s">
        <v>183</v>
      </c>
      <c r="X579" s="2" t="s">
        <v>1558</v>
      </c>
      <c r="Y579" s="2" t="str">
        <f>HYPERLINK(".\links\COG\AGAP008141-PA-COG.txt","COG")</f>
        <v>COG</v>
      </c>
      <c r="Z579" s="2">
        <v>0</v>
      </c>
      <c r="AA579" s="2">
        <v>98.9</v>
      </c>
      <c r="AB579" s="13" t="str">
        <f>HYPERLINK(".\links\pep\AGAP008141-PA-sulf.txt","1")</f>
        <v>1</v>
      </c>
      <c r="AC579" s="13" t="str">
        <f>HYPERLINK(".\links\Sigp\AGAP008141-PA-SigP.txt","CYT")</f>
        <v>CYT</v>
      </c>
      <c r="AD579" s="2" t="s">
        <v>102</v>
      </c>
      <c r="AE579" s="2">
        <v>54.427999999999997</v>
      </c>
      <c r="AF579" s="2">
        <v>5.91</v>
      </c>
      <c r="AG579" s="2" t="s">
        <v>102</v>
      </c>
      <c r="AH579" s="2" t="s">
        <v>102</v>
      </c>
      <c r="AI579" s="2" t="s">
        <v>2653</v>
      </c>
      <c r="AJ579" s="13">
        <v>0</v>
      </c>
      <c r="AK579" s="2" t="s">
        <v>102</v>
      </c>
      <c r="AL579" s="2" t="s">
        <v>102</v>
      </c>
      <c r="AM579" s="2" t="s">
        <v>102</v>
      </c>
      <c r="AN579" s="13" t="str">
        <f>HYPERLINK(".\links\gpi\AGAP008141-PA-gpi.txt","N")</f>
        <v>N</v>
      </c>
      <c r="AO579" s="14" t="str">
        <f>HYPERLINK(".\links\netoglyc\AGAP008141-PA-netoglyc.txt","0")</f>
        <v>0</v>
      </c>
      <c r="AP579" s="13">
        <v>11.5</v>
      </c>
      <c r="AQ579" s="2">
        <v>6.7</v>
      </c>
      <c r="AR579" s="2">
        <v>3.5</v>
      </c>
      <c r="AS579" s="2" t="s">
        <v>104</v>
      </c>
      <c r="AT579" s="9" t="str">
        <f>HYPERLINK(".\links\NR-LIGHT\AGAP008141-PA-NR-LIGHT.txt","AGAP008141-PA, partial")</f>
        <v>AGAP008141-PA, partial</v>
      </c>
      <c r="AU579" s="2" t="str">
        <f>HYPERLINK("http://www.ncbi.nlm.nih.gov/sutils/blink.cgi?pid=XP_317320.4","0.0")</f>
        <v>0.0</v>
      </c>
      <c r="AV579" s="2" t="str">
        <f>HYPERLINK("http://www.ncbi.nlm.nih.gov/protein/XP_317320.4","XP_317320.4")</f>
        <v>XP_317320.4</v>
      </c>
      <c r="AW579" s="2">
        <v>100</v>
      </c>
      <c r="AX579" s="2">
        <v>100</v>
      </c>
      <c r="AY579" s="2">
        <v>100</v>
      </c>
      <c r="AZ579" s="2" t="s">
        <v>105</v>
      </c>
      <c r="BA579" s="9" t="str">
        <f>HYPERLINK(".\links\REFSEQ-INVERTEBRATE\AGAP008141-PA-REFSEQ-INVERTEBRATE.txt","AGAP008141-PA, partial")</f>
        <v>AGAP008141-PA, partial</v>
      </c>
      <c r="BB579" s="2" t="str">
        <f>HYPERLINK("http://www.ncbi.nlm.nih.gov/sutils/blink.cgi?pid=XP_317320.4","0.0")</f>
        <v>0.0</v>
      </c>
      <c r="BC579" s="2" t="str">
        <f>HYPERLINK("http://www.ncbi.nlm.nih.gov/protein/XP_317320.4","XP_317320.4")</f>
        <v>XP_317320.4</v>
      </c>
      <c r="BD579" s="2">
        <v>100</v>
      </c>
      <c r="BE579" s="2">
        <v>100</v>
      </c>
      <c r="BF579" s="2">
        <v>100</v>
      </c>
      <c r="BG579" s="2" t="s">
        <v>105</v>
      </c>
      <c r="BH579" s="9" t="str">
        <f>HYPERLINK(".\links\REFSEQ-PROTOZOA\AGAP008141-PA-REFSEQ-PROTOZOA.txt","hypothetical protein")</f>
        <v>hypothetical protein</v>
      </c>
      <c r="BI579" s="2" t="str">
        <f>HYPERLINK("http://www.ncbi.nlm.nih.gov/sutils/blink.cgi?pid=XP_001749000.1","1E-137")</f>
        <v>1E-137</v>
      </c>
      <c r="BJ579" s="2" t="str">
        <f>HYPERLINK("http://www.ncbi.nlm.nih.gov/protein/XP_001749000.1","XP_001749000.1")</f>
        <v>XP_001749000.1</v>
      </c>
      <c r="BK579" s="2">
        <v>51</v>
      </c>
      <c r="BL579" s="2">
        <v>69</v>
      </c>
      <c r="BM579" s="2">
        <v>96</v>
      </c>
      <c r="BN579" s="2" t="s">
        <v>248</v>
      </c>
      <c r="BO579" s="9" t="str">
        <f>HYPERLINK(".\links\SWISSP\AGAP008141-PA-SWISSP.txt","Argininosuccinate lyase")</f>
        <v>Argininosuccinate lyase</v>
      </c>
      <c r="BP579" s="2" t="str">
        <f>HYPERLINK("http://www.uniprot.org/uniprot/Q91YI0","1E-141")</f>
        <v>1E-141</v>
      </c>
      <c r="BQ579" s="2" t="str">
        <f>HYPERLINK("http://www.uniprot.org/uniprot/Q91YI0#expression","Q91YI0")</f>
        <v>Q91YI0</v>
      </c>
      <c r="BR579" s="2">
        <v>52</v>
      </c>
      <c r="BS579" s="2">
        <v>72</v>
      </c>
      <c r="BT579" s="2">
        <v>99</v>
      </c>
      <c r="BU579" s="2" t="s">
        <v>662</v>
      </c>
      <c r="BV579" s="9" t="str">
        <f>HYPERLINK(".\links\FLYBASE\AGAP008141-PA-FLYBASE.txt","FBpp0309230")</f>
        <v>FBpp0309230</v>
      </c>
      <c r="BW579" s="2" t="str">
        <f>HYPERLINK("http://flybase.org/reports/FBgn0032076#alliance_summary_container","1E-176")</f>
        <v>1E-176</v>
      </c>
      <c r="BX579" s="2">
        <v>469</v>
      </c>
      <c r="BY579" s="2">
        <v>52</v>
      </c>
      <c r="BZ579" s="2">
        <v>72</v>
      </c>
      <c r="CA579" s="2">
        <v>98</v>
      </c>
      <c r="CB579" s="9" t="str">
        <f>HYPERLINK(".\links\CDD\AGAP008141-PA-CDD.txt","Argininosuccinate_lyase, Argininosuccinate lyase (argininosuccinase, ASAL)")</f>
        <v>Argininosuccinate_lyase, Argininosuccinate lyase (argininosuccinase, ASAL)</v>
      </c>
      <c r="CC579" s="15">
        <v>0</v>
      </c>
      <c r="CD579" s="2">
        <v>100.2</v>
      </c>
      <c r="CE579" s="2" t="s">
        <v>5907</v>
      </c>
      <c r="CF579" s="2" t="s">
        <v>5908</v>
      </c>
      <c r="CG579" s="9" t="str">
        <f>HYPERLINK(".\links\KOG\AGAP008141-PA-KOG.txt","Argininosuccinate lyase")</f>
        <v>Argininosuccinate lyase</v>
      </c>
      <c r="CH579" s="15">
        <v>1E-180</v>
      </c>
      <c r="CI579" s="2">
        <v>97.2</v>
      </c>
      <c r="CJ579" s="2" t="s">
        <v>5909</v>
      </c>
      <c r="CK579" s="2" t="s">
        <v>267</v>
      </c>
      <c r="CL579" s="9" t="str">
        <f>HYPERLINK(".\links\PFAM\AGAP008141-PA-PFAM.txt","Lyase_1, Lyase")</f>
        <v>Lyase_1, Lyase</v>
      </c>
      <c r="CM579" s="15">
        <v>2.9999999999999999E-81</v>
      </c>
      <c r="CN579" s="2">
        <v>100</v>
      </c>
      <c r="CO579" s="2" t="s">
        <v>5910</v>
      </c>
      <c r="CP579" s="9" t="str">
        <f>HYPERLINK(".\links\SMART\AGAP008141-PA-SMART.txt","RasGEFN, Guanine nucleotide exchange factor for Ras-like GTPases")</f>
        <v>RasGEFN, Guanine nucleotide exchange factor for Ras-like GTPases</v>
      </c>
      <c r="CQ579" s="15">
        <v>8.5</v>
      </c>
      <c r="CR579" s="2">
        <v>11.8</v>
      </c>
      <c r="CS579" s="2" t="s">
        <v>5911</v>
      </c>
      <c r="CT579" s="2" t="s">
        <v>5906</v>
      </c>
      <c r="CU579" s="2" t="s">
        <v>5906</v>
      </c>
      <c r="CV579" s="2" t="s">
        <v>5906</v>
      </c>
      <c r="CW579" s="2" t="str">
        <f>HYPERLINK(".\links\pep\AGAP008141-PA-pep.txt","AGAP008141-PA")</f>
        <v>AGAP008141-PA</v>
      </c>
      <c r="CX579" s="2" t="s">
        <v>95</v>
      </c>
      <c r="CY579" s="2">
        <v>480</v>
      </c>
      <c r="CZ579" s="2" t="s">
        <v>113</v>
      </c>
      <c r="DA579" s="2" t="s">
        <v>5912</v>
      </c>
      <c r="DB579" s="2">
        <v>0</v>
      </c>
      <c r="DC579" s="2">
        <v>0</v>
      </c>
      <c r="DD579" s="2" t="str">
        <f>HYPERLINK("https://www.kegg.jp/kegg-bin/search_pathway_text?map=aga&amp;keyword=AGAP008141&amp;mode=1&amp;viewImage=true","AGAP008141")</f>
        <v>AGAP008141</v>
      </c>
      <c r="DE579" s="2" t="s">
        <v>5902</v>
      </c>
      <c r="DF579" s="2" t="s">
        <v>5903</v>
      </c>
      <c r="DG579" s="2" t="s">
        <v>94</v>
      </c>
      <c r="DH579" s="2" t="str">
        <f>HYPERLINK("https://vectorbase.org/vectorbase/app/record/gene/AGAP008141","AGAP008141-RA")</f>
        <v>AGAP008141-RA</v>
      </c>
      <c r="DI579" s="2" t="s">
        <v>90</v>
      </c>
      <c r="DJ579" s="2">
        <v>2043</v>
      </c>
      <c r="DK579" s="2" t="str">
        <f>HYPERLINK(".\links\netoglyc\AGAP008141-PA-netoglyc.txt","0")</f>
        <v>0</v>
      </c>
      <c r="DL579" s="2">
        <v>11.5</v>
      </c>
      <c r="DM579" s="2">
        <v>6.7</v>
      </c>
      <c r="DN579" s="2">
        <v>3.5</v>
      </c>
      <c r="DO579" s="2" t="s">
        <v>104</v>
      </c>
      <c r="DP579" s="2" t="s">
        <v>5913</v>
      </c>
      <c r="DQ579" s="2" t="str">
        <f>HYPERLINK(".\links\Sigp\AGAP008141-PA-SigP.txt","CYT")</f>
        <v>CYT</v>
      </c>
      <c r="DR579" s="2" t="s">
        <v>102</v>
      </c>
      <c r="DS579" s="2">
        <v>54.427999999999997</v>
      </c>
      <c r="DT579" s="2">
        <v>5.91</v>
      </c>
      <c r="DU579" s="2" t="s">
        <v>102</v>
      </c>
      <c r="DV579" s="2" t="s">
        <v>102</v>
      </c>
      <c r="DW579" s="2" t="s">
        <v>2653</v>
      </c>
      <c r="DX579" s="2">
        <v>480</v>
      </c>
      <c r="DY579" s="12">
        <v>0</v>
      </c>
      <c r="DZ579" s="2" t="s">
        <v>102</v>
      </c>
      <c r="EA579" s="2" t="s">
        <v>102</v>
      </c>
      <c r="EB579" s="2" t="s">
        <v>102</v>
      </c>
      <c r="EC579" s="2" t="str">
        <f>HYPERLINK(".\links\gpi\AGAP008141-PA-gpi.txt","N")</f>
        <v>N</v>
      </c>
      <c r="ED579" s="2">
        <v>0.19</v>
      </c>
      <c r="EF579" s="2">
        <v>5</v>
      </c>
      <c r="EG579" s="2" t="str">
        <f>HYPERLINK(".\links\pep\AGAP008141-PA-sulf.txt","1")</f>
        <v>1</v>
      </c>
      <c r="EH579" s="2" t="s">
        <v>102</v>
      </c>
      <c r="EI579" s="2">
        <v>11.4583333333333</v>
      </c>
      <c r="EJ579" s="2">
        <v>3.5416666666666701</v>
      </c>
      <c r="EK579" s="2">
        <v>6.6666666666666696</v>
      </c>
      <c r="EL579" s="2">
        <v>10.2083333333333</v>
      </c>
      <c r="EM579" s="2" t="s">
        <v>102</v>
      </c>
      <c r="EN579" s="2">
        <v>2</v>
      </c>
      <c r="EO579" s="2">
        <v>2</v>
      </c>
      <c r="EP579" s="2" t="s">
        <v>102</v>
      </c>
      <c r="EQ579" s="2" t="s">
        <v>102</v>
      </c>
      <c r="ER579" s="2" t="s">
        <v>102</v>
      </c>
      <c r="ES579" s="2" t="s">
        <v>102</v>
      </c>
      <c r="ET579" s="2" t="str">
        <f>HYPERLINK(".\links\REFSEQ-INVERTEBRATE\AGAP008141-PA-REFSEQ-INVERTEBRATE.txt","AGAP008141-PA, partial")</f>
        <v>AGAP008141-PA, partial</v>
      </c>
      <c r="EU579" s="2" t="str">
        <f>HYPERLINK("http://www.ncbi.nlm.nih.gov/sutils/blink.cgi?pid=XP_317320.4","0.0")</f>
        <v>0.0</v>
      </c>
      <c r="EV579" s="2" t="str">
        <f>HYPERLINK("http://www.ncbi.nlm.nih.gov/protein/XP_317320.4","XP_317320.4")</f>
        <v>XP_317320.4</v>
      </c>
      <c r="EW579" s="2">
        <v>100</v>
      </c>
      <c r="EX579" s="2">
        <v>100</v>
      </c>
      <c r="EY579" s="2">
        <v>100</v>
      </c>
      <c r="EZ579" s="2" t="s">
        <v>105</v>
      </c>
    </row>
    <row r="580" spans="1:156" x14ac:dyDescent="0.25">
      <c r="A580" s="2" t="s">
        <v>5914</v>
      </c>
      <c r="B580" s="2">
        <v>-1.8425381760369099</v>
      </c>
      <c r="C580" s="2">
        <f t="shared" si="9"/>
        <v>0.27883079747540662</v>
      </c>
      <c r="D580" s="2">
        <v>1.1254757484448701</v>
      </c>
      <c r="E580" s="2">
        <v>12.633940411585799</v>
      </c>
      <c r="F580" s="2">
        <v>3.7880586030926601E-4</v>
      </c>
      <c r="G580" s="2">
        <v>2.1768426261281001E-2</v>
      </c>
      <c r="H580" s="2" t="s">
        <v>5915</v>
      </c>
      <c r="I580" s="2" t="s">
        <v>94</v>
      </c>
      <c r="J580" s="2" t="str">
        <f>HYPERLINK("https://vectorbase.org/vectorbase/app/record/gene/AGAP009871","AGAP009871-RA")</f>
        <v>AGAP009871-RA</v>
      </c>
      <c r="K580" s="2" t="str">
        <f>HYPERLINK(".\links\pep\AGAP009871-PA-pep.txt","AGAP009871-PA")</f>
        <v>AGAP009871-PA</v>
      </c>
      <c r="L580" s="12" t="s">
        <v>95</v>
      </c>
      <c r="M580" s="2">
        <v>134</v>
      </c>
      <c r="N580" s="2">
        <v>0</v>
      </c>
      <c r="O580" s="2">
        <v>0</v>
      </c>
      <c r="P580" s="2" t="s">
        <v>5916</v>
      </c>
      <c r="Q580" s="9" t="s">
        <v>5917</v>
      </c>
      <c r="R580" s="2" t="s">
        <v>224</v>
      </c>
      <c r="S580" s="2" t="str">
        <f>HYPERLINK(".\links\NR-LIGHT\AGAP009871-PA-NR-LIGHT.txt","NR-LIGHT")</f>
        <v>NR-LIGHT</v>
      </c>
      <c r="T580" s="2">
        <v>3.0000000000000002E-60</v>
      </c>
      <c r="U580" s="2">
        <v>98.4</v>
      </c>
      <c r="V580" s="2" t="s">
        <v>5918</v>
      </c>
      <c r="W580" s="10" t="s">
        <v>5919</v>
      </c>
      <c r="X580" s="2" t="s">
        <v>224</v>
      </c>
      <c r="Y580" s="2" t="str">
        <f>HYPERLINK(".\links\REFSEQ-INVERTEBRATE\AGAP009871-PA-REFSEQ-INVERTEBRATE.txt","REFSEQ-INVERTEBRATE")</f>
        <v>REFSEQ-INVERTEBRATE</v>
      </c>
      <c r="Z580" s="15">
        <v>7.0000000000000002E-84</v>
      </c>
      <c r="AA580" s="2">
        <v>100.7</v>
      </c>
      <c r="AB580" s="13" t="s">
        <v>102</v>
      </c>
      <c r="AC580" s="13" t="str">
        <f>HYPERLINK(".\links\Sigp\AGAP009871-PA-SigP.txt","SIG")</f>
        <v>SIG</v>
      </c>
      <c r="AD580" s="2" t="s">
        <v>5591</v>
      </c>
      <c r="AE580" s="2">
        <v>14.37</v>
      </c>
      <c r="AF580" s="2">
        <v>4.41</v>
      </c>
      <c r="AG580" s="2">
        <v>12.595000000000001</v>
      </c>
      <c r="AH580" s="2">
        <v>4.3499999999999996</v>
      </c>
      <c r="AI580" s="2" t="s">
        <v>336</v>
      </c>
      <c r="AJ580" s="13">
        <v>0</v>
      </c>
      <c r="AK580" s="2" t="s">
        <v>102</v>
      </c>
      <c r="AL580" s="2" t="s">
        <v>102</v>
      </c>
      <c r="AM580" s="2" t="s">
        <v>102</v>
      </c>
      <c r="AN580" s="13" t="str">
        <f>HYPERLINK(".\links\gpi\AGAP009871-PA-gpi.txt","N")</f>
        <v>N</v>
      </c>
      <c r="AO580" s="14" t="str">
        <f>HYPERLINK(".\links\netoglyc\AGAP009871-PA-netoglyc.txt","4")</f>
        <v>4</v>
      </c>
      <c r="AP580" s="13">
        <v>13.4</v>
      </c>
      <c r="AQ580" s="2">
        <v>6</v>
      </c>
      <c r="AR580" s="2">
        <v>9.6999999999999993</v>
      </c>
      <c r="AS580" s="2" t="s">
        <v>104</v>
      </c>
      <c r="AT580" s="9" t="str">
        <f>HYPERLINK(".\links\NR-LIGHT\AGAP009871-PA-NR-LIGHT.txt","AGAP009871-PA")</f>
        <v>AGAP009871-PA</v>
      </c>
      <c r="AU580" s="2" t="str">
        <f>HYPERLINK("http://www.ncbi.nlm.nih.gov/sutils/blink.cgi?pid=XP_318989.4","1E-071")</f>
        <v>1E-071</v>
      </c>
      <c r="AV580" s="2" t="str">
        <f>HYPERLINK("http://www.ncbi.nlm.nih.gov/protein/XP_318989.4","XP_318989.4")</f>
        <v>XP_318989.4</v>
      </c>
      <c r="AW580" s="2">
        <v>100</v>
      </c>
      <c r="AX580" s="2">
        <v>100</v>
      </c>
      <c r="AY580" s="2">
        <v>100</v>
      </c>
      <c r="AZ580" s="2" t="s">
        <v>105</v>
      </c>
      <c r="BA580" s="9" t="str">
        <f>HYPERLINK(".\links\REFSEQ-INVERTEBRATE\AGAP009871-PA-REFSEQ-INVERTEBRATE.txt","AGAP009871-PA")</f>
        <v>AGAP009871-PA</v>
      </c>
      <c r="BB580" s="2" t="str">
        <f>HYPERLINK("http://www.ncbi.nlm.nih.gov/sutils/blink.cgi?pid=XP_318989.4","1E-071")</f>
        <v>1E-071</v>
      </c>
      <c r="BC580" s="2" t="str">
        <f>HYPERLINK("http://www.ncbi.nlm.nih.gov/protein/XP_318989.4","XP_318989.4")</f>
        <v>XP_318989.4</v>
      </c>
      <c r="BD580" s="2">
        <v>100</v>
      </c>
      <c r="BE580" s="2">
        <v>100</v>
      </c>
      <c r="BF580" s="2">
        <v>100</v>
      </c>
      <c r="BG580" s="2" t="s">
        <v>105</v>
      </c>
      <c r="BH580" s="9" t="str">
        <f>HYPERLINK(".\links\REFSEQ-PROTOZOA\AGAP009871-PA-REFSEQ-PROTOZOA.txt","Eukaryotic initiation factor 3 family member protein")</f>
        <v>Eukaryotic initiation factor 3 family member protein</v>
      </c>
      <c r="BI580" s="2" t="str">
        <f>HYPERLINK("http://www.ncbi.nlm.nih.gov/sutils/blink.cgi?pid=XP_004833305.1","0.26")</f>
        <v>0.26</v>
      </c>
      <c r="BJ580" s="2" t="str">
        <f>HYPERLINK("http://www.ncbi.nlm.nih.gov/protein/XP_004833305.1","XP_004833305.1")</f>
        <v>XP_004833305.1</v>
      </c>
      <c r="BK580" s="2">
        <v>29</v>
      </c>
      <c r="BL580" s="2">
        <v>45</v>
      </c>
      <c r="BM580" s="2">
        <v>7</v>
      </c>
      <c r="BN580" s="2" t="s">
        <v>5920</v>
      </c>
      <c r="BO580" s="9" t="str">
        <f>HYPERLINK(".\links\SWISSP\AGAP009871-PA-SWISSP.txt","Endocuticle structural glycoprotein ABD-4")</f>
        <v>Endocuticle structural glycoprotein ABD-4</v>
      </c>
      <c r="BP580" s="2" t="str">
        <f>HYPERLINK("http://www.uniprot.org/uniprot/P21799","7E-035")</f>
        <v>7E-035</v>
      </c>
      <c r="BQ580" s="2" t="str">
        <f>HYPERLINK("http://www.uniprot.org/uniprot/P21799#expression","P21799")</f>
        <v>P21799</v>
      </c>
      <c r="BR580" s="2">
        <v>58</v>
      </c>
      <c r="BS580" s="2">
        <v>71</v>
      </c>
      <c r="BT580" s="2">
        <v>97</v>
      </c>
      <c r="BU580" s="2" t="s">
        <v>4547</v>
      </c>
      <c r="BV580" s="9" t="str">
        <f>HYPERLINK(".\links\FLYBASE\AGAP009871-PA-FLYBASE.txt","FBpp0087031")</f>
        <v>FBpp0087031</v>
      </c>
      <c r="BW580" s="2" t="str">
        <f>HYPERLINK("http://flybase.org/reports/FBgn0033728#alliance_summary_container","1E-48")</f>
        <v>1E-48</v>
      </c>
      <c r="BX580" s="2">
        <v>134</v>
      </c>
      <c r="BY580" s="2">
        <v>61</v>
      </c>
      <c r="BZ580" s="2">
        <v>79</v>
      </c>
      <c r="CA580" s="2">
        <v>100</v>
      </c>
      <c r="CB580" s="9" t="str">
        <f>HYPERLINK(".\links\CDD\AGAP009871-PA-CDD.txt","Chitin_bind_4, Insect cuticle protein")</f>
        <v>Chitin_bind_4, Insect cuticle protein</v>
      </c>
      <c r="CC580" s="15">
        <v>4.9999999999999997E-12</v>
      </c>
      <c r="CD580" s="2">
        <v>113.5</v>
      </c>
      <c r="CE580" s="2" t="s">
        <v>5921</v>
      </c>
      <c r="CF580" s="2" t="s">
        <v>5922</v>
      </c>
      <c r="CG580" s="9" t="str">
        <f>HYPERLINK(".\links\KOG\AGAP009871-PA-KOG.txt","subunit RNA14")</f>
        <v>subunit RNA14</v>
      </c>
      <c r="CH580" s="15">
        <v>0.62</v>
      </c>
      <c r="CI580" s="2">
        <v>4.3</v>
      </c>
      <c r="CJ580" s="2" t="s">
        <v>5923</v>
      </c>
      <c r="CK580" s="2" t="s">
        <v>722</v>
      </c>
      <c r="CL580" s="9" t="str">
        <f>HYPERLINK(".\links\PFAM\AGAP009871-PA-PFAM.txt","Chitin_bind_4, Insect cuticle protein")</f>
        <v>Chitin_bind_4, Insect cuticle protein</v>
      </c>
      <c r="CM580" s="15">
        <v>9.9999999999999998E-13</v>
      </c>
      <c r="CN580" s="2">
        <v>113.5</v>
      </c>
      <c r="CO580" s="2" t="s">
        <v>5921</v>
      </c>
      <c r="CP580" s="9" t="str">
        <f>HYPERLINK(".\links\SMART\AGAP009871-PA-SMART.txt","Glyco_10, Glycosyl hydrolase family 10")</f>
        <v>Glyco_10, Glycosyl hydrolase family 10</v>
      </c>
      <c r="CQ580" s="15">
        <v>0.16</v>
      </c>
      <c r="CR580" s="2">
        <v>11</v>
      </c>
      <c r="CS580" s="2" t="s">
        <v>4923</v>
      </c>
      <c r="CT580" s="2" t="s">
        <v>5918</v>
      </c>
      <c r="CU580" s="2" t="s">
        <v>5918</v>
      </c>
      <c r="CV580" s="2" t="s">
        <v>5918</v>
      </c>
      <c r="CW580" s="2" t="str">
        <f>HYPERLINK(".\links\pep\AGAP009871-PA-pep.txt","AGAP009871-PA")</f>
        <v>AGAP009871-PA</v>
      </c>
      <c r="CX580" s="2" t="s">
        <v>95</v>
      </c>
      <c r="CY580" s="2">
        <v>134</v>
      </c>
      <c r="CZ580" s="2" t="s">
        <v>113</v>
      </c>
      <c r="DA580" s="2" t="s">
        <v>5924</v>
      </c>
      <c r="DB580" s="2">
        <v>0</v>
      </c>
      <c r="DC580" s="2">
        <v>0</v>
      </c>
      <c r="DD580" s="2" t="str">
        <f>HYPERLINK("https://www.kegg.jp/kegg-bin/search_pathway_text?map=aga&amp;keyword=AGAP009871&amp;mode=1&amp;viewImage=true","AGAP009871")</f>
        <v>AGAP009871</v>
      </c>
      <c r="DE580" s="2" t="s">
        <v>5914</v>
      </c>
      <c r="DF580" s="2" t="s">
        <v>5915</v>
      </c>
      <c r="DG580" s="2" t="s">
        <v>94</v>
      </c>
      <c r="DH580" s="2" t="str">
        <f>HYPERLINK("https://vectorbase.org/vectorbase/app/record/gene/AGAP009871","AGAP009871-RA")</f>
        <v>AGAP009871-RA</v>
      </c>
      <c r="DI580" s="2" t="s">
        <v>135</v>
      </c>
      <c r="DJ580" s="2">
        <v>746</v>
      </c>
      <c r="DK580" s="2" t="str">
        <f>HYPERLINK(".\links\netoglyc\AGAP009871-PA-netoglyc.txt","4")</f>
        <v>4</v>
      </c>
      <c r="DL580" s="2">
        <v>13.4</v>
      </c>
      <c r="DM580" s="2">
        <v>6</v>
      </c>
      <c r="DN580" s="2">
        <v>9.6999999999999993</v>
      </c>
      <c r="DO580" s="2" t="s">
        <v>104</v>
      </c>
      <c r="DP580" s="2" t="s">
        <v>102</v>
      </c>
      <c r="DQ580" s="2" t="str">
        <f>HYPERLINK(".\links\Sigp\AGAP009871-PA-SigP.txt","SIG")</f>
        <v>SIG</v>
      </c>
      <c r="DR580" s="2" t="s">
        <v>5591</v>
      </c>
      <c r="DS580" s="2">
        <v>14.37</v>
      </c>
      <c r="DT580" s="2">
        <v>4.41</v>
      </c>
      <c r="DU580" s="2">
        <v>12.595000000000001</v>
      </c>
      <c r="DV580" s="2">
        <v>4.3499999999999996</v>
      </c>
      <c r="DW580" s="2" t="s">
        <v>336</v>
      </c>
      <c r="DX580" s="2">
        <v>134</v>
      </c>
      <c r="DY580" s="12">
        <v>0</v>
      </c>
      <c r="DZ580" s="2" t="s">
        <v>102</v>
      </c>
      <c r="EA580" s="2" t="s">
        <v>102</v>
      </c>
      <c r="EB580" s="2" t="s">
        <v>102</v>
      </c>
      <c r="EC580" s="2" t="str">
        <f>HYPERLINK(".\links\gpi\AGAP009871-PA-gpi.txt","N")</f>
        <v>N</v>
      </c>
      <c r="ED580" s="2">
        <v>0.33</v>
      </c>
      <c r="EF580" s="2">
        <v>2</v>
      </c>
      <c r="EG580" s="2" t="s">
        <v>102</v>
      </c>
      <c r="EH580" s="2" t="s">
        <v>102</v>
      </c>
      <c r="EI580" s="2">
        <v>13.4328358208955</v>
      </c>
      <c r="EJ580" s="2">
        <v>9.7014925373134293</v>
      </c>
      <c r="EK580" s="2">
        <v>5.9701492537313401</v>
      </c>
      <c r="EL580" s="2">
        <v>15.6716417910448</v>
      </c>
      <c r="EM580" s="2" t="s">
        <v>102</v>
      </c>
      <c r="EN580" s="2" t="s">
        <v>102</v>
      </c>
      <c r="EO580" s="2" t="s">
        <v>102</v>
      </c>
      <c r="EP580" s="2" t="s">
        <v>102</v>
      </c>
      <c r="EQ580" s="2" t="s">
        <v>102</v>
      </c>
      <c r="ER580" s="2" t="s">
        <v>102</v>
      </c>
      <c r="ES580" s="2" t="s">
        <v>102</v>
      </c>
      <c r="ET580" s="2" t="str">
        <f>HYPERLINK(".\links\REFSEQ-INVERTEBRATE\AGAP009871-PA-REFSEQ-INVERTEBRATE.txt","AGAP009871-PA")</f>
        <v>AGAP009871-PA</v>
      </c>
      <c r="EU580" s="2" t="str">
        <f>HYPERLINK("http://www.ncbi.nlm.nih.gov/sutils/blink.cgi?pid=XP_318989.4","1E-93")</f>
        <v>1E-93</v>
      </c>
      <c r="EV580" s="2" t="str">
        <f>HYPERLINK("http://www.ncbi.nlm.nih.gov/protein/XP_318989.4","XP_318989.4")</f>
        <v>XP_318989.4</v>
      </c>
      <c r="EW580" s="2">
        <v>100</v>
      </c>
      <c r="EX580" s="2">
        <v>100</v>
      </c>
      <c r="EY580" s="2">
        <v>100</v>
      </c>
      <c r="EZ580" s="2" t="s">
        <v>105</v>
      </c>
    </row>
    <row r="581" spans="1:156" x14ac:dyDescent="0.25">
      <c r="A581" s="2" t="s">
        <v>5925</v>
      </c>
      <c r="B581" s="2">
        <v>-1.84614074489419</v>
      </c>
      <c r="C581" s="2">
        <f t="shared" si="9"/>
        <v>0.27813539478831861</v>
      </c>
      <c r="D581" s="2">
        <v>1.77559282686853E-2</v>
      </c>
      <c r="E581" s="2">
        <v>8.8408761004006706</v>
      </c>
      <c r="F581" s="2">
        <v>2.94557712572616E-3</v>
      </c>
      <c r="G581" s="2">
        <v>4.9803632520221103E-2</v>
      </c>
      <c r="H581" s="2" t="s">
        <v>93</v>
      </c>
      <c r="I581" s="2" t="s">
        <v>94</v>
      </c>
      <c r="J581" s="2" t="str">
        <f>HYPERLINK("https://vectorbase.org/vectorbase/app/record/gene/AGAP013005","AGAP013005-RA")</f>
        <v>AGAP013005-RA</v>
      </c>
      <c r="K581" s="2" t="str">
        <f>HYPERLINK(".\links\pep\AGAP013005-PA-pep.txt","AGAP013005-PA")</f>
        <v>AGAP013005-PA</v>
      </c>
      <c r="L581" s="12" t="s">
        <v>95</v>
      </c>
      <c r="M581" s="2">
        <v>349</v>
      </c>
      <c r="N581" s="2">
        <v>0</v>
      </c>
      <c r="O581" s="2">
        <v>0</v>
      </c>
      <c r="P581" s="2" t="s">
        <v>102</v>
      </c>
      <c r="Q581" s="9" t="s">
        <v>5926</v>
      </c>
      <c r="R581" s="2" t="s">
        <v>224</v>
      </c>
      <c r="S581" s="2" t="str">
        <f>HYPERLINK(".\links\SWISSP\AGAP013005-PA-SWISSP.txt","SWISSP")</f>
        <v>SWISSP</v>
      </c>
      <c r="T581" s="2">
        <v>9.9999999999999996E-24</v>
      </c>
      <c r="U581" s="2">
        <v>67</v>
      </c>
      <c r="V581" s="2" t="s">
        <v>5927</v>
      </c>
      <c r="W581" s="10" t="s">
        <v>146</v>
      </c>
      <c r="X581" s="2" t="s">
        <v>147</v>
      </c>
      <c r="Y581" s="2" t="str">
        <f>HYPERLINK(".\links\netoglyc\AGAP013005-PA-netoglyc.txt","netoglyc")</f>
        <v>netoglyc</v>
      </c>
      <c r="AB581" s="13" t="s">
        <v>102</v>
      </c>
      <c r="AC581" s="13" t="str">
        <f>HYPERLINK(".\links\Sigp\AGAP013005-PA-SigP.txt","SIG")</f>
        <v>SIG</v>
      </c>
      <c r="AD581" s="2" t="s">
        <v>833</v>
      </c>
      <c r="AE581" s="2">
        <v>33.93</v>
      </c>
      <c r="AF581" s="2">
        <v>6.56</v>
      </c>
      <c r="AG581" s="2">
        <v>31.992999999999999</v>
      </c>
      <c r="AH581" s="2">
        <v>6.57</v>
      </c>
      <c r="AI581" s="2" t="s">
        <v>5928</v>
      </c>
      <c r="AJ581" s="13">
        <v>0</v>
      </c>
      <c r="AK581" s="2" t="s">
        <v>102</v>
      </c>
      <c r="AL581" s="2" t="s">
        <v>102</v>
      </c>
      <c r="AM581" s="2" t="s">
        <v>102</v>
      </c>
      <c r="AN581" s="13" t="str">
        <f>HYPERLINK(".\links\gpi\AGAP013005-PA-gpi.txt","N")</f>
        <v>N</v>
      </c>
      <c r="AO581" s="14" t="str">
        <f>HYPERLINK(".\links\netoglyc\AGAP013005-PA-netoglyc.txt","13")</f>
        <v>13</v>
      </c>
      <c r="AP581" s="13">
        <v>23.2</v>
      </c>
      <c r="AQ581" s="2">
        <v>21.5</v>
      </c>
      <c r="AR581" s="2">
        <v>3.4</v>
      </c>
      <c r="AS581" s="2" t="s">
        <v>104</v>
      </c>
      <c r="AT581" s="9" t="str">
        <f>HYPERLINK(".\links\NR-LIGHT\AGAP013005-PA-NR-LIGHT.txt","AGAP013005-PA")</f>
        <v>AGAP013005-PA</v>
      </c>
      <c r="AU581" s="2" t="str">
        <f>HYPERLINK("http://www.ncbi.nlm.nih.gov/sutils/blink.cgi?pid=XP_003435859.1","0.0")</f>
        <v>0.0</v>
      </c>
      <c r="AV581" s="2" t="str">
        <f>HYPERLINK("http://www.ncbi.nlm.nih.gov/protein/XP_003435859.1","XP_003435859.1")</f>
        <v>XP_003435859.1</v>
      </c>
      <c r="AW581" s="2">
        <v>100</v>
      </c>
      <c r="AX581" s="2">
        <v>100</v>
      </c>
      <c r="AY581" s="2">
        <v>100</v>
      </c>
      <c r="AZ581" s="2" t="s">
        <v>105</v>
      </c>
      <c r="BA581" s="9" t="str">
        <f>HYPERLINK(".\links\REFSEQ-INVERTEBRATE\AGAP013005-PA-REFSEQ-INVERTEBRATE.txt","AGAP013005-PA")</f>
        <v>AGAP013005-PA</v>
      </c>
      <c r="BB581" s="2" t="str">
        <f>HYPERLINK("http://www.ncbi.nlm.nih.gov/sutils/blink.cgi?pid=XP_003435859.1","0.0")</f>
        <v>0.0</v>
      </c>
      <c r="BC581" s="2" t="str">
        <f>HYPERLINK("http://www.ncbi.nlm.nih.gov/protein/XP_003435859.1","XP_003435859.1")</f>
        <v>XP_003435859.1</v>
      </c>
      <c r="BD581" s="2">
        <v>100</v>
      </c>
      <c r="BE581" s="2">
        <v>100</v>
      </c>
      <c r="BF581" s="2">
        <v>100</v>
      </c>
      <c r="BG581" s="2" t="s">
        <v>105</v>
      </c>
      <c r="BH581" s="9" t="str">
        <f>HYPERLINK(".\links\REFSEQ-PROTOZOA\AGAP013005-PA-REFSEQ-PROTOZOA.txt","hypothetical protein DFA_01589")</f>
        <v>hypothetical protein DFA_01589</v>
      </c>
      <c r="BI581" s="2" t="str">
        <f>HYPERLINK("http://www.ncbi.nlm.nih.gov/sutils/blink.cgi?pid=XP_004359553.1","3E-027")</f>
        <v>3E-027</v>
      </c>
      <c r="BJ581" s="2" t="str">
        <f>HYPERLINK("http://www.ncbi.nlm.nih.gov/protein/XP_004359553.1","XP_004359553.1")</f>
        <v>XP_004359553.1</v>
      </c>
      <c r="BK581" s="2">
        <v>33</v>
      </c>
      <c r="BL581" s="2">
        <v>42</v>
      </c>
      <c r="BM581" s="2">
        <v>33</v>
      </c>
      <c r="BN581" s="2" t="s">
        <v>212</v>
      </c>
      <c r="BO581" s="9" t="str">
        <f>HYPERLINK(".\links\SWISSP\AGAP013005-PA-SWISSP.txt","Hornerin")</f>
        <v>Hornerin</v>
      </c>
      <c r="BP581" s="2" t="str">
        <f>HYPERLINK("http://www.uniprot.org/uniprot/Q86YZ3","6E-026")</f>
        <v>6E-026</v>
      </c>
      <c r="BQ581" s="2" t="str">
        <f>HYPERLINK("http://www.uniprot.org/uniprot/Q86YZ3#expression","Q86YZ3")</f>
        <v>Q86YZ3</v>
      </c>
      <c r="BR581" s="2">
        <v>31</v>
      </c>
      <c r="BS581" s="2">
        <v>36</v>
      </c>
      <c r="BT581" s="2">
        <v>12</v>
      </c>
      <c r="BU581" s="2" t="s">
        <v>127</v>
      </c>
      <c r="BV581" s="9"/>
      <c r="CB581" s="9" t="str">
        <f>HYPERLINK(".\links\CDD\AGAP013005-PA-CDD.txt","ureE, urease accessory protein UreE")</f>
        <v>ureE, urease accessory protein UreE</v>
      </c>
      <c r="CC581" s="15">
        <v>3.0000000000000001E-3</v>
      </c>
      <c r="CD581" s="2">
        <v>33.5</v>
      </c>
      <c r="CE581" s="2" t="s">
        <v>5929</v>
      </c>
      <c r="CF581" s="2" t="s">
        <v>5930</v>
      </c>
      <c r="CG581" s="9" t="str">
        <f>HYPERLINK(".\links\KOG\AGAP013005-PA-KOG.txt","Dishevelled 3 and related proteins")</f>
        <v>Dishevelled 3 and related proteins</v>
      </c>
      <c r="CH581" s="15">
        <v>1.0000000000000001E-5</v>
      </c>
      <c r="CI581" s="2">
        <v>20.9</v>
      </c>
      <c r="CJ581" s="2" t="s">
        <v>5931</v>
      </c>
      <c r="CK581" s="2" t="s">
        <v>191</v>
      </c>
      <c r="CL581" s="9" t="str">
        <f>HYPERLINK(".\links\PFAM\AGAP013005-PA-PFAM.txt","Herpes_TAF50, Herpesvirus transcription activation factor (transactivator)")</f>
        <v>Herpes_TAF50, Herpesvirus transcription activation factor (transactivator)</v>
      </c>
      <c r="CM581" s="15">
        <v>1.2999999999999999E-2</v>
      </c>
      <c r="CN581" s="2">
        <v>25.4</v>
      </c>
      <c r="CO581" s="2" t="s">
        <v>5932</v>
      </c>
      <c r="CP581" s="9" t="str">
        <f>HYPERLINK(".\links\SMART\AGAP013005-PA-SMART.txt","CPSF73-100_C, This is the C-terminal conserved region of the pre-mRNA 3'-end-processing of the polyadenylation factor CPSF-73/CPSF-100 proteins")</f>
        <v>CPSF73-100_C, This is the C-terminal conserved region of the pre-mRNA 3'-end-processing of the polyadenylation factor CPSF-73/CPSF-100 proteins</v>
      </c>
      <c r="CQ581" s="15">
        <v>0.83</v>
      </c>
      <c r="CR581" s="2">
        <v>36.799999999999997</v>
      </c>
      <c r="CS581" s="2" t="s">
        <v>2755</v>
      </c>
      <c r="CT581" s="2" t="s">
        <v>5927</v>
      </c>
      <c r="CU581" s="2" t="s">
        <v>5927</v>
      </c>
      <c r="CV581" s="2" t="s">
        <v>5927</v>
      </c>
      <c r="CW581" s="2" t="str">
        <f>HYPERLINK(".\links\pep\AGAP013005-PA-pep.txt","AGAP013005-PA")</f>
        <v>AGAP013005-PA</v>
      </c>
      <c r="CX581" s="2" t="s">
        <v>95</v>
      </c>
      <c r="CY581" s="2">
        <v>349</v>
      </c>
      <c r="CZ581" s="2" t="s">
        <v>113</v>
      </c>
      <c r="DA581" s="2" t="s">
        <v>5933</v>
      </c>
      <c r="DB581" s="2">
        <v>0</v>
      </c>
      <c r="DC581" s="2">
        <v>0</v>
      </c>
      <c r="DD581" s="2" t="str">
        <f>HYPERLINK("https://www.kegg.jp/kegg-bin/search_pathway_text?map=aga&amp;keyword=AGAP013005&amp;mode=1&amp;viewImage=true","AGAP013005")</f>
        <v>AGAP013005</v>
      </c>
      <c r="DE581" s="2" t="s">
        <v>5925</v>
      </c>
      <c r="DF581" s="2" t="s">
        <v>93</v>
      </c>
      <c r="DG581" s="2" t="s">
        <v>94</v>
      </c>
      <c r="DH581" s="2" t="str">
        <f>HYPERLINK("https://vectorbase.org/vectorbase/app/record/gene/AGAP013005","AGAP013005-RA")</f>
        <v>AGAP013005-RA</v>
      </c>
      <c r="DI581" s="2" t="s">
        <v>115</v>
      </c>
      <c r="DJ581" s="2">
        <v>1244</v>
      </c>
      <c r="DK581" s="2" t="str">
        <f>HYPERLINK(".\links\netoglyc\AGAP013005-PA-netoglyc.txt","13")</f>
        <v>13</v>
      </c>
      <c r="DL581" s="2">
        <v>23.2</v>
      </c>
      <c r="DM581" s="2">
        <v>21.5</v>
      </c>
      <c r="DN581" s="2">
        <v>3.4</v>
      </c>
      <c r="DO581" s="2" t="s">
        <v>104</v>
      </c>
      <c r="DP581" s="2" t="s">
        <v>102</v>
      </c>
      <c r="DQ581" s="2" t="str">
        <f>HYPERLINK(".\links\Sigp\AGAP013005-PA-SigP.txt","SIG")</f>
        <v>SIG</v>
      </c>
      <c r="DR581" s="2" t="s">
        <v>833</v>
      </c>
      <c r="DS581" s="2">
        <v>33.93</v>
      </c>
      <c r="DT581" s="2">
        <v>6.56</v>
      </c>
      <c r="DU581" s="2">
        <v>31.992999999999999</v>
      </c>
      <c r="DV581" s="2">
        <v>6.57</v>
      </c>
      <c r="DW581" s="2" t="s">
        <v>5928</v>
      </c>
      <c r="DX581" s="2">
        <v>349</v>
      </c>
      <c r="DY581" s="12">
        <v>0</v>
      </c>
      <c r="DZ581" s="2" t="s">
        <v>102</v>
      </c>
      <c r="EA581" s="2" t="s">
        <v>102</v>
      </c>
      <c r="EB581" s="2" t="s">
        <v>102</v>
      </c>
      <c r="EC581" s="2" t="str">
        <f>HYPERLINK(".\links\gpi\AGAP013005-PA-gpi.txt","Y-NoSP")</f>
        <v>Y-NoSP</v>
      </c>
      <c r="ED581" s="2">
        <v>0.85</v>
      </c>
      <c r="EE581" s="2" t="s">
        <v>5934</v>
      </c>
      <c r="EF581" s="2">
        <v>0</v>
      </c>
      <c r="EG581" s="2" t="s">
        <v>102</v>
      </c>
      <c r="EH581" s="2" t="s">
        <v>102</v>
      </c>
      <c r="EI581" s="2">
        <v>23.209169054441301</v>
      </c>
      <c r="EJ581" s="2">
        <v>3.43839541547278</v>
      </c>
      <c r="EK581" s="2">
        <v>21.489971346704898</v>
      </c>
      <c r="EL581" s="2">
        <v>24.9283667621776</v>
      </c>
      <c r="EM581" s="2">
        <v>3</v>
      </c>
      <c r="EN581" s="2">
        <v>2</v>
      </c>
      <c r="EO581" s="2">
        <v>3</v>
      </c>
      <c r="EP581" s="2" t="s">
        <v>102</v>
      </c>
      <c r="EQ581" s="2" t="s">
        <v>102</v>
      </c>
      <c r="ER581" s="2" t="s">
        <v>102</v>
      </c>
      <c r="ES581" s="2" t="s">
        <v>102</v>
      </c>
      <c r="ET581" s="2" t="str">
        <f>HYPERLINK(".\links\REFSEQ-INVERTEBRATE\AGAP013005-PA-REFSEQ-INVERTEBRATE.txt","AGAP013005-PA")</f>
        <v>AGAP013005-PA</v>
      </c>
      <c r="EU581" s="2" t="str">
        <f>HYPERLINK("http://www.ncbi.nlm.nih.gov/sutils/blink.cgi?pid=XP_003435859.1","0.0")</f>
        <v>0.0</v>
      </c>
      <c r="EV581" s="2" t="str">
        <f>HYPERLINK("http://www.ncbi.nlm.nih.gov/protein/XP_003435859.1","XP_003435859.1")</f>
        <v>XP_003435859.1</v>
      </c>
      <c r="EW581" s="2">
        <v>100</v>
      </c>
      <c r="EX581" s="2">
        <v>100</v>
      </c>
      <c r="EY581" s="2">
        <v>100</v>
      </c>
      <c r="EZ581" s="2" t="s">
        <v>105</v>
      </c>
    </row>
    <row r="582" spans="1:156" x14ac:dyDescent="0.25">
      <c r="A582" s="2" t="s">
        <v>5935</v>
      </c>
      <c r="B582" s="2">
        <v>-1.87488501727388</v>
      </c>
      <c r="C582" s="2">
        <f t="shared" si="9"/>
        <v>0.27264866238581442</v>
      </c>
      <c r="D582" s="2">
        <v>9.3905876512791302</v>
      </c>
      <c r="E582" s="2">
        <v>13.2865960775205</v>
      </c>
      <c r="F582" s="2">
        <v>2.6731036545511798E-4</v>
      </c>
      <c r="G582" s="2">
        <v>1.86084079363509E-2</v>
      </c>
      <c r="H582" s="2" t="s">
        <v>93</v>
      </c>
      <c r="I582" s="2" t="s">
        <v>94</v>
      </c>
      <c r="J582" s="2" t="str">
        <f>HYPERLINK("https://vectorbase.org/vectorbase/app/record/gene/AGAP006524","AGAP006524-RA")</f>
        <v>AGAP006524-RA</v>
      </c>
      <c r="K582" s="2" t="str">
        <f>HYPERLINK(".\links\pep\AGAP006524-PA-pep.txt","AGAP006524-PA")</f>
        <v>AGAP006524-PA</v>
      </c>
      <c r="L582" s="12" t="s">
        <v>95</v>
      </c>
      <c r="M582" s="2">
        <v>377</v>
      </c>
      <c r="N582" s="2">
        <v>0</v>
      </c>
      <c r="O582" s="2">
        <v>0</v>
      </c>
      <c r="P582" s="2" t="s">
        <v>102</v>
      </c>
      <c r="Q582" s="9" t="s">
        <v>146</v>
      </c>
      <c r="R582" s="2" t="s">
        <v>147</v>
      </c>
      <c r="S582" s="2" t="str">
        <f>HYPERLINK(".\links\netoglyc\AGAP006524-PA-netoglyc.txt","netoglyc")</f>
        <v>netoglyc</v>
      </c>
      <c r="V582" s="2" t="s">
        <v>5936</v>
      </c>
      <c r="W582" s="10" t="s">
        <v>146</v>
      </c>
      <c r="X582" s="2" t="s">
        <v>147</v>
      </c>
      <c r="Y582" s="2" t="str">
        <f>HYPERLINK(".\links\ARTHORPODA\AGAP006524-PA-ARTHORPODA.txt","ARTHORPODA")</f>
        <v>ARTHORPODA</v>
      </c>
      <c r="Z582" s="15">
        <v>0</v>
      </c>
      <c r="AA582" s="2">
        <v>52.2</v>
      </c>
      <c r="AB582" s="13" t="s">
        <v>102</v>
      </c>
      <c r="AC582" s="13" t="str">
        <f>HYPERLINK(".\links\Sigp\AGAP006524-PA-SigP.txt","SIG")</f>
        <v>SIG</v>
      </c>
      <c r="AD582" s="2" t="s">
        <v>833</v>
      </c>
      <c r="AE582" s="2">
        <v>40.546999999999997</v>
      </c>
      <c r="AF582" s="2">
        <v>5.67</v>
      </c>
      <c r="AG582" s="2">
        <v>38.759</v>
      </c>
      <c r="AH582" s="2">
        <v>5.57</v>
      </c>
      <c r="AI582" s="2" t="s">
        <v>5937</v>
      </c>
      <c r="AJ582" s="13" t="str">
        <f>HYPERLINK(".\links\tmhmm\AGAP006524-PA-tmhmm.txt","1")</f>
        <v>1</v>
      </c>
      <c r="AK582" s="2">
        <v>5</v>
      </c>
      <c r="AL582" s="2">
        <v>93.6</v>
      </c>
      <c r="AM582" s="2">
        <v>1.3</v>
      </c>
      <c r="AN582" s="13" t="str">
        <f>HYPERLINK(".\links\gpi\AGAP006524-PA-gpi.txt","N")</f>
        <v>N</v>
      </c>
      <c r="AO582" s="14" t="str">
        <f>HYPERLINK(".\links\netoglyc\AGAP006524-PA-netoglyc.txt","12")</f>
        <v>12</v>
      </c>
      <c r="AP582" s="13">
        <v>14.1</v>
      </c>
      <c r="AQ582" s="2">
        <v>5.3</v>
      </c>
      <c r="AR582" s="2">
        <v>14.9</v>
      </c>
      <c r="AS582" s="2" t="s">
        <v>104</v>
      </c>
      <c r="AT582" s="9" t="str">
        <f>HYPERLINK(".\links\NR-LIGHT\AGAP006524-PA-NR-LIGHT.txt","AGAP006524-PA")</f>
        <v>AGAP006524-PA</v>
      </c>
      <c r="AU582" s="2" t="str">
        <f>HYPERLINK("http://www.ncbi.nlm.nih.gov/sutils/blink.cgi?pid=XP_316557.4","0.0")</f>
        <v>0.0</v>
      </c>
      <c r="AV582" s="2" t="str">
        <f>HYPERLINK("http://www.ncbi.nlm.nih.gov/protein/XP_316557.4","XP_316557.4")</f>
        <v>XP_316557.4</v>
      </c>
      <c r="AW582" s="2">
        <v>100</v>
      </c>
      <c r="AX582" s="2">
        <v>100</v>
      </c>
      <c r="AY582" s="2">
        <v>100</v>
      </c>
      <c r="AZ582" s="2" t="s">
        <v>105</v>
      </c>
      <c r="BA582" s="9" t="str">
        <f>HYPERLINK(".\links\REFSEQ-INVERTEBRATE\AGAP006524-PA-REFSEQ-INVERTEBRATE.txt","AGAP006524-PA")</f>
        <v>AGAP006524-PA</v>
      </c>
      <c r="BB582" s="2" t="str">
        <f>HYPERLINK("http://www.ncbi.nlm.nih.gov/sutils/blink.cgi?pid=XP_316557.4","0.0")</f>
        <v>0.0</v>
      </c>
      <c r="BC582" s="2" t="str">
        <f>HYPERLINK("http://www.ncbi.nlm.nih.gov/protein/XP_316557.4","XP_316557.4")</f>
        <v>XP_316557.4</v>
      </c>
      <c r="BD582" s="2">
        <v>100</v>
      </c>
      <c r="BE582" s="2">
        <v>100</v>
      </c>
      <c r="BF582" s="2">
        <v>100</v>
      </c>
      <c r="BG582" s="2" t="s">
        <v>105</v>
      </c>
      <c r="BH582" s="9" t="str">
        <f>HYPERLINK(".\links\REFSEQ-PROTOZOA\AGAP006524-PA-REFSEQ-PROTOZOA.txt","hypothetical protein DDB_G0288781")</f>
        <v>hypothetical protein DDB_G0288781</v>
      </c>
      <c r="BI582" s="2" t="str">
        <f>HYPERLINK("http://www.ncbi.nlm.nih.gov/sutils/blink.cgi?pid=XP_636514.1","4E-014")</f>
        <v>4E-014</v>
      </c>
      <c r="BJ582" s="2" t="str">
        <f>HYPERLINK("http://www.ncbi.nlm.nih.gov/protein/XP_636514.1","XP_636514.1")</f>
        <v>XP_636514.1</v>
      </c>
      <c r="BK582" s="2">
        <v>25</v>
      </c>
      <c r="BL582" s="2">
        <v>34</v>
      </c>
      <c r="BM582" s="2">
        <v>82</v>
      </c>
      <c r="BN582" s="2" t="s">
        <v>612</v>
      </c>
      <c r="BO582" s="9" t="str">
        <f>HYPERLINK(".\links\SWISSP\AGAP006524-PA-SWISSP.txt","Keratin-associated protein 9-1")</f>
        <v>Keratin-associated protein 9-1</v>
      </c>
      <c r="BP582" s="2" t="str">
        <f>HYPERLINK("http://www.uniprot.org/uniprot/A8MXZ3","2E-021")</f>
        <v>2E-021</v>
      </c>
      <c r="BQ582" s="2" t="str">
        <f>HYPERLINK("http://www.uniprot.org/uniprot/A8MXZ3#expression","A8MXZ3")</f>
        <v>A8MXZ3</v>
      </c>
      <c r="BR582" s="2">
        <v>32</v>
      </c>
      <c r="BS582" s="2">
        <v>38</v>
      </c>
      <c r="BT582" s="2">
        <v>119</v>
      </c>
      <c r="BU582" s="2" t="s">
        <v>127</v>
      </c>
      <c r="BV582" s="9" t="str">
        <f>HYPERLINK(".\links\FLYBASE\AGAP006524-PA-FLYBASE.txt","FBpp0077849")</f>
        <v>FBpp0077849</v>
      </c>
      <c r="BW582" s="2" t="str">
        <f>HYPERLINK("http://flybase.org/reports/FBgn0036985#alliance_summary_container","1.0")</f>
        <v>1.0</v>
      </c>
      <c r="BX582" s="2">
        <v>2284</v>
      </c>
      <c r="BY582" s="2">
        <v>27</v>
      </c>
      <c r="BZ582" s="2">
        <v>38</v>
      </c>
      <c r="CA582" s="2">
        <v>8</v>
      </c>
      <c r="CB582" s="9" t="str">
        <f>HYPERLINK(".\links\CDD\AGAP006524-PA-CDD.txt","PRK10263, DNA translocase FtsK")</f>
        <v>PRK10263, DNA translocase FtsK</v>
      </c>
      <c r="CC582" s="15">
        <v>2.1999999999999999E-2</v>
      </c>
      <c r="CD582" s="2">
        <v>7.4</v>
      </c>
      <c r="CE582" s="2" t="s">
        <v>5938</v>
      </c>
      <c r="CF582" s="2" t="s">
        <v>5939</v>
      </c>
      <c r="CG582" s="9" t="str">
        <f>HYPERLINK(".\links\KOG\AGAP006524-PA-KOG.txt","Cadherin EGF LAG seven-pass G-type receptor")</f>
        <v>Cadherin EGF LAG seven-pass G-type receptor</v>
      </c>
      <c r="CH582" s="15">
        <v>8.0000000000000002E-3</v>
      </c>
      <c r="CI582" s="2">
        <v>7</v>
      </c>
      <c r="CJ582" s="2" t="s">
        <v>5940</v>
      </c>
      <c r="CK582" s="2" t="s">
        <v>173</v>
      </c>
      <c r="CL582" s="9" t="str">
        <f>HYPERLINK(".\links\PFAM\AGAP006524-PA-PFAM.txt","Cuticle_3, Pupal cuticle protein C1")</f>
        <v>Cuticle_3, Pupal cuticle protein C1</v>
      </c>
      <c r="CM582" s="15">
        <v>2.5</v>
      </c>
      <c r="CN582" s="2">
        <v>68</v>
      </c>
      <c r="CO582" s="2" t="s">
        <v>5941</v>
      </c>
      <c r="CP582" s="9" t="str">
        <f>HYPERLINK(".\links\SMART\AGAP006524-PA-SMART.txt","Col_cuticle_N, Nematode cuticle collagen N-terminal domain")</f>
        <v>Col_cuticle_N, Nematode cuticle collagen N-terminal domain</v>
      </c>
      <c r="CQ582" s="15">
        <v>2.8</v>
      </c>
      <c r="CR582" s="2">
        <v>34</v>
      </c>
      <c r="CS582" s="2" t="s">
        <v>5942</v>
      </c>
      <c r="CT582" s="2" t="s">
        <v>5936</v>
      </c>
      <c r="CU582" s="2" t="s">
        <v>5936</v>
      </c>
      <c r="CV582" s="2" t="s">
        <v>5936</v>
      </c>
      <c r="CW582" s="2" t="str">
        <f>HYPERLINK(".\links\pep\AGAP006524-PA-pep.txt","AGAP006524-PA")</f>
        <v>AGAP006524-PA</v>
      </c>
      <c r="CX582" s="2" t="s">
        <v>95</v>
      </c>
      <c r="CY582" s="2">
        <v>377</v>
      </c>
      <c r="CZ582" s="2" t="s">
        <v>113</v>
      </c>
      <c r="DA582" s="2" t="s">
        <v>5943</v>
      </c>
      <c r="DB582" s="2">
        <v>0</v>
      </c>
      <c r="DC582" s="2">
        <v>0</v>
      </c>
      <c r="DD582" s="2" t="str">
        <f>HYPERLINK("https://www.kegg.jp/kegg-bin/search_pathway_text?map=aga&amp;keyword=AGAP006524&amp;mode=1&amp;viewImage=true","AGAP006524")</f>
        <v>AGAP006524</v>
      </c>
      <c r="DE582" s="2" t="s">
        <v>5935</v>
      </c>
      <c r="DF582" s="2" t="s">
        <v>93</v>
      </c>
      <c r="DG582" s="2" t="s">
        <v>94</v>
      </c>
      <c r="DH582" s="2" t="str">
        <f>HYPERLINK("https://vectorbase.org/vectorbase/app/record/gene/AGAP006524","AGAP006524-RA")</f>
        <v>AGAP006524-RA</v>
      </c>
      <c r="DI582" s="2" t="s">
        <v>135</v>
      </c>
      <c r="DJ582" s="2">
        <v>1203</v>
      </c>
      <c r="DK582" s="2" t="str">
        <f>HYPERLINK(".\links\netoglyc\AGAP006524-PA-netoglyc.txt","12")</f>
        <v>12</v>
      </c>
      <c r="DL582" s="2">
        <v>14.1</v>
      </c>
      <c r="DM582" s="2">
        <v>5.3</v>
      </c>
      <c r="DN582" s="2">
        <v>14.9</v>
      </c>
      <c r="DO582" s="2" t="s">
        <v>104</v>
      </c>
      <c r="DP582" s="2" t="s">
        <v>102</v>
      </c>
      <c r="DQ582" s="2" t="str">
        <f>HYPERLINK(".\links\Sigp\AGAP006524-PA-SigP.txt","SIG")</f>
        <v>SIG</v>
      </c>
      <c r="DR582" s="2" t="s">
        <v>833</v>
      </c>
      <c r="DS582" s="2">
        <v>40.546999999999997</v>
      </c>
      <c r="DT582" s="2">
        <v>5.67</v>
      </c>
      <c r="DU582" s="2">
        <v>38.759</v>
      </c>
      <c r="DV582" s="2">
        <v>5.57</v>
      </c>
      <c r="DW582" s="2" t="s">
        <v>5937</v>
      </c>
      <c r="DX582" s="2">
        <v>377</v>
      </c>
      <c r="DY582" s="12" t="str">
        <f>HYPERLINK(".\links\tmhmm\AGAP006524-PA-tmhmm.txt","1")</f>
        <v>1</v>
      </c>
      <c r="DZ582" s="2">
        <v>5</v>
      </c>
      <c r="EA582" s="2">
        <v>93.6</v>
      </c>
      <c r="EB582" s="2">
        <v>1.3</v>
      </c>
      <c r="EC582" s="2" t="str">
        <f>HYPERLINK(".\links\gpi\AGAP006524-PA-gpi.txt","Y-NoSP")</f>
        <v>Y-NoSP</v>
      </c>
      <c r="ED582" s="2">
        <v>0.69</v>
      </c>
      <c r="EE582" s="2" t="s">
        <v>5944</v>
      </c>
      <c r="EF582" s="2">
        <v>64</v>
      </c>
      <c r="EG582" s="2" t="s">
        <v>102</v>
      </c>
      <c r="EH582" s="2" t="s">
        <v>102</v>
      </c>
      <c r="EI582" s="2">
        <v>14.058355437665799</v>
      </c>
      <c r="EJ582" s="2">
        <v>14.8541114058355</v>
      </c>
      <c r="EK582" s="2">
        <v>5.3050397877984103</v>
      </c>
      <c r="EL582" s="2">
        <v>20.159151193633999</v>
      </c>
      <c r="EM582" s="2" t="s">
        <v>102</v>
      </c>
      <c r="EN582" s="2" t="s">
        <v>102</v>
      </c>
      <c r="EO582" s="2" t="s">
        <v>102</v>
      </c>
      <c r="EP582" s="2" t="s">
        <v>102</v>
      </c>
      <c r="EQ582" s="2" t="s">
        <v>102</v>
      </c>
      <c r="ER582" s="2" t="s">
        <v>102</v>
      </c>
      <c r="ES582" s="2" t="s">
        <v>102</v>
      </c>
      <c r="ET582" s="2" t="str">
        <f>HYPERLINK(".\links\REFSEQ-INVERTEBRATE\AGAP006524-PA-REFSEQ-INVERTEBRATE.txt","AGAP006524-PA")</f>
        <v>AGAP006524-PA</v>
      </c>
      <c r="EU582" s="2" t="str">
        <f>HYPERLINK("http://www.ncbi.nlm.nih.gov/sutils/blink.cgi?pid=XP_316557.4","0.0")</f>
        <v>0.0</v>
      </c>
      <c r="EV582" s="2" t="str">
        <f>HYPERLINK("http://www.ncbi.nlm.nih.gov/protein/XP_316557.4","XP_316557.4")</f>
        <v>XP_316557.4</v>
      </c>
      <c r="EW582" s="2">
        <v>100</v>
      </c>
      <c r="EX582" s="2">
        <v>100</v>
      </c>
      <c r="EY582" s="2">
        <v>100</v>
      </c>
      <c r="EZ582" s="2" t="s">
        <v>105</v>
      </c>
    </row>
    <row r="583" spans="1:156" x14ac:dyDescent="0.25">
      <c r="A583" s="2" t="s">
        <v>5945</v>
      </c>
      <c r="B583" s="2">
        <v>-1.99139996373776</v>
      </c>
      <c r="C583" s="2">
        <f t="shared" si="9"/>
        <v>0.25149472338675383</v>
      </c>
      <c r="D583" s="2">
        <v>10.524628125191001</v>
      </c>
      <c r="E583" s="2">
        <v>13.3659724603766</v>
      </c>
      <c r="F583" s="2">
        <v>2.5623101666487097E-4</v>
      </c>
      <c r="G583" s="2">
        <v>1.8166594742678399E-2</v>
      </c>
      <c r="H583" s="2" t="s">
        <v>5946</v>
      </c>
      <c r="I583" s="2" t="s">
        <v>94</v>
      </c>
      <c r="J583" s="2" t="str">
        <f>HYPERLINK("https://vectorbase.org/vectorbase/app/record/gene/AGAP029660","AGAP029660-RA")</f>
        <v>AGAP029660-RA</v>
      </c>
      <c r="K583" s="2" t="str">
        <f>HYPERLINK(".\links\pep\AGAP029660-PA-pep.txt","AGAP029660-PA")</f>
        <v>AGAP029660-PA</v>
      </c>
      <c r="L583" s="12" t="s">
        <v>95</v>
      </c>
      <c r="M583" s="2">
        <v>858</v>
      </c>
      <c r="N583" s="2">
        <v>0</v>
      </c>
      <c r="O583" s="2">
        <v>3</v>
      </c>
      <c r="P583" s="2" t="s">
        <v>5947</v>
      </c>
      <c r="Q583" s="9" t="s">
        <v>5948</v>
      </c>
      <c r="R583" s="2" t="s">
        <v>5949</v>
      </c>
      <c r="S583" s="2" t="str">
        <f>HYPERLINK(".\links\SWISSP\AGAP029660-PA-SWISSP.txt","SWISSP")</f>
        <v>SWISSP</v>
      </c>
      <c r="T583" s="2">
        <v>2.9999999999999999E-16</v>
      </c>
      <c r="U583" s="2">
        <v>96.5</v>
      </c>
      <c r="V583" s="2" t="s">
        <v>5950</v>
      </c>
      <c r="W583" s="10" t="s">
        <v>5951</v>
      </c>
      <c r="X583" s="2" t="s">
        <v>5949</v>
      </c>
      <c r="Y583" s="2" t="str">
        <f>HYPERLINK(".\links\ARTHORPODA\AGAP029660-PA-ARTHORPODA.txt","ARTHORPODA")</f>
        <v>ARTHORPODA</v>
      </c>
      <c r="Z583" s="2">
        <v>0</v>
      </c>
      <c r="AA583" s="2">
        <v>100</v>
      </c>
      <c r="AB583" s="13" t="str">
        <f>HYPERLINK(".\links\pep\AGAP029660-PA-sulf.txt","1")</f>
        <v>1</v>
      </c>
      <c r="AC583" s="13" t="str">
        <f>HYPERLINK(".\links\Sigp\AGAP029660-PA-SigP.txt","SIG")</f>
        <v>SIG</v>
      </c>
      <c r="AD583" s="2" t="s">
        <v>150</v>
      </c>
      <c r="AE583" s="2">
        <v>92.031000000000006</v>
      </c>
      <c r="AF583" s="2">
        <v>4.34</v>
      </c>
      <c r="AG583" s="2">
        <v>89.611999999999995</v>
      </c>
      <c r="AH583" s="2">
        <v>4.33</v>
      </c>
      <c r="AI583" s="2" t="s">
        <v>5952</v>
      </c>
      <c r="AJ583" s="13" t="str">
        <f>HYPERLINK(".\links\tmhmm\AGAP029660-PA-tmhmm.txt","1")</f>
        <v>1</v>
      </c>
      <c r="AK583" s="2">
        <v>2.6</v>
      </c>
      <c r="AL583" s="2">
        <v>96.6</v>
      </c>
      <c r="AM583" s="2">
        <v>0.8</v>
      </c>
      <c r="AN583" s="9" t="str">
        <f>HYPERLINK(".\links\gpi\AGAP029660-PA-gpi.txt","N")</f>
        <v>N</v>
      </c>
      <c r="AO583" s="14" t="str">
        <f>HYPERLINK(".\links\netoglyc\AGAP029660-PA-netoglyc.txt","11")</f>
        <v>11</v>
      </c>
      <c r="AP583" s="13">
        <v>16.8</v>
      </c>
      <c r="AQ583" s="2">
        <v>4.3</v>
      </c>
      <c r="AR583" s="2">
        <v>6.3</v>
      </c>
      <c r="AS583" s="2" t="s">
        <v>104</v>
      </c>
      <c r="AT583" s="9" t="str">
        <f>HYPERLINK(".\links\NR-LIGHT\AGAP029660-PA-NR-LIGHT.txt","AGAP000581-PA")</f>
        <v>AGAP000581-PA</v>
      </c>
      <c r="AU583" s="2" t="str">
        <f>HYPERLINK("http://www.ncbi.nlm.nih.gov/sutils/blink.cgi?pid=XP_001237260.2","0.0")</f>
        <v>0.0</v>
      </c>
      <c r="AV583" s="2" t="str">
        <f>HYPERLINK("http://www.ncbi.nlm.nih.gov/protein/XP_001237260.2","XP_001237260.2")</f>
        <v>XP_001237260.2</v>
      </c>
      <c r="AW583" s="2">
        <v>100</v>
      </c>
      <c r="AX583" s="2">
        <v>100</v>
      </c>
      <c r="AY583" s="2">
        <v>100</v>
      </c>
      <c r="AZ583" s="2" t="s">
        <v>105</v>
      </c>
      <c r="BA583" s="9" t="str">
        <f>HYPERLINK(".\links\REFSEQ-INVERTEBRATE\AGAP029660-PA-REFSEQ-INVERTEBRATE.txt","AGAP000581-PA")</f>
        <v>AGAP000581-PA</v>
      </c>
      <c r="BB583" s="2" t="str">
        <f>HYPERLINK("http://www.ncbi.nlm.nih.gov/sutils/blink.cgi?pid=XP_001237260.2","0.0")</f>
        <v>0.0</v>
      </c>
      <c r="BC583" s="2" t="str">
        <f>HYPERLINK("http://www.ncbi.nlm.nih.gov/protein/XP_001237260.2","XP_001237260.2")</f>
        <v>XP_001237260.2</v>
      </c>
      <c r="BD583" s="2">
        <v>100</v>
      </c>
      <c r="BE583" s="2">
        <v>100</v>
      </c>
      <c r="BF583" s="2">
        <v>100</v>
      </c>
      <c r="BG583" s="2" t="s">
        <v>105</v>
      </c>
      <c r="BH583" s="9" t="str">
        <f>HYPERLINK(".\links\REFSEQ-PROTOZOA\AGAP029660-PA-REFSEQ-PROTOZOA.txt","hypothetical protein CAOG_03450")</f>
        <v>hypothetical protein CAOG_03450</v>
      </c>
      <c r="BI583" s="2" t="str">
        <f>HYPERLINK("http://www.ncbi.nlm.nih.gov/sutils/blink.cgi?pid=XP_004364289.2","2E-019")</f>
        <v>2E-019</v>
      </c>
      <c r="BJ583" s="2" t="str">
        <f>HYPERLINK("http://www.ncbi.nlm.nih.gov/protein/XP_004364289.2","XP_004364289.2")</f>
        <v>XP_004364289.2</v>
      </c>
      <c r="BK583" s="2">
        <v>22</v>
      </c>
      <c r="BL583" s="2">
        <v>39</v>
      </c>
      <c r="BM583" s="2">
        <v>58</v>
      </c>
      <c r="BN583" s="2" t="s">
        <v>106</v>
      </c>
      <c r="BO583" s="9" t="str">
        <f>HYPERLINK(".\links\SWISSP\AGAP029660-PA-SWISSP.txt","General odorant-binding protein 45")</f>
        <v>General odorant-binding protein 45</v>
      </c>
      <c r="BP583" s="2" t="str">
        <f>HYPERLINK("http://www.uniprot.org/uniprot/Q16S34","3E-016")</f>
        <v>3E-016</v>
      </c>
      <c r="BQ583" s="2" t="str">
        <f>HYPERLINK("http://www.uniprot.org/uniprot/Q16S34#expression","Q16S34")</f>
        <v>Q16S34</v>
      </c>
      <c r="BR583" s="2">
        <v>27</v>
      </c>
      <c r="BS583" s="2">
        <v>43</v>
      </c>
      <c r="BT583" s="2">
        <v>97</v>
      </c>
      <c r="BU583" s="2" t="s">
        <v>391</v>
      </c>
      <c r="BV583" s="9" t="str">
        <f>HYPERLINK(".\links\FLYBASE\AGAP029660-PA-FLYBASE.txt","FBpp0304925")</f>
        <v>FBpp0304925</v>
      </c>
      <c r="BW583" s="2" t="str">
        <f>HYPERLINK("http://flybase.org/reports/FBgn0086906#alliance_summary_container","16")</f>
        <v>16</v>
      </c>
      <c r="BX583" s="2">
        <v>15953</v>
      </c>
      <c r="BY583" s="2">
        <v>28</v>
      </c>
      <c r="BZ583" s="2">
        <v>45</v>
      </c>
      <c r="CA583" s="2">
        <v>1</v>
      </c>
      <c r="CB583" s="9" t="str">
        <f>HYPERLINK(".\links\CDD\AGAP029660-PA-CDD.txt","PBP_GOBP, PBP/GOBP family")</f>
        <v>PBP_GOBP, PBP/GOBP family</v>
      </c>
      <c r="CC583" s="15">
        <v>2.9999999999999999E-7</v>
      </c>
      <c r="CD583" s="2">
        <v>91.9</v>
      </c>
      <c r="CE583" s="2" t="s">
        <v>5953</v>
      </c>
      <c r="CF583" s="2" t="s">
        <v>5954</v>
      </c>
      <c r="CG583" s="9" t="str">
        <f>HYPERLINK(".\links\KOG\AGAP029660-PA-KOG.txt","contains ARID domain")</f>
        <v>contains ARID domain</v>
      </c>
      <c r="CH583" s="15">
        <v>4.0000000000000001E-3</v>
      </c>
      <c r="CI583" s="2">
        <v>42.1</v>
      </c>
      <c r="CJ583" s="2" t="s">
        <v>5955</v>
      </c>
      <c r="CK583" s="2" t="s">
        <v>309</v>
      </c>
      <c r="CL583" s="9" t="str">
        <f>HYPERLINK(".\links\PFAM\AGAP029660-PA-PFAM.txt","PBP_GOBP, PBP/GOBP family")</f>
        <v>PBP_GOBP, PBP/GOBP family</v>
      </c>
      <c r="CM583" s="15">
        <v>4.9999999999999998E-8</v>
      </c>
      <c r="CN583" s="2">
        <v>91.9</v>
      </c>
      <c r="CO583" s="2" t="s">
        <v>5953</v>
      </c>
      <c r="CP583" s="9" t="str">
        <f>HYPERLINK(".\links\SMART\AGAP029660-PA-SMART.txt","PhBP, Insect pheromone/odorant binding protein domains")</f>
        <v>PhBP, Insect pheromone/odorant binding protein domains</v>
      </c>
      <c r="CQ583" s="15">
        <v>2.9999999999999997E-4</v>
      </c>
      <c r="CR583" s="2">
        <v>102.9</v>
      </c>
      <c r="CS583" s="2" t="s">
        <v>5956</v>
      </c>
      <c r="CT583" s="2" t="s">
        <v>5950</v>
      </c>
      <c r="CU583" s="2" t="s">
        <v>5950</v>
      </c>
      <c r="CV583" s="2" t="s">
        <v>5950</v>
      </c>
      <c r="CW583" s="2" t="str">
        <f>HYPERLINK(".\links\pep\AGAP029660-PA-pep.txt","AGAP029660-PA")</f>
        <v>AGAP029660-PA</v>
      </c>
      <c r="CX583" s="2" t="s">
        <v>95</v>
      </c>
      <c r="CY583" s="2">
        <v>858</v>
      </c>
      <c r="CZ583" s="2" t="s">
        <v>113</v>
      </c>
      <c r="DA583" s="2" t="s">
        <v>5957</v>
      </c>
      <c r="DB583" s="2">
        <v>0</v>
      </c>
      <c r="DC583" s="2">
        <v>3</v>
      </c>
      <c r="DD583" s="2" t="str">
        <f>HYPERLINK("https://www.kegg.jp/kegg-bin/search_pathway_text?map=aga&amp;keyword=AGAP029660&amp;mode=1&amp;viewImage=true","AGAP029660")</f>
        <v>AGAP029660</v>
      </c>
      <c r="DE583" s="2" t="s">
        <v>5945</v>
      </c>
      <c r="DF583" s="2" t="s">
        <v>5946</v>
      </c>
      <c r="DG583" s="2" t="s">
        <v>94</v>
      </c>
      <c r="DH583" s="2" t="str">
        <f>HYPERLINK("https://vectorbase.org/vectorbase/app/record/gene/AGAP029660","AGAP029660-RA")</f>
        <v>AGAP029660-RA</v>
      </c>
      <c r="DI583" s="2" t="s">
        <v>118</v>
      </c>
      <c r="DJ583" s="2">
        <v>3202</v>
      </c>
      <c r="DK583" s="2" t="str">
        <f>HYPERLINK(".\links\netoglyc\AGAP029660-PA-netoglyc.txt","11")</f>
        <v>11</v>
      </c>
      <c r="DL583" s="2">
        <v>16.8</v>
      </c>
      <c r="DM583" s="2">
        <v>4.3</v>
      </c>
      <c r="DN583" s="2">
        <v>6.3</v>
      </c>
      <c r="DO583" s="2" t="s">
        <v>104</v>
      </c>
      <c r="DP583" s="2" t="s">
        <v>5958</v>
      </c>
      <c r="DQ583" s="2" t="str">
        <f>HYPERLINK(".\links\Sigp\AGAP029660-PA-SigP.txt","SIG")</f>
        <v>SIG</v>
      </c>
      <c r="DR583" s="2" t="s">
        <v>150</v>
      </c>
      <c r="DS583" s="2">
        <v>92.031000000000006</v>
      </c>
      <c r="DT583" s="2">
        <v>4.34</v>
      </c>
      <c r="DU583" s="2">
        <v>89.611999999999995</v>
      </c>
      <c r="DV583" s="2">
        <v>4.33</v>
      </c>
      <c r="DW583" s="2" t="s">
        <v>5952</v>
      </c>
      <c r="DX583" s="2">
        <v>858</v>
      </c>
      <c r="DY583" s="12" t="str">
        <f>HYPERLINK(".\links\tmhmm\AGAP029660-PA-tmhmm.txt","1")</f>
        <v>1</v>
      </c>
      <c r="DZ583" s="2">
        <v>2.6</v>
      </c>
      <c r="EA583" s="2">
        <v>96.6</v>
      </c>
      <c r="EB583" s="2">
        <v>0.8</v>
      </c>
      <c r="EC583" s="2" t="str">
        <f>HYPERLINK(".\links\gpi\AGAP029660-PA-gpi.txt","Y-NoSP")</f>
        <v>Y-NoSP</v>
      </c>
      <c r="ED583" s="2">
        <v>0.32</v>
      </c>
      <c r="EF583" s="2">
        <v>16</v>
      </c>
      <c r="EG583" s="2" t="str">
        <f>HYPERLINK(".\links\pep\AGAP029660-PA-sulf.txt","1")</f>
        <v>1</v>
      </c>
      <c r="EH583" s="2" t="s">
        <v>102</v>
      </c>
      <c r="EI583" s="2">
        <v>16.783216783216801</v>
      </c>
      <c r="EJ583" s="2">
        <v>6.2937062937062898</v>
      </c>
      <c r="EK583" s="2">
        <v>4.3123543123543104</v>
      </c>
      <c r="EL583" s="2">
        <v>10.6060606060606</v>
      </c>
      <c r="EM583" s="2" t="s">
        <v>102</v>
      </c>
      <c r="EN583" s="2" t="s">
        <v>102</v>
      </c>
      <c r="EO583" s="2">
        <v>1</v>
      </c>
      <c r="EP583" s="2" t="s">
        <v>102</v>
      </c>
      <c r="EQ583" s="2" t="s">
        <v>102</v>
      </c>
      <c r="ER583" s="2" t="s">
        <v>102</v>
      </c>
      <c r="ES583" s="2" t="s">
        <v>102</v>
      </c>
      <c r="ET583" s="2" t="str">
        <f>HYPERLINK(".\links\REFSEQ-INVERTEBRATE\AGAP029660-PA-REFSEQ-INVERTEBRATE.txt","AGAP000581-PA")</f>
        <v>AGAP000581-PA</v>
      </c>
      <c r="EU583" s="2" t="str">
        <f>HYPERLINK("http://www.ncbi.nlm.nih.gov/sutils/blink.cgi?pid=XP_001237260.2","0.0")</f>
        <v>0.0</v>
      </c>
      <c r="EV583" s="2" t="str">
        <f>HYPERLINK("http://www.ncbi.nlm.nih.gov/protein/XP_001237260.2","XP_001237260.2")</f>
        <v>XP_001237260.2</v>
      </c>
      <c r="EW583" s="2">
        <v>100</v>
      </c>
      <c r="EX583" s="2">
        <v>100</v>
      </c>
      <c r="EY583" s="2">
        <v>100</v>
      </c>
      <c r="EZ583" s="2" t="s">
        <v>105</v>
      </c>
    </row>
    <row r="584" spans="1:156" x14ac:dyDescent="0.25">
      <c r="A584" s="2" t="s">
        <v>5959</v>
      </c>
      <c r="B584" s="2">
        <v>-2.0063233151947402</v>
      </c>
      <c r="C584" s="2">
        <f t="shared" si="9"/>
        <v>0.24890665079384541</v>
      </c>
      <c r="D584" s="2">
        <v>3.28300085106582</v>
      </c>
      <c r="E584" s="2">
        <v>17.507979769757199</v>
      </c>
      <c r="F584" s="2">
        <v>2.8610434224028E-5</v>
      </c>
      <c r="G584" s="2">
        <v>6.6268708801854098E-3</v>
      </c>
      <c r="H584" s="2" t="s">
        <v>93</v>
      </c>
      <c r="I584" s="2" t="s">
        <v>94</v>
      </c>
      <c r="J584" s="2" t="str">
        <f>HYPERLINK("https://vectorbase.org/vectorbase/app/record/gene/AGAP008138","AGAP008138-RA")</f>
        <v>AGAP008138-RA</v>
      </c>
      <c r="K584" s="2" t="str">
        <f>HYPERLINK(".\links\pep\AGAP008138-PA-pep.txt","AGAP008138-PA")</f>
        <v>AGAP008138-PA</v>
      </c>
      <c r="L584" s="12" t="s">
        <v>95</v>
      </c>
      <c r="M584" s="2">
        <v>510</v>
      </c>
      <c r="N584" s="2">
        <v>0</v>
      </c>
      <c r="O584" s="2">
        <v>0</v>
      </c>
      <c r="P584" s="2" t="s">
        <v>102</v>
      </c>
      <c r="Q584" s="9" t="s">
        <v>5883</v>
      </c>
      <c r="R584" s="2" t="s">
        <v>5884</v>
      </c>
      <c r="S584" s="2" t="str">
        <f>HYPERLINK(".\links\REFSEQ-INVERTEBRATE\AGAP008138-PA-REFSEQ-INVERTEBRATE.txt","REFSEQ-INVERTEBRATE")</f>
        <v>REFSEQ-INVERTEBRATE</v>
      </c>
      <c r="T584" s="2">
        <v>0</v>
      </c>
      <c r="V584" s="2" t="s">
        <v>5960</v>
      </c>
      <c r="W584" s="10" t="s">
        <v>5883</v>
      </c>
      <c r="X584" s="2" t="s">
        <v>5886</v>
      </c>
      <c r="Y584" s="2" t="str">
        <f>HYPERLINK(".\links\REFSEQ-INVERTEBRATE\AGAP008138-PA-REFSEQ-INVERTEBRATE.txt","REFSEQ-INVERTEBRATE")</f>
        <v>REFSEQ-INVERTEBRATE</v>
      </c>
      <c r="Z584" s="15">
        <v>0</v>
      </c>
      <c r="AA584" s="2">
        <v>100</v>
      </c>
      <c r="AB584" s="13" t="s">
        <v>102</v>
      </c>
      <c r="AC584" s="13" t="str">
        <f>HYPERLINK(".\links\Sigp\AGAP008138-PA-SigP.txt","SIG")</f>
        <v>SIG</v>
      </c>
      <c r="AD584" s="2" t="s">
        <v>150</v>
      </c>
      <c r="AE584" s="2">
        <v>54.921999999999997</v>
      </c>
      <c r="AF584" s="2">
        <v>4.66</v>
      </c>
      <c r="AG584" s="2">
        <v>52.463000000000001</v>
      </c>
      <c r="AH584" s="2">
        <v>4.5999999999999996</v>
      </c>
      <c r="AI584" s="2" t="s">
        <v>5961</v>
      </c>
      <c r="AJ584" s="13">
        <v>0</v>
      </c>
      <c r="AK584" s="2" t="s">
        <v>102</v>
      </c>
      <c r="AL584" s="2" t="s">
        <v>102</v>
      </c>
      <c r="AM584" s="2" t="s">
        <v>102</v>
      </c>
      <c r="AN584" s="13" t="str">
        <f>HYPERLINK(".\links\gpi\AGAP008138-PA-gpi.txt","Y")</f>
        <v>Y</v>
      </c>
      <c r="AO584" s="14" t="str">
        <f>HYPERLINK(".\links\netoglyc\AGAP008138-PA-netoglyc.txt","0")</f>
        <v>0</v>
      </c>
      <c r="AP584" s="13">
        <v>18</v>
      </c>
      <c r="AQ584" s="2">
        <v>4.9000000000000004</v>
      </c>
      <c r="AR584" s="2">
        <v>3.3</v>
      </c>
      <c r="AS584" s="2" t="s">
        <v>104</v>
      </c>
      <c r="AT584" s="9" t="str">
        <f>HYPERLINK(".\links\NR-LIGHT\AGAP008138-PA-NR-LIGHT.txt","hypothetical protein ZHAS_00014418")</f>
        <v>hypothetical protein ZHAS_00014418</v>
      </c>
      <c r="AU584" s="2" t="str">
        <f>HYPERLINK("http://www.ncbi.nlm.nih.gov/sutils/blink.cgi?pid=KFB46419.1","1E-124")</f>
        <v>1E-124</v>
      </c>
      <c r="AV584" s="2" t="str">
        <f>HYPERLINK("http://www.ncbi.nlm.nih.gov/protein/KFB46419.1","KFB46419.1")</f>
        <v>KFB46419.1</v>
      </c>
      <c r="AW584" s="2">
        <v>44</v>
      </c>
      <c r="AX584" s="2">
        <v>65</v>
      </c>
      <c r="AY584" s="2">
        <v>98</v>
      </c>
      <c r="AZ584" s="2" t="s">
        <v>1522</v>
      </c>
      <c r="BA584" s="9" t="str">
        <f>HYPERLINK(".\links\REFSEQ-INVERTEBRATE\AGAP008138-PA-REFSEQ-INVERTEBRATE.txt","AGAP008138-PA, partial")</f>
        <v>AGAP008138-PA, partial</v>
      </c>
      <c r="BB584" s="2" t="str">
        <f>HYPERLINK("http://www.ncbi.nlm.nih.gov/sutils/blink.cgi?pid=XP_555329.2","5E-081")</f>
        <v>5E-081</v>
      </c>
      <c r="BC584" s="2" t="str">
        <f>HYPERLINK("http://www.ncbi.nlm.nih.gov/protein/XP_555329.2","XP_555329.2")</f>
        <v>XP_555329.2</v>
      </c>
      <c r="BD584" s="2">
        <v>100</v>
      </c>
      <c r="BE584" s="2">
        <v>100</v>
      </c>
      <c r="BF584" s="2">
        <v>100</v>
      </c>
      <c r="BG584" s="2" t="s">
        <v>105</v>
      </c>
      <c r="BH584" s="9" t="str">
        <f>HYPERLINK(".\links\REFSEQ-PROTOZOA\AGAP008138-PA-REFSEQ-PROTOZOA.txt","hypothetical protein JH06_3373")</f>
        <v>hypothetical protein JH06_3373</v>
      </c>
      <c r="BI584" s="2" t="str">
        <f>HYPERLINK("http://www.ncbi.nlm.nih.gov/sutils/blink.cgi?pid=XP_014527187.1","0.018")</f>
        <v>0.018</v>
      </c>
      <c r="BJ584" s="2" t="str">
        <f>HYPERLINK("http://www.ncbi.nlm.nih.gov/protein/XP_014527187.1","XP_014527187.1")</f>
        <v>XP_014527187.1</v>
      </c>
      <c r="BK584" s="2">
        <v>19</v>
      </c>
      <c r="BL584" s="2">
        <v>44</v>
      </c>
      <c r="BM584" s="2">
        <v>13</v>
      </c>
      <c r="BN584" s="2" t="s">
        <v>3057</v>
      </c>
      <c r="BO584" s="9" t="str">
        <f>HYPERLINK(".\links\SWISSP\AGAP008138-PA-SWISSP.txt","3-phosphoshikimate 1-carboxyvinyltransferase")</f>
        <v>3-phosphoshikimate 1-carboxyvinyltransferase</v>
      </c>
      <c r="BP584" s="2" t="str">
        <f>HYPERLINK("http://www.uniprot.org/uniprot/Q9CEU0","0.38")</f>
        <v>0.38</v>
      </c>
      <c r="BQ584" s="2" t="str">
        <f>HYPERLINK("http://www.uniprot.org/uniprot/Q9CEU0#expression","Q9CEU0")</f>
        <v>Q9CEU0</v>
      </c>
      <c r="BR584" s="2">
        <v>21</v>
      </c>
      <c r="BS584" s="2">
        <v>40</v>
      </c>
      <c r="BT584" s="2">
        <v>39</v>
      </c>
      <c r="BU584" s="2" t="s">
        <v>5962</v>
      </c>
      <c r="BV584" s="9" t="str">
        <f>HYPERLINK(".\links\FLYBASE\AGAP008138-PA-FLYBASE.txt","FBpp0309047")</f>
        <v>FBpp0309047</v>
      </c>
      <c r="BW584" s="2" t="str">
        <f>HYPERLINK("http://flybase.org/reports/FBgn0003950#alliance_summary_container","2.4")</f>
        <v>2.4</v>
      </c>
      <c r="BX584" s="2">
        <v>1386</v>
      </c>
      <c r="BY584" s="2">
        <v>25</v>
      </c>
      <c r="BZ584" s="2">
        <v>58</v>
      </c>
      <c r="CA584" s="2">
        <v>4</v>
      </c>
      <c r="CB584" s="9" t="str">
        <f>HYPERLINK(".\links\CDD\AGAP008138-PA-CDD.txt","COG5283:_Phage-related_tail_protein, phage tail tape measure protein, TP901 family, core region")</f>
        <v>COG5283:_Phage-related_tail_protein, phage tail tape measure protein, TP901 family, core region</v>
      </c>
      <c r="CC584" s="15">
        <v>2.8000000000000001E-2</v>
      </c>
      <c r="CD584" s="2">
        <v>47.7</v>
      </c>
      <c r="CE584" s="2" t="s">
        <v>5963</v>
      </c>
      <c r="CF584" s="2" t="s">
        <v>5964</v>
      </c>
      <c r="CG584" s="9" t="str">
        <f>HYPERLINK(".\links\KOG\AGAP008138-PA-KOG.txt","Cullin 2 component")</f>
        <v>Cullin 2 component</v>
      </c>
      <c r="CH584" s="15">
        <v>4.0999999999999996</v>
      </c>
      <c r="CI584" s="2">
        <v>11</v>
      </c>
      <c r="CJ584" s="2" t="s">
        <v>5965</v>
      </c>
      <c r="CK584" s="2" t="s">
        <v>111</v>
      </c>
      <c r="CL584" s="9" t="str">
        <f>HYPERLINK(".\links\PFAM\AGAP008138-PA-PFAM.txt","PhageMin_Tail, Phage-related minor tail protein")</f>
        <v>PhageMin_Tail, Phage-related minor tail protein</v>
      </c>
      <c r="CM584" s="15">
        <v>0.13</v>
      </c>
      <c r="CN584" s="2">
        <v>61.5</v>
      </c>
      <c r="CO584" s="2" t="s">
        <v>5966</v>
      </c>
      <c r="CP584" s="9" t="str">
        <f>HYPERLINK(".\links\SMART\AGAP008138-PA-SMART.txt","BAR, BAR domain")</f>
        <v>BAR, BAR domain</v>
      </c>
      <c r="CQ584" s="15">
        <v>0.11</v>
      </c>
      <c r="CR584" s="2">
        <v>49</v>
      </c>
      <c r="CS584" s="2" t="s">
        <v>2787</v>
      </c>
      <c r="CT584" s="2" t="s">
        <v>5960</v>
      </c>
      <c r="CU584" s="2" t="s">
        <v>5960</v>
      </c>
      <c r="CV584" s="2" t="s">
        <v>5960</v>
      </c>
      <c r="CW584" s="2" t="str">
        <f>HYPERLINK(".\links\pep\AGAP008138-PA-pep.txt","AGAP008138-PA")</f>
        <v>AGAP008138-PA</v>
      </c>
      <c r="CX584" s="2" t="s">
        <v>95</v>
      </c>
      <c r="CY584" s="2">
        <v>510</v>
      </c>
      <c r="CZ584" s="2" t="s">
        <v>113</v>
      </c>
      <c r="DA584" s="2" t="s">
        <v>5967</v>
      </c>
      <c r="DB584" s="2">
        <v>0</v>
      </c>
      <c r="DC584" s="2">
        <v>0</v>
      </c>
      <c r="DD584" s="2" t="str">
        <f>HYPERLINK("https://www.kegg.jp/kegg-bin/search_pathway_text?map=aga&amp;keyword=AGAP008138&amp;mode=1&amp;viewImage=true","AGAP008138")</f>
        <v>AGAP008138</v>
      </c>
      <c r="DE584" s="2" t="s">
        <v>5959</v>
      </c>
      <c r="DF584" s="2" t="s">
        <v>93</v>
      </c>
      <c r="DG584" s="2" t="s">
        <v>94</v>
      </c>
      <c r="DH584" s="2" t="str">
        <f>HYPERLINK("https://vectorbase.org/vectorbase/app/record/gene/AGAP008138","AGAP008138-RA")</f>
        <v>AGAP008138-RA</v>
      </c>
      <c r="DI584" s="2" t="s">
        <v>135</v>
      </c>
      <c r="DJ584" s="2">
        <v>1533</v>
      </c>
      <c r="DK584" s="2" t="str">
        <f>HYPERLINK(".\links\netoglyc\AGAP008138-PA-netoglyc.txt","0")</f>
        <v>0</v>
      </c>
      <c r="DL584" s="2">
        <v>18</v>
      </c>
      <c r="DM584" s="2">
        <v>4.9000000000000004</v>
      </c>
      <c r="DN584" s="2">
        <v>3.3</v>
      </c>
      <c r="DO584" s="2" t="s">
        <v>104</v>
      </c>
      <c r="DP584" s="2" t="s">
        <v>102</v>
      </c>
      <c r="DQ584" s="2" t="str">
        <f>HYPERLINK(".\links\Sigp\AGAP008138-PA-SigP.txt","SIG")</f>
        <v>SIG</v>
      </c>
      <c r="DR584" s="2" t="s">
        <v>150</v>
      </c>
      <c r="DS584" s="2">
        <v>54.921999999999997</v>
      </c>
      <c r="DT584" s="2">
        <v>4.66</v>
      </c>
      <c r="DU584" s="2">
        <v>52.463000000000001</v>
      </c>
      <c r="DV584" s="2">
        <v>4.5999999999999996</v>
      </c>
      <c r="DW584" s="2" t="s">
        <v>5961</v>
      </c>
      <c r="DX584" s="2">
        <v>510</v>
      </c>
      <c r="DY584" s="12">
        <v>0</v>
      </c>
      <c r="DZ584" s="2" t="s">
        <v>102</v>
      </c>
      <c r="EA584" s="2" t="s">
        <v>102</v>
      </c>
      <c r="EB584" s="2" t="s">
        <v>102</v>
      </c>
      <c r="EC584" s="2" t="str">
        <f>HYPERLINK(".\links\gpi\AGAP008138-PA-gpi.txt","Y-NoSP")</f>
        <v>Y-NoSP</v>
      </c>
      <c r="ED584" s="2">
        <v>0.31</v>
      </c>
      <c r="EF584" s="2">
        <v>7</v>
      </c>
      <c r="EG584" s="2" t="s">
        <v>102</v>
      </c>
      <c r="EH584" s="2" t="s">
        <v>102</v>
      </c>
      <c r="EI584" s="2">
        <v>18.039215686274499</v>
      </c>
      <c r="EJ584" s="2">
        <v>3.3333333333333299</v>
      </c>
      <c r="EK584" s="2">
        <v>4.9019607843137303</v>
      </c>
      <c r="EL584" s="2">
        <v>8.2352941176470598</v>
      </c>
      <c r="EM584" s="2" t="s">
        <v>102</v>
      </c>
      <c r="EN584" s="2" t="s">
        <v>102</v>
      </c>
      <c r="EO584" s="2" t="s">
        <v>102</v>
      </c>
      <c r="EP584" s="2" t="s">
        <v>102</v>
      </c>
      <c r="EQ584" s="2" t="s">
        <v>102</v>
      </c>
      <c r="ER584" s="2" t="s">
        <v>102</v>
      </c>
      <c r="ES584" s="2" t="s">
        <v>102</v>
      </c>
      <c r="ET584" s="2" t="str">
        <f>HYPERLINK(".\links\REFSEQ-INVERTEBRATE\AGAP008138-PA-REFSEQ-INVERTEBRATE.txt","uncharacterized protein LOC118513715")</f>
        <v>uncharacterized protein LOC118513715</v>
      </c>
      <c r="EU584" s="2" t="str">
        <f>HYPERLINK("http://www.ncbi.nlm.nih.gov/sutils/blink.cgi?pid=XP_035915742.1","0.0")</f>
        <v>0.0</v>
      </c>
      <c r="EV584" s="2" t="str">
        <f>HYPERLINK("http://www.ncbi.nlm.nih.gov/protein/XP_035915742.1","XP_035915742.1")</f>
        <v>XP_035915742.1</v>
      </c>
      <c r="EW584" s="2">
        <v>61</v>
      </c>
      <c r="EX584" s="2">
        <v>76</v>
      </c>
      <c r="EY584" s="2">
        <v>100</v>
      </c>
      <c r="EZ584" s="2" t="s">
        <v>370</v>
      </c>
    </row>
    <row r="585" spans="1:156" x14ac:dyDescent="0.25">
      <c r="A585" s="2" t="s">
        <v>5968</v>
      </c>
      <c r="B585" s="2">
        <v>-2.0283530452172398</v>
      </c>
      <c r="C585" s="2">
        <f t="shared" si="9"/>
        <v>0.24513475616745936</v>
      </c>
      <c r="D585" s="2">
        <v>0.94849092783699396</v>
      </c>
      <c r="E585" s="2">
        <v>9.6456542575649795</v>
      </c>
      <c r="F585" s="2">
        <v>1.8980008227464701E-3</v>
      </c>
      <c r="G585" s="2">
        <v>4.2510904791287503E-2</v>
      </c>
      <c r="H585" s="2" t="s">
        <v>93</v>
      </c>
      <c r="I585" s="2" t="s">
        <v>94</v>
      </c>
      <c r="J585" s="2" t="str">
        <f>HYPERLINK("https://vectorbase.org/vectorbase/app/record/gene/AGAP006275","AGAP006275-RA")</f>
        <v>AGAP006275-RA</v>
      </c>
      <c r="K585" s="2" t="str">
        <f>HYPERLINK(".\links\pep\AGAP006275-PA-pep.txt","AGAP006275-PA")</f>
        <v>AGAP006275-PA</v>
      </c>
      <c r="L585" s="12" t="s">
        <v>95</v>
      </c>
      <c r="M585" s="2">
        <v>255</v>
      </c>
      <c r="N585" s="2">
        <v>0</v>
      </c>
      <c r="O585" s="2">
        <v>0</v>
      </c>
      <c r="P585" s="2" t="s">
        <v>102</v>
      </c>
      <c r="Q585" s="9" t="s">
        <v>226</v>
      </c>
      <c r="R585" s="2" t="s">
        <v>227</v>
      </c>
      <c r="S585" s="2" t="str">
        <f>HYPERLINK(".\links\REFSEQ-INVERTEBRATE\AGAP006275-PA-REFSEQ-INVERTEBRATE.txt","REFSEQ-INVERTEBRATE")</f>
        <v>REFSEQ-INVERTEBRATE</v>
      </c>
      <c r="T585" s="2">
        <v>0</v>
      </c>
      <c r="V585" s="2" t="s">
        <v>5969</v>
      </c>
      <c r="W585" s="10" t="s">
        <v>226</v>
      </c>
      <c r="X585" s="2" t="s">
        <v>227</v>
      </c>
      <c r="Y585" s="2" t="str">
        <f>HYPERLINK(".\links\REFSEQ-INVERTEBRATE\AGAP006275-PA-REFSEQ-INVERTEBRATE.txt","REFSEQ-INVERTEBRATE")</f>
        <v>REFSEQ-INVERTEBRATE</v>
      </c>
      <c r="Z585" s="2">
        <v>0</v>
      </c>
      <c r="AA585" s="2">
        <v>100</v>
      </c>
      <c r="AB585" s="13" t="str">
        <f>HYPERLINK(".\links\pep\AGAP006275-PA-sulf.txt","1")</f>
        <v>1</v>
      </c>
      <c r="AC585" s="13" t="str">
        <f>HYPERLINK(".\links\Sigp\AGAP006275-PA-SigP.txt","SIG")</f>
        <v>SIG</v>
      </c>
      <c r="AD585" s="2" t="s">
        <v>228</v>
      </c>
      <c r="AE585" s="2">
        <v>28.747</v>
      </c>
      <c r="AF585" s="2">
        <v>4.34</v>
      </c>
      <c r="AG585" s="2">
        <v>26.597000000000001</v>
      </c>
      <c r="AH585" s="2">
        <v>4.29</v>
      </c>
      <c r="AI585" s="2" t="s">
        <v>5970</v>
      </c>
      <c r="AJ585" s="13">
        <v>0</v>
      </c>
      <c r="AK585" s="2" t="s">
        <v>102</v>
      </c>
      <c r="AL585" s="2" t="s">
        <v>102</v>
      </c>
      <c r="AM585" s="2" t="s">
        <v>102</v>
      </c>
      <c r="AN585" s="13" t="str">
        <f>HYPERLINK(".\links\gpi\AGAP006275-PA-gpi.txt","N")</f>
        <v>N</v>
      </c>
      <c r="AO585" s="14" t="str">
        <f>HYPERLINK(".\links\netoglyc\AGAP006275-PA-netoglyc.txt","0")</f>
        <v>0</v>
      </c>
      <c r="AP585" s="13">
        <v>14.1</v>
      </c>
      <c r="AQ585" s="2">
        <v>3.1</v>
      </c>
      <c r="AR585" s="2">
        <v>3.5</v>
      </c>
      <c r="AS585" s="2" t="s">
        <v>104</v>
      </c>
      <c r="AT585" s="9" t="str">
        <f>HYPERLINK(".\links\NR-LIGHT\AGAP006275-PA-NR-LIGHT.txt","AGAP006275-PA")</f>
        <v>AGAP006275-PA</v>
      </c>
      <c r="AU585" s="2" t="str">
        <f>HYPERLINK("http://www.ncbi.nlm.nih.gov/sutils/blink.cgi?pid=XP_316340.2","1E-145")</f>
        <v>1E-145</v>
      </c>
      <c r="AV585" s="2" t="str">
        <f>HYPERLINK("http://www.ncbi.nlm.nih.gov/protein/XP_316340.2","XP_316340.2")</f>
        <v>XP_316340.2</v>
      </c>
      <c r="AW585" s="2">
        <v>100</v>
      </c>
      <c r="AX585" s="2">
        <v>100</v>
      </c>
      <c r="AY585" s="2">
        <v>100</v>
      </c>
      <c r="AZ585" s="2" t="s">
        <v>105</v>
      </c>
      <c r="BA585" s="9" t="str">
        <f>HYPERLINK(".\links\REFSEQ-INVERTEBRATE\AGAP006275-PA-REFSEQ-INVERTEBRATE.txt","AGAP006275-PA")</f>
        <v>AGAP006275-PA</v>
      </c>
      <c r="BB585" s="2" t="str">
        <f>HYPERLINK("http://www.ncbi.nlm.nih.gov/sutils/blink.cgi?pid=XP_316340.2","1E-145")</f>
        <v>1E-145</v>
      </c>
      <c r="BC585" s="2" t="str">
        <f>HYPERLINK("http://www.ncbi.nlm.nih.gov/protein/XP_316340.2","XP_316340.2")</f>
        <v>XP_316340.2</v>
      </c>
      <c r="BD585" s="2">
        <v>100</v>
      </c>
      <c r="BE585" s="2">
        <v>100</v>
      </c>
      <c r="BF585" s="2">
        <v>100</v>
      </c>
      <c r="BG585" s="2" t="s">
        <v>105</v>
      </c>
      <c r="BH585" s="9" t="str">
        <f>HYPERLINK(".\links\REFSEQ-PROTOZOA\AGAP006275-PA-REFSEQ-PROTOZOA.txt","transmembrane protein, putative")</f>
        <v>transmembrane protein, putative</v>
      </c>
      <c r="BI585" s="2" t="str">
        <f>HYPERLINK("http://www.ncbi.nlm.nih.gov/sutils/blink.cgi?pid=XP_002899415.1","0.60")</f>
        <v>0.60</v>
      </c>
      <c r="BJ585" s="2" t="str">
        <f>HYPERLINK("http://www.ncbi.nlm.nih.gov/protein/XP_002899415.1","XP_002899415.1")</f>
        <v>XP_002899415.1</v>
      </c>
      <c r="BK585" s="2">
        <v>31</v>
      </c>
      <c r="BL585" s="2">
        <v>52</v>
      </c>
      <c r="BM585" s="2">
        <v>7</v>
      </c>
      <c r="BN585" s="2" t="s">
        <v>857</v>
      </c>
      <c r="BO585" s="9" t="str">
        <f>HYPERLINK(".\links\SWISSP\AGAP006275-PA-SWISSP.txt","27 kDa glycoprotein")</f>
        <v>27 kDa glycoprotein</v>
      </c>
      <c r="BP585" s="2" t="str">
        <f>HYPERLINK("http://www.uniprot.org/uniprot/Q8T113","2E-004")</f>
        <v>2E-004</v>
      </c>
      <c r="BQ585" s="2" t="str">
        <f>HYPERLINK("http://www.uniprot.org/uniprot/Q8T113#expression","Q8T113")</f>
        <v>Q8T113</v>
      </c>
      <c r="BR585" s="2">
        <v>19</v>
      </c>
      <c r="BS585" s="2">
        <v>37</v>
      </c>
      <c r="BT585" s="2">
        <v>85</v>
      </c>
      <c r="BU585" s="2" t="s">
        <v>392</v>
      </c>
      <c r="BV585" s="9" t="str">
        <f>HYPERLINK(".\links\FLYBASE\AGAP006275-PA-FLYBASE.txt","FBpp0304144")</f>
        <v>FBpp0304144</v>
      </c>
      <c r="BW585" s="2" t="str">
        <f>HYPERLINK("http://flybase.org/reports/FBgn0030740#alliance_summary_container","7E-09")</f>
        <v>7E-09</v>
      </c>
      <c r="BX585" s="2">
        <v>301</v>
      </c>
      <c r="BY585" s="2">
        <v>21</v>
      </c>
      <c r="BZ585" s="2">
        <v>40</v>
      </c>
      <c r="CA585" s="2">
        <v>67</v>
      </c>
      <c r="CB585" s="9" t="str">
        <f>HYPERLINK(".\links\CDD\AGAP006275-PA-CDD.txt","DUF1397, Protein of unknown function (DUF1397)")</f>
        <v>DUF1397, Protein of unknown function (DUF1397)</v>
      </c>
      <c r="CC585" s="15">
        <v>5.0000000000000001E-60</v>
      </c>
      <c r="CD585" s="2">
        <v>100</v>
      </c>
      <c r="CE585" s="2" t="s">
        <v>5971</v>
      </c>
      <c r="CF585" s="2" t="s">
        <v>5972</v>
      </c>
      <c r="CG585" s="9" t="str">
        <f>HYPERLINK(".\links\KOG\AGAP006275-PA-KOG.txt","Cullin 2 component")</f>
        <v>Cullin 2 component</v>
      </c>
      <c r="CH585" s="15">
        <v>0.16</v>
      </c>
      <c r="CI585" s="2">
        <v>8.5</v>
      </c>
      <c r="CJ585" s="2" t="s">
        <v>5965</v>
      </c>
      <c r="CK585" s="2" t="s">
        <v>111</v>
      </c>
      <c r="CL585" s="9" t="str">
        <f>HYPERLINK(".\links\PFAM\AGAP006275-PA-PFAM.txt","DUF1397, Protein of unknown function (DUF1397)")</f>
        <v>DUF1397, Protein of unknown function (DUF1397)</v>
      </c>
      <c r="CM585" s="15">
        <v>9.9999999999999997E-61</v>
      </c>
      <c r="CN585" s="2">
        <v>100</v>
      </c>
      <c r="CO585" s="2" t="s">
        <v>5971</v>
      </c>
      <c r="CP585" s="9" t="str">
        <f>HYPERLINK(".\links\SMART\AGAP006275-PA-SMART.txt","IL4_13, Interleukins 4 and 13")</f>
        <v>IL4_13, Interleukins 4 and 13</v>
      </c>
      <c r="CQ585" s="15">
        <v>2.6</v>
      </c>
      <c r="CR585" s="2">
        <v>34.799999999999997</v>
      </c>
      <c r="CS585" s="2" t="s">
        <v>2986</v>
      </c>
      <c r="CT585" s="2" t="s">
        <v>5969</v>
      </c>
      <c r="CU585" s="2" t="s">
        <v>5969</v>
      </c>
      <c r="CV585" s="2" t="s">
        <v>5969</v>
      </c>
      <c r="CW585" s="2" t="str">
        <f>HYPERLINK(".\links\pep\AGAP006275-PA-pep.txt","AGAP006275-PA")</f>
        <v>AGAP006275-PA</v>
      </c>
      <c r="CX585" s="2" t="s">
        <v>95</v>
      </c>
      <c r="CY585" s="2">
        <v>255</v>
      </c>
      <c r="CZ585" s="2" t="s">
        <v>113</v>
      </c>
      <c r="DA585" s="2" t="s">
        <v>5973</v>
      </c>
      <c r="DB585" s="2">
        <v>0</v>
      </c>
      <c r="DC585" s="2">
        <v>0</v>
      </c>
      <c r="DD585" s="2" t="str">
        <f>HYPERLINK("https://www.kegg.jp/kegg-bin/search_pathway_text?map=aga&amp;keyword=AGAP006275&amp;mode=1&amp;viewImage=true","AGAP006275")</f>
        <v>AGAP006275</v>
      </c>
      <c r="DE585" s="2" t="s">
        <v>5968</v>
      </c>
      <c r="DF585" s="2" t="s">
        <v>93</v>
      </c>
      <c r="DG585" s="2" t="s">
        <v>94</v>
      </c>
      <c r="DH585" s="2" t="str">
        <f>HYPERLINK("https://vectorbase.org/vectorbase/app/record/gene/AGAP006275","AGAP006275-RA")</f>
        <v>AGAP006275-RA</v>
      </c>
      <c r="DI585" s="2" t="s">
        <v>118</v>
      </c>
      <c r="DJ585" s="2">
        <v>934</v>
      </c>
      <c r="DK585" s="2" t="str">
        <f>HYPERLINK(".\links\netoglyc\AGAP006275-PA-netoglyc.txt","0")</f>
        <v>0</v>
      </c>
      <c r="DL585" s="2">
        <v>14.1</v>
      </c>
      <c r="DM585" s="2">
        <v>3.1</v>
      </c>
      <c r="DN585" s="2">
        <v>3.5</v>
      </c>
      <c r="DO585" s="2" t="s">
        <v>104</v>
      </c>
      <c r="DP585" s="2" t="s">
        <v>5974</v>
      </c>
      <c r="DQ585" s="2" t="str">
        <f>HYPERLINK(".\links\Sigp\AGAP006275-PA-SigP.txt","SIG")</f>
        <v>SIG</v>
      </c>
      <c r="DR585" s="2" t="s">
        <v>228</v>
      </c>
      <c r="DS585" s="2">
        <v>28.747</v>
      </c>
      <c r="DT585" s="2">
        <v>4.34</v>
      </c>
      <c r="DU585" s="2">
        <v>26.597000000000001</v>
      </c>
      <c r="DV585" s="2">
        <v>4.29</v>
      </c>
      <c r="DW585" s="2" t="s">
        <v>5970</v>
      </c>
      <c r="DX585" s="2">
        <v>255</v>
      </c>
      <c r="DY585" s="12">
        <v>0</v>
      </c>
      <c r="DZ585" s="2" t="s">
        <v>102</v>
      </c>
      <c r="EA585" s="2" t="s">
        <v>102</v>
      </c>
      <c r="EB585" s="2" t="s">
        <v>102</v>
      </c>
      <c r="EC585" s="2" t="str">
        <f>HYPERLINK(".\links\gpi\AGAP006275-PA-gpi.txt","N")</f>
        <v>N</v>
      </c>
      <c r="ED585" s="2">
        <v>0.31</v>
      </c>
      <c r="EF585" s="2">
        <v>12</v>
      </c>
      <c r="EG585" s="2" t="str">
        <f>HYPERLINK(".\links\pep\AGAP006275-PA-sulf.txt","1")</f>
        <v>1</v>
      </c>
      <c r="EH585" s="2" t="s">
        <v>102</v>
      </c>
      <c r="EI585" s="2">
        <v>14.117647058823501</v>
      </c>
      <c r="EJ585" s="2">
        <v>3.52941176470588</v>
      </c>
      <c r="EK585" s="2">
        <v>3.1372549019607798</v>
      </c>
      <c r="EL585" s="2">
        <v>6.6666666666666696</v>
      </c>
      <c r="EM585" s="2" t="s">
        <v>102</v>
      </c>
      <c r="EN585" s="2" t="s">
        <v>102</v>
      </c>
      <c r="EO585" s="2" t="s">
        <v>102</v>
      </c>
      <c r="EP585" s="2" t="s">
        <v>102</v>
      </c>
      <c r="EQ585" s="2" t="s">
        <v>102</v>
      </c>
      <c r="ER585" s="2" t="s">
        <v>102</v>
      </c>
      <c r="ES585" s="2" t="s">
        <v>102</v>
      </c>
      <c r="ET585" s="2" t="str">
        <f>HYPERLINK(".\links\REFSEQ-INVERTEBRATE\AGAP006275-PA-REFSEQ-INVERTEBRATE.txt","AGAP006275-PA")</f>
        <v>AGAP006275-PA</v>
      </c>
      <c r="EU585" s="2" t="str">
        <f>HYPERLINK("http://www.ncbi.nlm.nih.gov/sutils/blink.cgi?pid=XP_316340.2","0.0")</f>
        <v>0.0</v>
      </c>
      <c r="EV585" s="2" t="str">
        <f>HYPERLINK("http://www.ncbi.nlm.nih.gov/protein/XP_316340.2","XP_316340.2")</f>
        <v>XP_316340.2</v>
      </c>
      <c r="EW585" s="2">
        <v>100</v>
      </c>
      <c r="EX585" s="2">
        <v>100</v>
      </c>
      <c r="EY585" s="2">
        <v>100</v>
      </c>
      <c r="EZ585" s="2" t="s">
        <v>105</v>
      </c>
    </row>
    <row r="586" spans="1:156" x14ac:dyDescent="0.25">
      <c r="A586" s="2" t="s">
        <v>5975</v>
      </c>
      <c r="B586" s="2">
        <v>-2.0899354143751898</v>
      </c>
      <c r="C586" s="2">
        <f t="shared" si="9"/>
        <v>0.23489120252333726</v>
      </c>
      <c r="D586" s="2">
        <v>2.5725541761399899</v>
      </c>
      <c r="E586" s="2">
        <v>26.7823130585389</v>
      </c>
      <c r="F586" s="2">
        <v>2.2771197857506001E-7</v>
      </c>
      <c r="G586" s="2">
        <v>3.2058593555103201E-4</v>
      </c>
      <c r="H586" s="2" t="s">
        <v>93</v>
      </c>
      <c r="I586" s="2" t="s">
        <v>94</v>
      </c>
      <c r="J586" s="2" t="str">
        <f>HYPERLINK("https://vectorbase.org/vectorbase/app/record/gene/AGAP000017","AGAP000017-RB")</f>
        <v>AGAP000017-RB</v>
      </c>
      <c r="K586" s="2" t="str">
        <f>HYPERLINK(".\links\pep\AGAP000017-PB-pep.txt","AGAP000017-PB")</f>
        <v>AGAP000017-PB</v>
      </c>
      <c r="L586" s="12" t="s">
        <v>95</v>
      </c>
      <c r="M586" s="2">
        <v>3286</v>
      </c>
      <c r="N586" s="2">
        <v>0</v>
      </c>
      <c r="O586" s="2">
        <v>8</v>
      </c>
      <c r="P586" s="2" t="s">
        <v>102</v>
      </c>
      <c r="Q586" s="9" t="s">
        <v>5064</v>
      </c>
      <c r="R586" s="2" t="s">
        <v>355</v>
      </c>
      <c r="S586" s="2" t="str">
        <f>HYPERLINK(".\links\KOG\AGAP000017-PB-KOG.txt","KOG")</f>
        <v>KOG</v>
      </c>
      <c r="T586" s="2">
        <v>1.9999999999999998E-65</v>
      </c>
      <c r="U586" s="2">
        <v>58</v>
      </c>
      <c r="V586" s="2" t="s">
        <v>5976</v>
      </c>
      <c r="W586" s="10" t="s">
        <v>5066</v>
      </c>
      <c r="X586" s="2" t="s">
        <v>181</v>
      </c>
      <c r="Y586" s="2" t="str">
        <f>HYPERLINK(".\links\REFSEQ-PROTOZOA\AGAP000017-PB-REFSEQ-PROTOZOA.txt","REFSEQ-PROTOZOA")</f>
        <v>REFSEQ-PROTOZOA</v>
      </c>
      <c r="Z586" s="15">
        <v>0</v>
      </c>
      <c r="AA586" s="2">
        <v>30.8</v>
      </c>
      <c r="AB586" s="13" t="str">
        <f>HYPERLINK(".\links\pep\AGAP000017-PB-sulf.txt","3")</f>
        <v>3</v>
      </c>
      <c r="AC586" s="13" t="str">
        <f>HYPERLINK(".\links\Sigp\AGAP000017-PB-SigP.txt","CYT")</f>
        <v>CYT</v>
      </c>
      <c r="AD586" s="2" t="s">
        <v>102</v>
      </c>
      <c r="AE586" s="2">
        <v>363.44400000000002</v>
      </c>
      <c r="AF586" s="2">
        <v>5.24</v>
      </c>
      <c r="AG586" s="2" t="s">
        <v>102</v>
      </c>
      <c r="AH586" s="2" t="s">
        <v>102</v>
      </c>
      <c r="AI586" s="2" t="s">
        <v>5067</v>
      </c>
      <c r="AJ586" s="13">
        <v>0</v>
      </c>
      <c r="AK586" s="2" t="s">
        <v>102</v>
      </c>
      <c r="AL586" s="2" t="s">
        <v>102</v>
      </c>
      <c r="AM586" s="2" t="s">
        <v>102</v>
      </c>
      <c r="AN586" s="13" t="str">
        <f>HYPERLINK(".\links\gpi\AGAP000017-PB-gpi.txt","N")</f>
        <v>N</v>
      </c>
      <c r="AO586" s="14" t="str">
        <f>HYPERLINK(".\links\netoglyc\AGAP000017-PB-netoglyc.txt","6")</f>
        <v>6</v>
      </c>
      <c r="AP586" s="13">
        <v>14.8</v>
      </c>
      <c r="AQ586" s="2">
        <v>6.6</v>
      </c>
      <c r="AR586" s="2">
        <v>5.2</v>
      </c>
      <c r="AS586" s="2" t="s">
        <v>104</v>
      </c>
      <c r="AT586" s="9" t="str">
        <f>HYPERLINK(".\links\NR-LIGHT\AGAP000017-PB-NR-LIGHT.txt","neurobeachin isoform X10")</f>
        <v>neurobeachin isoform X10</v>
      </c>
      <c r="AU586" s="2" t="str">
        <f>HYPERLINK("http://www.ncbi.nlm.nih.gov/sutils/blink.cgi?pid=XP_021695104.1","0.0")</f>
        <v>0.0</v>
      </c>
      <c r="AV586" s="2" t="str">
        <f>HYPERLINK("http://www.ncbi.nlm.nih.gov/protein/XP_021695104.1","XP_021695104.1")</f>
        <v>XP_021695104.1</v>
      </c>
      <c r="AW586" s="2">
        <v>76</v>
      </c>
      <c r="AX586" s="2">
        <v>81</v>
      </c>
      <c r="AY586" s="2">
        <v>108</v>
      </c>
      <c r="AZ586" s="2" t="s">
        <v>391</v>
      </c>
      <c r="BA586" s="9" t="str">
        <f>HYPERLINK(".\links\REFSEQ-INVERTEBRATE\AGAP000017-PB-REFSEQ-INVERTEBRATE.txt","AGAP000017-PA")</f>
        <v>AGAP000017-PA</v>
      </c>
      <c r="BB586" s="2" t="str">
        <f>HYPERLINK("http://www.ncbi.nlm.nih.gov/sutils/blink.cgi?pid=XP_311142.5","0.0")</f>
        <v>0.0</v>
      </c>
      <c r="BC586" s="2" t="str">
        <f>HYPERLINK("http://www.ncbi.nlm.nih.gov/protein/XP_311142.5","XP_311142.5")</f>
        <v>XP_311142.5</v>
      </c>
      <c r="BD586" s="2">
        <v>95</v>
      </c>
      <c r="BE586" s="2">
        <v>95</v>
      </c>
      <c r="BF586" s="2">
        <v>39</v>
      </c>
      <c r="BG586" s="2" t="s">
        <v>105</v>
      </c>
      <c r="BH586" s="9" t="str">
        <f>HYPERLINK(".\links\REFSEQ-PROTOZOA\AGAP000017-PB-REFSEQ-PROTOZOA.txt","neutral sphingomyelinase activation associated factor")</f>
        <v>neutral sphingomyelinase activation associated factor</v>
      </c>
      <c r="BI586" s="2" t="str">
        <f>HYPERLINK("http://www.ncbi.nlm.nih.gov/sutils/blink.cgi?pid=XP_004345297.1","0.0")</f>
        <v>0.0</v>
      </c>
      <c r="BJ586" s="2" t="str">
        <f>HYPERLINK("http://www.ncbi.nlm.nih.gov/protein/XP_004345297.1","XP_004345297.1")</f>
        <v>XP_004345297.1</v>
      </c>
      <c r="BK586" s="2">
        <v>35</v>
      </c>
      <c r="BL586" s="2">
        <v>52</v>
      </c>
      <c r="BM586" s="2">
        <v>44</v>
      </c>
      <c r="BN586" s="2" t="s">
        <v>106</v>
      </c>
      <c r="BO586" s="9" t="str">
        <f>HYPERLINK(".\links\SWISSP\AGAP000017-PB-SWISSP.txt","Neurobeachin")</f>
        <v>Neurobeachin</v>
      </c>
      <c r="BP586" s="2" t="str">
        <f>HYPERLINK("http://www.uniprot.org/uniprot/Q9W4E2","0.0")</f>
        <v>0.0</v>
      </c>
      <c r="BQ586" s="2" t="str">
        <f>HYPERLINK("http://www.uniprot.org/uniprot/Q9W4E2#expression","Q9W4E2")</f>
        <v>Q9W4E2</v>
      </c>
      <c r="BR586" s="2">
        <v>63</v>
      </c>
      <c r="BS586" s="2">
        <v>71</v>
      </c>
      <c r="BT586" s="2">
        <v>91</v>
      </c>
      <c r="BU586" s="2" t="s">
        <v>107</v>
      </c>
      <c r="BV586" s="9" t="str">
        <f>HYPERLINK(".\links\FLYBASE\AGAP000017-PB-FLYBASE.txt","FBpp0310996")</f>
        <v>FBpp0310996</v>
      </c>
      <c r="BW586" s="2" t="str">
        <f>HYPERLINK("http://flybase.org/reports/FBgn0266098#alliance_summary_container","0.0")</f>
        <v>0.0</v>
      </c>
      <c r="BX586" s="2">
        <v>3466</v>
      </c>
      <c r="BY586" s="2">
        <v>76</v>
      </c>
      <c r="BZ586" s="2">
        <v>83</v>
      </c>
      <c r="CA586" s="2">
        <v>50</v>
      </c>
      <c r="CB586" s="9" t="str">
        <f>HYPERLINK(".\links\CDD\AGAP000017-PB-CDD.txt","Beach, Beige/BEACH domain")</f>
        <v>Beach, Beige/BEACH domain</v>
      </c>
      <c r="CC586" s="15">
        <v>9.9999999999999992E-164</v>
      </c>
      <c r="CD586" s="2">
        <v>100</v>
      </c>
      <c r="CE586" s="2" t="s">
        <v>4069</v>
      </c>
      <c r="CF586" s="2" t="s">
        <v>5977</v>
      </c>
      <c r="CG586" s="9" t="str">
        <f>HYPERLINK(".\links\KOG\AGAP000017-PB-KOG.txt","Kinase A-anchor protein Neurobeachin and related BEACH and WD40 repeat proteins")</f>
        <v>Kinase A-anchor protein Neurobeachin and related BEACH and WD40 repeat proteins</v>
      </c>
      <c r="CH586" s="15">
        <v>0</v>
      </c>
      <c r="CI586" s="2">
        <v>102.8</v>
      </c>
      <c r="CJ586" s="2" t="s">
        <v>5070</v>
      </c>
      <c r="CK586" s="2" t="s">
        <v>154</v>
      </c>
      <c r="CL586" s="9" t="str">
        <f>HYPERLINK(".\links\PFAM\AGAP000017-PB-PFAM.txt","Beach, Beige/BEACH domain")</f>
        <v>Beach, Beige/BEACH domain</v>
      </c>
      <c r="CM586" s="15">
        <v>9.9999999999999996E-165</v>
      </c>
      <c r="CN586" s="2">
        <v>100</v>
      </c>
      <c r="CO586" s="2" t="s">
        <v>4069</v>
      </c>
      <c r="CP586" s="9" t="str">
        <f>HYPERLINK(".\links\SMART\AGAP000017-PB-SMART.txt","Beach, Beige/BEACH domain")</f>
        <v>Beach, Beige/BEACH domain</v>
      </c>
      <c r="CQ586" s="15">
        <v>9.9999999999999994E-158</v>
      </c>
      <c r="CR586" s="2">
        <v>100</v>
      </c>
      <c r="CS586" s="2" t="s">
        <v>4072</v>
      </c>
      <c r="CT586" s="2" t="s">
        <v>5976</v>
      </c>
      <c r="CU586" s="2" t="s">
        <v>5976</v>
      </c>
      <c r="CV586" s="2" t="s">
        <v>5976</v>
      </c>
      <c r="CW586" s="2" t="str">
        <f>HYPERLINK(".\links\pep\AGAP000017-PB-pep.txt","AGAP000017-PB")</f>
        <v>AGAP000017-PB</v>
      </c>
      <c r="CX586" s="2" t="s">
        <v>95</v>
      </c>
      <c r="CY586" s="2">
        <v>3286</v>
      </c>
      <c r="CZ586" s="2" t="s">
        <v>113</v>
      </c>
      <c r="DA586" s="2" t="s">
        <v>5071</v>
      </c>
      <c r="DB586" s="2">
        <v>0</v>
      </c>
      <c r="DC586" s="2">
        <v>8</v>
      </c>
      <c r="DD586" s="2" t="str">
        <f>HYPERLINK("https://www.kegg.jp/kegg-bin/search_pathway_text?map=aga&amp;keyword=AGAP000017&amp;mode=1&amp;viewImage=true","AGAP000017")</f>
        <v>AGAP000017</v>
      </c>
      <c r="DE586" s="2" t="s">
        <v>5975</v>
      </c>
      <c r="DF586" s="2" t="s">
        <v>93</v>
      </c>
      <c r="DG586" s="2" t="s">
        <v>94</v>
      </c>
      <c r="DH586" s="2" t="str">
        <f>HYPERLINK("https://vectorbase.org/vectorbase/app/record/gene/AGAP000017","AGAP000017-RB")</f>
        <v>AGAP000017-RB</v>
      </c>
      <c r="DI586" s="2" t="s">
        <v>135</v>
      </c>
      <c r="DJ586" s="2">
        <v>14988</v>
      </c>
      <c r="DK586" s="8" t="str">
        <f>HYPERLINK(".\links\netoglyc\AGAP000017-PB-netoglyc.txt","6")</f>
        <v>6</v>
      </c>
      <c r="DL586" s="2">
        <v>14.8</v>
      </c>
      <c r="DM586" s="2">
        <v>6.6</v>
      </c>
      <c r="DN586" s="2">
        <v>5.2</v>
      </c>
      <c r="DO586" s="2" t="s">
        <v>104</v>
      </c>
      <c r="DP586" s="2" t="s">
        <v>5978</v>
      </c>
      <c r="DQ586" s="2" t="str">
        <f>HYPERLINK(".\links\Sigp\AGAP000017-PB-SigP.txt","CYT")</f>
        <v>CYT</v>
      </c>
      <c r="DR586" s="2" t="s">
        <v>102</v>
      </c>
      <c r="DS586" s="2">
        <v>363.44400000000002</v>
      </c>
      <c r="DT586" s="2">
        <v>5.24</v>
      </c>
      <c r="DU586" s="2" t="s">
        <v>102</v>
      </c>
      <c r="DV586" s="2" t="s">
        <v>102</v>
      </c>
      <c r="DW586" s="2" t="s">
        <v>5067</v>
      </c>
      <c r="DX586" s="2">
        <v>3286</v>
      </c>
      <c r="DY586" s="12">
        <v>0</v>
      </c>
      <c r="DZ586" s="2" t="s">
        <v>102</v>
      </c>
      <c r="EA586" s="2" t="s">
        <v>102</v>
      </c>
      <c r="EB586" s="2" t="s">
        <v>102</v>
      </c>
      <c r="EC586" s="2" t="str">
        <f>HYPERLINK(".\links\gpi\AGAP000017-PB-gpi.txt","Y-NoSP")</f>
        <v>Y-NoSP</v>
      </c>
      <c r="ED586" s="2">
        <v>0.09</v>
      </c>
      <c r="EF586" s="2">
        <v>48</v>
      </c>
      <c r="EG586" s="2" t="str">
        <f>HYPERLINK(".\links\pep\AGAP000017-PB-sulf.txt","3")</f>
        <v>3</v>
      </c>
      <c r="EH586" s="2" t="s">
        <v>102</v>
      </c>
      <c r="EI586" s="2">
        <v>14.790018259281799</v>
      </c>
      <c r="EJ586" s="2">
        <v>5.1734631771150301</v>
      </c>
      <c r="EK586" s="2">
        <v>6.6037735849056602</v>
      </c>
      <c r="EL586" s="2">
        <v>11.777236762020699</v>
      </c>
      <c r="EM586" s="2">
        <v>6</v>
      </c>
      <c r="EN586" s="2">
        <v>9</v>
      </c>
      <c r="EO586" s="2">
        <v>9</v>
      </c>
      <c r="EP586" s="2" t="s">
        <v>102</v>
      </c>
      <c r="EQ586" s="2" t="s">
        <v>102</v>
      </c>
      <c r="ER586" s="2" t="s">
        <v>102</v>
      </c>
      <c r="ES586" s="2" t="s">
        <v>102</v>
      </c>
      <c r="ET586" s="2" t="str">
        <f>HYPERLINK(".\links\REFSEQ-INVERTEBRATE\AGAP000017-PB-REFSEQ-INVERTEBRATE.txt","neurobeachin isoform X20")</f>
        <v>neurobeachin isoform X20</v>
      </c>
      <c r="EU586" s="2" t="str">
        <f>HYPERLINK("http://www.ncbi.nlm.nih.gov/sutils/blink.cgi?pid=XP_035904637.1","0.0")</f>
        <v>0.0</v>
      </c>
      <c r="EV586" s="2" t="str">
        <f>HYPERLINK("http://www.ncbi.nlm.nih.gov/protein/XP_035904637.1","XP_035904637.1")</f>
        <v>XP_035904637.1</v>
      </c>
      <c r="EW586" s="2">
        <v>86</v>
      </c>
      <c r="EX586" s="2">
        <v>89</v>
      </c>
      <c r="EY586" s="2">
        <v>101</v>
      </c>
      <c r="EZ586" s="2" t="s">
        <v>370</v>
      </c>
    </row>
    <row r="587" spans="1:156" x14ac:dyDescent="0.25">
      <c r="A587" s="2" t="s">
        <v>5979</v>
      </c>
      <c r="B587" s="2">
        <v>-2.1069151548704999</v>
      </c>
      <c r="C587" s="2">
        <f t="shared" si="9"/>
        <v>0.23214286503481024</v>
      </c>
      <c r="D587" s="2">
        <v>-0.57005544040702305</v>
      </c>
      <c r="E587" s="2">
        <v>13.142629921450601</v>
      </c>
      <c r="F587" s="2">
        <v>2.8865241173842599E-4</v>
      </c>
      <c r="G587" s="2">
        <v>1.9116824601011599E-2</v>
      </c>
      <c r="H587" s="2" t="s">
        <v>93</v>
      </c>
      <c r="I587" s="2" t="s">
        <v>94</v>
      </c>
      <c r="J587" s="2" t="str">
        <f>HYPERLINK("https://vectorbase.org/vectorbase/app/record/gene/AGAP011167","AGAP011167-RA")</f>
        <v>AGAP011167-RA</v>
      </c>
      <c r="K587" s="2" t="str">
        <f>HYPERLINK(".\links\pep\AGAP011167-PA-pep.txt","AGAP011167-PA")</f>
        <v>AGAP011167-PA</v>
      </c>
      <c r="L587" s="12" t="s">
        <v>95</v>
      </c>
      <c r="M587" s="2">
        <v>256</v>
      </c>
      <c r="N587" s="2">
        <v>0</v>
      </c>
      <c r="O587" s="2">
        <v>1</v>
      </c>
      <c r="P587" s="2" t="s">
        <v>102</v>
      </c>
      <c r="Q587" s="9" t="s">
        <v>5980</v>
      </c>
      <c r="R587" s="2" t="s">
        <v>444</v>
      </c>
      <c r="S587" s="2" t="str">
        <f>HYPERLINK(".\links\PFAM\AGAP011167-PA-PFAM.txt","PFAM")</f>
        <v>PFAM</v>
      </c>
      <c r="T587" s="2">
        <v>8.0000000000000005E-68</v>
      </c>
      <c r="U587" s="2">
        <v>100.4</v>
      </c>
      <c r="V587" s="2" t="s">
        <v>5981</v>
      </c>
      <c r="W587" s="10" t="s">
        <v>5982</v>
      </c>
      <c r="X587" s="2" t="s">
        <v>5983</v>
      </c>
      <c r="Y587" s="2" t="str">
        <f>HYPERLINK(".\links\PFAM\AGAP011167-PA-PFAM.txt","PFAM")</f>
        <v>PFAM</v>
      </c>
      <c r="Z587" s="15">
        <v>7.0000000000000003E-62</v>
      </c>
      <c r="AA587" s="2">
        <v>95</v>
      </c>
      <c r="AB587" s="13" t="str">
        <f>HYPERLINK(".\links\pep\AGAP011167-PA-sulf.txt","1")</f>
        <v>1</v>
      </c>
      <c r="AC587" s="13" t="str">
        <f>HYPERLINK(".\links\Sigp\AGAP011167-PA-SigP.txt","SIG")</f>
        <v>SIG</v>
      </c>
      <c r="AD587" s="2" t="s">
        <v>2183</v>
      </c>
      <c r="AE587" s="2">
        <v>29.324999999999999</v>
      </c>
      <c r="AF587" s="2">
        <v>8.6</v>
      </c>
      <c r="AG587" s="2">
        <v>26.542000000000002</v>
      </c>
      <c r="AH587" s="2">
        <v>8.9700000000000006</v>
      </c>
      <c r="AI587" s="2" t="s">
        <v>5984</v>
      </c>
      <c r="AJ587" s="13" t="str">
        <f>HYPERLINK(".\links\tmhmm\AGAP011167-PA-tmhmm.txt","1")</f>
        <v>1</v>
      </c>
      <c r="AK587" s="2">
        <v>8.6</v>
      </c>
      <c r="AL587" s="2">
        <v>90.6</v>
      </c>
      <c r="AM587" s="2">
        <v>0.8</v>
      </c>
      <c r="AN587" s="13" t="str">
        <f>HYPERLINK(".\links\gpi\AGAP011167-PA-gpi.txt","N")</f>
        <v>N</v>
      </c>
      <c r="AO587" s="14" t="str">
        <f>HYPERLINK(".\links\netoglyc\AGAP011167-PA-netoglyc.txt","0")</f>
        <v>0</v>
      </c>
      <c r="AP587" s="13">
        <v>10.9</v>
      </c>
      <c r="AQ587" s="2">
        <v>6.3</v>
      </c>
      <c r="AR587" s="2">
        <v>4.7</v>
      </c>
      <c r="AS587" s="2" t="s">
        <v>104</v>
      </c>
      <c r="AT587" s="9" t="str">
        <f>HYPERLINK(".\links\NR-LIGHT\AGAP011167-PA-NR-LIGHT.txt","AGAP011167-PA")</f>
        <v>AGAP011167-PA</v>
      </c>
      <c r="AU587" s="2" t="str">
        <f>HYPERLINK("http://www.ncbi.nlm.nih.gov/sutils/blink.cgi?pid=XP_309482.3","1E-146")</f>
        <v>1E-146</v>
      </c>
      <c r="AV587" s="2" t="str">
        <f>HYPERLINK("http://www.ncbi.nlm.nih.gov/protein/XP_309482.3","XP_309482.3")</f>
        <v>XP_309482.3</v>
      </c>
      <c r="AW587" s="2">
        <v>100</v>
      </c>
      <c r="AX587" s="2">
        <v>100</v>
      </c>
      <c r="AY587" s="2">
        <v>100</v>
      </c>
      <c r="AZ587" s="2" t="s">
        <v>105</v>
      </c>
      <c r="BA587" s="9" t="str">
        <f>HYPERLINK(".\links\REFSEQ-INVERTEBRATE\AGAP011167-PA-REFSEQ-INVERTEBRATE.txt","AGAP011167-PA")</f>
        <v>AGAP011167-PA</v>
      </c>
      <c r="BB587" s="2" t="str">
        <f>HYPERLINK("http://www.ncbi.nlm.nih.gov/sutils/blink.cgi?pid=XP_309482.3","1E-146")</f>
        <v>1E-146</v>
      </c>
      <c r="BC587" s="2" t="str">
        <f>HYPERLINK("http://www.ncbi.nlm.nih.gov/protein/XP_309482.3","XP_309482.3")</f>
        <v>XP_309482.3</v>
      </c>
      <c r="BD587" s="2">
        <v>100</v>
      </c>
      <c r="BE587" s="2">
        <v>100</v>
      </c>
      <c r="BF587" s="2">
        <v>100</v>
      </c>
      <c r="BG587" s="2" t="s">
        <v>105</v>
      </c>
      <c r="BH587" s="9" t="str">
        <f>HYPERLINK(".\links\REFSEQ-PROTOZOA\AGAP011167-PA-REFSEQ-PROTOZOA.txt","hypothetical protein")</f>
        <v>hypothetical protein</v>
      </c>
      <c r="BI587" s="2" t="str">
        <f>HYPERLINK("http://www.ncbi.nlm.nih.gov/sutils/blink.cgi?pid=XP_001328183.1","0.21")</f>
        <v>0.21</v>
      </c>
      <c r="BJ587" s="2" t="str">
        <f>HYPERLINK("http://www.ncbi.nlm.nih.gov/protein/XP_001328183.1","XP_001328183.1")</f>
        <v>XP_001328183.1</v>
      </c>
      <c r="BK587" s="2">
        <v>23</v>
      </c>
      <c r="BL587" s="2">
        <v>44</v>
      </c>
      <c r="BM587" s="2">
        <v>45</v>
      </c>
      <c r="BN587" s="2" t="s">
        <v>292</v>
      </c>
      <c r="BO587" s="9" t="str">
        <f>HYPERLINK(".\links\SWISSP\AGAP011167-PA-SWISSP.txt","Protein takeout")</f>
        <v>Protein takeout</v>
      </c>
      <c r="BP587" s="2" t="str">
        <f>HYPERLINK("http://www.uniprot.org/uniprot/Q9VBV3","2E-027")</f>
        <v>2E-027</v>
      </c>
      <c r="BQ587" s="2" t="str">
        <f>HYPERLINK("http://www.uniprot.org/uniprot/Q9VBV3#expression","Q9VBV3")</f>
        <v>Q9VBV3</v>
      </c>
      <c r="BR587" s="2">
        <v>31</v>
      </c>
      <c r="BS587" s="2">
        <v>55</v>
      </c>
      <c r="BT587" s="2">
        <v>79</v>
      </c>
      <c r="BU587" s="2" t="s">
        <v>107</v>
      </c>
      <c r="BV587" s="9" t="str">
        <f>HYPERLINK(".\links\FLYBASE\AGAP011167-PA-FLYBASE.txt","FBpp0084027")</f>
        <v>FBpp0084027</v>
      </c>
      <c r="BW587" s="2" t="str">
        <f>HYPERLINK("http://flybase.org/reports/FBgn0039203#alliance_summary_container","3E-68")</f>
        <v>3E-68</v>
      </c>
      <c r="BX587" s="2">
        <v>252</v>
      </c>
      <c r="BY587" s="2">
        <v>48</v>
      </c>
      <c r="BZ587" s="2">
        <v>66</v>
      </c>
      <c r="CA587" s="2">
        <v>91</v>
      </c>
      <c r="CB587" s="9" t="str">
        <f>HYPERLINK(".\links\CDD\AGAP011167-PA-CDD.txt","JHBP, Haemolymph juvenile hormone binding protein (JHBP)")</f>
        <v>JHBP, Haemolymph juvenile hormone binding protein (JHBP)</v>
      </c>
      <c r="CC587" s="15">
        <v>3.9999999999999998E-67</v>
      </c>
      <c r="CD587" s="2">
        <v>100.4</v>
      </c>
      <c r="CE587" s="2" t="s">
        <v>5985</v>
      </c>
      <c r="CF587" s="2" t="s">
        <v>5986</v>
      </c>
      <c r="CG587" s="9" t="str">
        <f>HYPERLINK(".\links\KOG\AGAP011167-PA-KOG.txt","Uncharacterized conserved protein")</f>
        <v>Uncharacterized conserved protein</v>
      </c>
      <c r="CH587" s="15">
        <v>0.26</v>
      </c>
      <c r="CI587" s="2">
        <v>18.2</v>
      </c>
      <c r="CJ587" s="2" t="s">
        <v>4224</v>
      </c>
      <c r="CK587" s="2" t="s">
        <v>284</v>
      </c>
      <c r="CL587" s="9" t="str">
        <f>HYPERLINK(".\links\PFAM\AGAP011167-PA-PFAM.txt","JHBP, Haemolymph juvenile hormone binding protein (JHBP)")</f>
        <v>JHBP, Haemolymph juvenile hormone binding protein (JHBP)</v>
      </c>
      <c r="CM587" s="15">
        <v>8.0000000000000005E-68</v>
      </c>
      <c r="CN587" s="2">
        <v>100.4</v>
      </c>
      <c r="CO587" s="2" t="s">
        <v>5985</v>
      </c>
      <c r="CP587" s="9" t="str">
        <f>HYPERLINK(".\links\SMART\AGAP011167-PA-SMART.txt","JHBP, Juvenile hormone binding protein domains in insects")</f>
        <v>JHBP, Juvenile hormone binding protein domains in insects</v>
      </c>
      <c r="CQ587" s="15">
        <v>2.9999999999999999E-48</v>
      </c>
      <c r="CR587" s="2">
        <v>101.8</v>
      </c>
      <c r="CS587" s="2" t="s">
        <v>5987</v>
      </c>
      <c r="CT587" s="2" t="s">
        <v>5981</v>
      </c>
      <c r="CU587" s="2" t="s">
        <v>5981</v>
      </c>
      <c r="CV587" s="2" t="s">
        <v>5981</v>
      </c>
      <c r="CW587" s="2" t="str">
        <f>HYPERLINK(".\links\pep\AGAP011167-PA-pep.txt","AGAP011167-PA")</f>
        <v>AGAP011167-PA</v>
      </c>
      <c r="CX587" s="2" t="s">
        <v>95</v>
      </c>
      <c r="CY587" s="2">
        <v>256</v>
      </c>
      <c r="CZ587" s="2" t="s">
        <v>113</v>
      </c>
      <c r="DA587" s="2" t="s">
        <v>5988</v>
      </c>
      <c r="DB587" s="2">
        <v>0</v>
      </c>
      <c r="DC587" s="2">
        <v>1</v>
      </c>
      <c r="DD587" s="2" t="str">
        <f>HYPERLINK("https://www.kegg.jp/kegg-bin/search_pathway_text?map=aga&amp;keyword=AGAP011167&amp;mode=1&amp;viewImage=true","AGAP011167")</f>
        <v>AGAP011167</v>
      </c>
      <c r="DE587" s="2" t="s">
        <v>5979</v>
      </c>
      <c r="DF587" s="2" t="s">
        <v>93</v>
      </c>
      <c r="DG587" s="2" t="s">
        <v>94</v>
      </c>
      <c r="DH587" s="2" t="str">
        <f>HYPERLINK("https://vectorbase.org/vectorbase/app/record/gene/AGAP011167","AGAP011167-RA")</f>
        <v>AGAP011167-RA</v>
      </c>
      <c r="DI587" s="2" t="s">
        <v>115</v>
      </c>
      <c r="DJ587" s="2">
        <v>878</v>
      </c>
      <c r="DK587" s="2" t="str">
        <f>HYPERLINK(".\links\netoglyc\AGAP011167-PA-netoglyc.txt","0")</f>
        <v>0</v>
      </c>
      <c r="DL587" s="2">
        <v>10.9</v>
      </c>
      <c r="DM587" s="2">
        <v>6.3</v>
      </c>
      <c r="DN587" s="2">
        <v>4.7</v>
      </c>
      <c r="DO587" s="2" t="s">
        <v>104</v>
      </c>
      <c r="DP587" s="2" t="s">
        <v>102</v>
      </c>
      <c r="DQ587" s="2" t="str">
        <f>HYPERLINK(".\links\Sigp\AGAP011167-PA-SigP.txt","SIG")</f>
        <v>SIG</v>
      </c>
      <c r="DR587" s="2" t="s">
        <v>2183</v>
      </c>
      <c r="DS587" s="2">
        <v>29.324999999999999</v>
      </c>
      <c r="DT587" s="2">
        <v>8.6</v>
      </c>
      <c r="DU587" s="2">
        <v>26.542000000000002</v>
      </c>
      <c r="DV587" s="2">
        <v>8.9700000000000006</v>
      </c>
      <c r="DW587" s="2" t="s">
        <v>5984</v>
      </c>
      <c r="DX587" s="2">
        <v>256</v>
      </c>
      <c r="DY587" s="12" t="str">
        <f>HYPERLINK(".\links\tmhmm\AGAP011167-PA-tmhmm.txt","1")</f>
        <v>1</v>
      </c>
      <c r="DZ587" s="2">
        <v>8.6</v>
      </c>
      <c r="EA587" s="2">
        <v>90.6</v>
      </c>
      <c r="EB587" s="2">
        <v>0.8</v>
      </c>
      <c r="EC587" s="2" t="str">
        <f>HYPERLINK(".\links\gpi\AGAP011167-PA-gpi.txt","N")</f>
        <v>N</v>
      </c>
      <c r="ED587" s="2">
        <v>0.27</v>
      </c>
      <c r="EF587" s="2">
        <v>4</v>
      </c>
      <c r="EG587" s="2" t="str">
        <f>HYPERLINK(".\links\pep\AGAP011167-PA-sulf.txt","1")</f>
        <v>1</v>
      </c>
      <c r="EH587" s="2" t="s">
        <v>102</v>
      </c>
      <c r="EI587" s="2">
        <v>10.9375</v>
      </c>
      <c r="EJ587" s="2">
        <v>4.6875</v>
      </c>
      <c r="EK587" s="2">
        <v>6.25</v>
      </c>
      <c r="EL587" s="2">
        <v>10.9375</v>
      </c>
      <c r="EM587" s="2" t="s">
        <v>102</v>
      </c>
      <c r="EN587" s="2">
        <v>1</v>
      </c>
      <c r="EO587" s="2">
        <v>1</v>
      </c>
      <c r="EP587" s="2" t="s">
        <v>102</v>
      </c>
      <c r="EQ587" s="2" t="s">
        <v>102</v>
      </c>
      <c r="ER587" s="2" t="s">
        <v>102</v>
      </c>
      <c r="ES587" s="2" t="s">
        <v>102</v>
      </c>
      <c r="ET587" s="2" t="str">
        <f>HYPERLINK(".\links\REFSEQ-INVERTEBRATE\AGAP011167-PA-REFSEQ-INVERTEBRATE.txt","AGAP011167-PA")</f>
        <v>AGAP011167-PA</v>
      </c>
      <c r="EU587" s="2" t="str">
        <f>HYPERLINK("http://www.ncbi.nlm.nih.gov/sutils/blink.cgi?pid=XP_309482.3","0.0")</f>
        <v>0.0</v>
      </c>
      <c r="EV587" s="2" t="str">
        <f>HYPERLINK("http://www.ncbi.nlm.nih.gov/protein/XP_309482.3","XP_309482.3")</f>
        <v>XP_309482.3</v>
      </c>
      <c r="EW587" s="2">
        <v>100</v>
      </c>
      <c r="EX587" s="2">
        <v>100</v>
      </c>
      <c r="EY587" s="2">
        <v>100</v>
      </c>
      <c r="EZ587" s="2" t="s">
        <v>105</v>
      </c>
    </row>
    <row r="588" spans="1:156" x14ac:dyDescent="0.25">
      <c r="A588" s="2" t="s">
        <v>5989</v>
      </c>
      <c r="B588" s="2">
        <v>-2.2408584518154799</v>
      </c>
      <c r="C588" s="2">
        <f t="shared" si="9"/>
        <v>0.2115604051112443</v>
      </c>
      <c r="D588" s="2">
        <v>1.39360036769023</v>
      </c>
      <c r="E588" s="2">
        <v>9.2418325301799094</v>
      </c>
      <c r="F588" s="2">
        <v>2.36548108623555E-3</v>
      </c>
      <c r="G588" s="2">
        <v>4.6253603382641499E-2</v>
      </c>
      <c r="H588" s="2" t="s">
        <v>3419</v>
      </c>
      <c r="I588" s="2" t="s">
        <v>94</v>
      </c>
      <c r="J588" s="2" t="str">
        <f>HYPERLINK("https://vectorbase.org/vectorbase/app/record/gene/AGAP010968","AGAP010968-RA")</f>
        <v>AGAP010968-RA</v>
      </c>
      <c r="K588" s="2" t="str">
        <f>HYPERLINK(".\links\pep\AGAP010968-PA-pep.txt","AGAP010968-PA")</f>
        <v>AGAP010968-PA</v>
      </c>
      <c r="L588" s="12" t="s">
        <v>95</v>
      </c>
      <c r="M588" s="2">
        <v>362</v>
      </c>
      <c r="N588" s="2">
        <v>0</v>
      </c>
      <c r="O588" s="2">
        <v>0</v>
      </c>
      <c r="P588" s="2" t="s">
        <v>5990</v>
      </c>
      <c r="Q588" s="9" t="s">
        <v>3421</v>
      </c>
      <c r="R588" s="2" t="s">
        <v>1825</v>
      </c>
      <c r="S588" s="2" t="str">
        <f>HYPERLINK(".\links\CDD\AGAP010968-PA-CDD.txt","CDD")</f>
        <v>CDD</v>
      </c>
      <c r="T588" s="2">
        <v>8E-55</v>
      </c>
      <c r="U588" s="2">
        <v>104.3</v>
      </c>
      <c r="V588" s="2" t="s">
        <v>5991</v>
      </c>
      <c r="W588" s="10" t="s">
        <v>3423</v>
      </c>
      <c r="X588" s="2" t="s">
        <v>3424</v>
      </c>
      <c r="Y588" s="2" t="str">
        <f>HYPERLINK(".\links\MEROPS\AGAP010968-PA-MEROPS.txt","MEROPS")</f>
        <v>MEROPS</v>
      </c>
      <c r="Z588" s="15">
        <v>2E-95</v>
      </c>
      <c r="AA588" s="2">
        <v>100.4</v>
      </c>
      <c r="AB588" s="13" t="str">
        <f>HYPERLINK(".\links\pep\AGAP010968-PA-sulf.txt","1")</f>
        <v>1</v>
      </c>
      <c r="AC588" s="13" t="str">
        <f>HYPERLINK(".\links\Sigp\AGAP010968-PA-SigP.txt","SIG")</f>
        <v>SIG</v>
      </c>
      <c r="AD588" s="2" t="s">
        <v>228</v>
      </c>
      <c r="AE588" s="2">
        <v>39.798000000000002</v>
      </c>
      <c r="AF588" s="2">
        <v>4.93</v>
      </c>
      <c r="AG588" s="2">
        <v>37.655999999999999</v>
      </c>
      <c r="AH588" s="2">
        <v>4.82</v>
      </c>
      <c r="AI588" s="2" t="s">
        <v>5992</v>
      </c>
      <c r="AJ588" s="13">
        <v>0</v>
      </c>
      <c r="AK588" s="2" t="s">
        <v>102</v>
      </c>
      <c r="AL588" s="2" t="s">
        <v>102</v>
      </c>
      <c r="AM588" s="2" t="s">
        <v>102</v>
      </c>
      <c r="AN588" s="13" t="str">
        <f>HYPERLINK(".\links\gpi\AGAP010968-PA-gpi.txt","N")</f>
        <v>N</v>
      </c>
      <c r="AO588" s="14" t="str">
        <f>HYPERLINK(".\links\netoglyc\AGAP010968-PA-netoglyc.txt","1")</f>
        <v>1</v>
      </c>
      <c r="AP588" s="13">
        <v>10.8</v>
      </c>
      <c r="AQ588" s="2">
        <v>8</v>
      </c>
      <c r="AR588" s="2">
        <v>5.5</v>
      </c>
      <c r="AS588" s="2" t="s">
        <v>104</v>
      </c>
      <c r="AT588" s="9" t="str">
        <f>HYPERLINK(".\links\NR-LIGHT\AGAP010968-PA-NR-LIGHT.txt","AGAP010968-PA")</f>
        <v>AGAP010968-PA</v>
      </c>
      <c r="AU588" s="2" t="str">
        <f>HYPERLINK("http://www.ncbi.nlm.nih.gov/sutils/blink.cgi?pid=XP_309727.4","0.0")</f>
        <v>0.0</v>
      </c>
      <c r="AV588" s="2" t="str">
        <f>HYPERLINK("http://www.ncbi.nlm.nih.gov/protein/XP_309727.4","XP_309727.4")</f>
        <v>XP_309727.4</v>
      </c>
      <c r="AW588" s="2">
        <v>100</v>
      </c>
      <c r="AX588" s="2">
        <v>100</v>
      </c>
      <c r="AY588" s="2">
        <v>100</v>
      </c>
      <c r="AZ588" s="2" t="s">
        <v>105</v>
      </c>
      <c r="BA588" s="9" t="str">
        <f>HYPERLINK(".\links\REFSEQ-INVERTEBRATE\AGAP010968-PA-REFSEQ-INVERTEBRATE.txt","AGAP010968-PA")</f>
        <v>AGAP010968-PA</v>
      </c>
      <c r="BB588" s="2" t="str">
        <f>HYPERLINK("http://www.ncbi.nlm.nih.gov/sutils/blink.cgi?pid=XP_309727.4","0.0")</f>
        <v>0.0</v>
      </c>
      <c r="BC588" s="2" t="str">
        <f>HYPERLINK("http://www.ncbi.nlm.nih.gov/protein/XP_309727.4","XP_309727.4")</f>
        <v>XP_309727.4</v>
      </c>
      <c r="BD588" s="2">
        <v>100</v>
      </c>
      <c r="BE588" s="2">
        <v>100</v>
      </c>
      <c r="BF588" s="2">
        <v>100</v>
      </c>
      <c r="BG588" s="2" t="s">
        <v>105</v>
      </c>
      <c r="BH588" s="9" t="str">
        <f>HYPERLINK(".\links\REFSEQ-PROTOZOA\AGAP010968-PA-REFSEQ-PROTOZOA.txt","hypothetical protein H257_18319")</f>
        <v>hypothetical protein H257_18319</v>
      </c>
      <c r="BI588" s="2" t="str">
        <f>HYPERLINK("http://www.ncbi.nlm.nih.gov/sutils/blink.cgi?pid=XP_009845657.1","1E-018")</f>
        <v>1E-018</v>
      </c>
      <c r="BJ588" s="2" t="str">
        <f>HYPERLINK("http://www.ncbi.nlm.nih.gov/protein/XP_009845657.1","XP_009845657.1")</f>
        <v>XP_009845657.1</v>
      </c>
      <c r="BK588" s="2">
        <v>30</v>
      </c>
      <c r="BL588" s="2">
        <v>46</v>
      </c>
      <c r="BM588" s="2">
        <v>55</v>
      </c>
      <c r="BN588" s="2" t="s">
        <v>362</v>
      </c>
      <c r="BO588" s="9" t="str">
        <f>HYPERLINK(".\links\SWISSP\AGAP010968-PA-SWISSP.txt","Phenoloxidase-activating factor 2")</f>
        <v>Phenoloxidase-activating factor 2</v>
      </c>
      <c r="BP588" s="2" t="str">
        <f>HYPERLINK("http://www.uniprot.org/uniprot/Q9GRW0","6E-046")</f>
        <v>6E-046</v>
      </c>
      <c r="BQ588" s="2" t="str">
        <f>HYPERLINK("http://www.uniprot.org/uniprot/Q9GRW0#expression","Q9GRW0")</f>
        <v>Q9GRW0</v>
      </c>
      <c r="BR588" s="2">
        <v>34</v>
      </c>
      <c r="BS588" s="2">
        <v>50</v>
      </c>
      <c r="BT588" s="2">
        <v>74</v>
      </c>
      <c r="BU588" s="2" t="s">
        <v>5993</v>
      </c>
      <c r="BV588" s="9" t="str">
        <f>HYPERLINK(".\links\FLYBASE\AGAP010968-PA-FLYBASE.txt","FBpp0087784")</f>
        <v>FBpp0087784</v>
      </c>
      <c r="BW588" s="2" t="str">
        <f>HYPERLINK("http://flybase.org/reports/FBgn0033321#alliance_summary_container","4E-56")</f>
        <v>4E-56</v>
      </c>
      <c r="BX588" s="2">
        <v>459</v>
      </c>
      <c r="BY588" s="2">
        <v>35</v>
      </c>
      <c r="BZ588" s="2">
        <v>52</v>
      </c>
      <c r="CA588" s="2">
        <v>73</v>
      </c>
      <c r="CB588" s="9" t="str">
        <f>HYPERLINK(".\links\CDD\AGAP010968-PA-CDD.txt","Tryp_SPc, Trypsin-like serine protease")</f>
        <v>Tryp_SPc, Trypsin-like serine protease</v>
      </c>
      <c r="CC588" s="15">
        <v>8E-55</v>
      </c>
      <c r="CD588" s="2">
        <v>104.3</v>
      </c>
      <c r="CE588" s="2" t="s">
        <v>3427</v>
      </c>
      <c r="CF588" s="2" t="s">
        <v>5994</v>
      </c>
      <c r="CG588" s="9" t="str">
        <f>HYPERLINK(".\links\KOG\AGAP010968-PA-KOG.txt","Trypsin")</f>
        <v>Trypsin</v>
      </c>
      <c r="CH588" s="15">
        <v>2.9999999999999999E-46</v>
      </c>
      <c r="CI588" s="2">
        <v>96.9</v>
      </c>
      <c r="CJ588" s="2" t="s">
        <v>3429</v>
      </c>
      <c r="CK588" s="2" t="s">
        <v>267</v>
      </c>
      <c r="CL588" s="9" t="str">
        <f>HYPERLINK(".\links\PFAM\AGAP010968-PA-PFAM.txt","Trypsin, Trypsin")</f>
        <v>Trypsin, Trypsin</v>
      </c>
      <c r="CM588" s="15">
        <v>9.9999999999999993E-40</v>
      </c>
      <c r="CN588" s="2">
        <v>107.3</v>
      </c>
      <c r="CO588" s="2" t="s">
        <v>3430</v>
      </c>
      <c r="CP588" s="9" t="str">
        <f>HYPERLINK(".\links\SMART\AGAP010968-PA-SMART.txt","Tryp_SPc, Trypsin-like serine protease")</f>
        <v>Tryp_SPc, Trypsin-like serine protease</v>
      </c>
      <c r="CQ588" s="15">
        <v>1E-52</v>
      </c>
      <c r="CR588" s="2">
        <v>104.8</v>
      </c>
      <c r="CS588" s="2" t="s">
        <v>3431</v>
      </c>
      <c r="CT588" s="2" t="s">
        <v>5991</v>
      </c>
      <c r="CU588" s="2" t="s">
        <v>5991</v>
      </c>
      <c r="CV588" s="2" t="s">
        <v>5991</v>
      </c>
      <c r="CW588" s="2" t="str">
        <f>HYPERLINK(".\links\pep\AGAP010968-PA-pep.txt","AGAP010968-PA")</f>
        <v>AGAP010968-PA</v>
      </c>
      <c r="CX588" s="2" t="s">
        <v>95</v>
      </c>
      <c r="CY588" s="2">
        <v>362</v>
      </c>
      <c r="CZ588" s="2" t="s">
        <v>113</v>
      </c>
      <c r="DA588" s="2" t="s">
        <v>5995</v>
      </c>
      <c r="DB588" s="2">
        <v>0</v>
      </c>
      <c r="DC588" s="2">
        <v>0</v>
      </c>
      <c r="DD588" s="2" t="str">
        <f>HYPERLINK("https://www.kegg.jp/kegg-bin/search_pathway_text?map=aga&amp;keyword=AGAP010968&amp;mode=1&amp;viewImage=true","AGAP010968")</f>
        <v>AGAP010968</v>
      </c>
      <c r="DE588" s="2" t="s">
        <v>5989</v>
      </c>
      <c r="DF588" s="2" t="s">
        <v>3419</v>
      </c>
      <c r="DG588" s="2" t="s">
        <v>94</v>
      </c>
      <c r="DH588" s="2" t="str">
        <f>HYPERLINK("https://vectorbase.org/vectorbase/app/record/gene/AGAP010968","AGAP010968-RA")</f>
        <v>AGAP010968-RA</v>
      </c>
      <c r="DI588" s="2" t="s">
        <v>118</v>
      </c>
      <c r="DJ588" s="2">
        <v>1405</v>
      </c>
      <c r="DK588" s="2" t="str">
        <f>HYPERLINK(".\links\netoglyc\AGAP010968-PA-netoglyc.txt","1")</f>
        <v>1</v>
      </c>
      <c r="DL588" s="2">
        <v>10.8</v>
      </c>
      <c r="DM588" s="2">
        <v>8</v>
      </c>
      <c r="DN588" s="2">
        <v>5.5</v>
      </c>
      <c r="DO588" s="2" t="s">
        <v>104</v>
      </c>
      <c r="DP588" s="2" t="s">
        <v>102</v>
      </c>
      <c r="DQ588" s="2" t="str">
        <f>HYPERLINK(".\links\Sigp\AGAP010968-PA-SigP.txt","SIG")</f>
        <v>SIG</v>
      </c>
      <c r="DR588" s="2" t="s">
        <v>228</v>
      </c>
      <c r="DS588" s="2">
        <v>39.795999999999999</v>
      </c>
      <c r="DT588" s="2">
        <v>4.93</v>
      </c>
      <c r="DU588" s="2">
        <v>37.655999999999999</v>
      </c>
      <c r="DV588" s="2">
        <v>4.82</v>
      </c>
      <c r="DW588" s="2" t="s">
        <v>5992</v>
      </c>
      <c r="DX588" s="2">
        <v>362</v>
      </c>
      <c r="DY588" s="12">
        <v>0</v>
      </c>
      <c r="DZ588" s="2" t="s">
        <v>102</v>
      </c>
      <c r="EA588" s="2" t="s">
        <v>102</v>
      </c>
      <c r="EB588" s="2" t="s">
        <v>102</v>
      </c>
      <c r="EC588" s="2" t="str">
        <f>HYPERLINK(".\links\gpi\AGAP010968-PA-gpi.txt","Y-NoSP")</f>
        <v>Y-NoSP</v>
      </c>
      <c r="ED588" s="2">
        <v>0.2</v>
      </c>
      <c r="EF588" s="2">
        <v>16</v>
      </c>
      <c r="EG588" s="2" t="str">
        <f>HYPERLINK(".\links\pep\AGAP010968-PA-sulf.txt","1")</f>
        <v>1</v>
      </c>
      <c r="EH588" s="2" t="s">
        <v>102</v>
      </c>
      <c r="EI588" s="2">
        <v>10.773480662983401</v>
      </c>
      <c r="EJ588" s="2">
        <v>5.5248618784530397</v>
      </c>
      <c r="EK588" s="2">
        <v>8.0110497237569103</v>
      </c>
      <c r="EL588" s="2">
        <v>13.5359116022099</v>
      </c>
      <c r="EM588" s="2">
        <v>1</v>
      </c>
      <c r="EN588" s="2">
        <v>1</v>
      </c>
      <c r="EO588" s="2">
        <v>2</v>
      </c>
      <c r="EP588" s="2" t="s">
        <v>102</v>
      </c>
      <c r="EQ588" s="2" t="s">
        <v>102</v>
      </c>
      <c r="ER588" s="2" t="s">
        <v>102</v>
      </c>
      <c r="ES588" s="2" t="s">
        <v>102</v>
      </c>
      <c r="ET588" s="2" t="str">
        <f>HYPERLINK(".\links\REFSEQ-INVERTEBRATE\AGAP010968-PA-REFSEQ-INVERTEBRATE.txt","AGAP010968-PA")</f>
        <v>AGAP010968-PA</v>
      </c>
      <c r="EU588" s="2" t="str">
        <f>HYPERLINK("http://www.ncbi.nlm.nih.gov/sutils/blink.cgi?pid=XP_309727.4","0.0")</f>
        <v>0.0</v>
      </c>
      <c r="EV588" s="2" t="str">
        <f>HYPERLINK("http://www.ncbi.nlm.nih.gov/protein/XP_309727.4","XP_309727.4")</f>
        <v>XP_309727.4</v>
      </c>
      <c r="EW588" s="2">
        <v>100</v>
      </c>
      <c r="EX588" s="2">
        <v>100</v>
      </c>
      <c r="EY588" s="2">
        <v>100</v>
      </c>
      <c r="EZ588" s="2" t="s">
        <v>105</v>
      </c>
    </row>
    <row r="589" spans="1:156" x14ac:dyDescent="0.25">
      <c r="A589" s="2" t="s">
        <v>5996</v>
      </c>
      <c r="B589" s="2">
        <v>-2.4860408856081802</v>
      </c>
      <c r="C589" s="2">
        <f t="shared" si="9"/>
        <v>0.17849543887390465</v>
      </c>
      <c r="D589" s="2">
        <v>3.2280268483586601</v>
      </c>
      <c r="E589" s="2">
        <v>9.1229770970303097</v>
      </c>
      <c r="F589" s="2">
        <v>2.5241884636402301E-3</v>
      </c>
      <c r="G589" s="2">
        <v>4.6810324315669602E-2</v>
      </c>
      <c r="H589" s="2" t="s">
        <v>5997</v>
      </c>
      <c r="I589" s="2" t="s">
        <v>94</v>
      </c>
      <c r="J589" s="2" t="str">
        <f>HYPERLINK("https://vectorbase.org/vectorbase/app/record/gene/AGAP001826","AGAP001826-RA")</f>
        <v>AGAP001826-RA</v>
      </c>
      <c r="K589" s="2" t="str">
        <f>HYPERLINK(".\links\pep\AGAP001826-PA-pep.txt","AGAP001826-PA")</f>
        <v>AGAP001826-PA</v>
      </c>
      <c r="L589" s="12" t="s">
        <v>95</v>
      </c>
      <c r="M589" s="2">
        <v>3332</v>
      </c>
      <c r="N589" s="2">
        <v>0</v>
      </c>
      <c r="O589" s="2">
        <v>5</v>
      </c>
      <c r="P589" s="2" t="s">
        <v>5998</v>
      </c>
      <c r="Q589" s="9" t="s">
        <v>5999</v>
      </c>
      <c r="R589" s="2" t="s">
        <v>2180</v>
      </c>
      <c r="S589" s="2" t="str">
        <f>HYPERLINK(".\links\REFSEQ-INVERTEBRATE\AGAP001826-PA-REFSEQ-INVERTEBRATE.txt","REFSEQ-INVERTEBRATE")</f>
        <v>REFSEQ-INVERTEBRATE</v>
      </c>
      <c r="T589" s="2">
        <v>0</v>
      </c>
      <c r="U589" s="2">
        <v>100.1</v>
      </c>
      <c r="V589" s="2" t="s">
        <v>6000</v>
      </c>
      <c r="W589" s="10" t="s">
        <v>6001</v>
      </c>
      <c r="X589" s="2" t="s">
        <v>6002</v>
      </c>
      <c r="Y589" s="2" t="str">
        <f>HYPERLINK(".\links\ARTHORPODA\AGAP001826-PA-ARTHORPODA.txt","ARTHORPODA")</f>
        <v>ARTHORPODA</v>
      </c>
      <c r="Z589" s="2">
        <v>0</v>
      </c>
      <c r="AA589" s="2">
        <v>100</v>
      </c>
      <c r="AB589" s="13" t="str">
        <f>HYPERLINK(".\links\pep\AGAP001826-PA-sulf.txt","10")</f>
        <v>10</v>
      </c>
      <c r="AC589" s="13" t="str">
        <f>HYPERLINK(".\links\Sigp\AGAP001826-PA-SigP.txt","SIG")</f>
        <v>SIG</v>
      </c>
      <c r="AD589" s="2" t="s">
        <v>2225</v>
      </c>
      <c r="AE589" s="2">
        <v>366.58499999999998</v>
      </c>
      <c r="AF589" s="2">
        <v>8.02</v>
      </c>
      <c r="AG589" s="2">
        <v>364.10399999999998</v>
      </c>
      <c r="AH589" s="2">
        <v>7.91</v>
      </c>
      <c r="AI589" s="2" t="s">
        <v>6003</v>
      </c>
      <c r="AJ589" s="13">
        <v>0</v>
      </c>
      <c r="AK589" s="2" t="s">
        <v>102</v>
      </c>
      <c r="AL589" s="2" t="s">
        <v>102</v>
      </c>
      <c r="AM589" s="2" t="s">
        <v>102</v>
      </c>
      <c r="AN589" s="13" t="str">
        <f>HYPERLINK(".\links\gpi\AGAP001826-PA-gpi.txt","N")</f>
        <v>N</v>
      </c>
      <c r="AO589" s="14" t="str">
        <f>HYPERLINK(".\links\netoglyc\AGAP001826-PA-netoglyc.txt","0")</f>
        <v>0</v>
      </c>
      <c r="AP589" s="13">
        <v>14.2</v>
      </c>
      <c r="AQ589" s="2">
        <v>7.1</v>
      </c>
      <c r="AR589" s="2">
        <v>3</v>
      </c>
      <c r="AS589" s="2">
        <v>0.1</v>
      </c>
      <c r="AT589" s="9" t="str">
        <f>HYPERLINK(".\links\NR-LIGHT\AGAP001826-PA-NR-LIGHT.txt","AGAP001826-PA")</f>
        <v>AGAP001826-PA</v>
      </c>
      <c r="AU589" s="2" t="str">
        <f>HYPERLINK("http://www.ncbi.nlm.nih.gov/sutils/blink.cgi?pid=XP_321226.5","0.0")</f>
        <v>0.0</v>
      </c>
      <c r="AV589" s="2" t="str">
        <f>HYPERLINK("http://www.ncbi.nlm.nih.gov/protein/XP_321226.5","XP_321226.5")</f>
        <v>XP_321226.5</v>
      </c>
      <c r="AW589" s="2">
        <v>100</v>
      </c>
      <c r="AX589" s="2">
        <v>100</v>
      </c>
      <c r="AY589" s="2">
        <v>98</v>
      </c>
      <c r="AZ589" s="2" t="s">
        <v>105</v>
      </c>
      <c r="BA589" s="9" t="str">
        <f>HYPERLINK(".\links\REFSEQ-INVERTEBRATE\AGAP001826-PA-REFSEQ-INVERTEBRATE.txt","AGAP001826-PA")</f>
        <v>AGAP001826-PA</v>
      </c>
      <c r="BB589" s="2" t="str">
        <f>HYPERLINK("http://www.ncbi.nlm.nih.gov/sutils/blink.cgi?pid=XP_321226.5","0.0")</f>
        <v>0.0</v>
      </c>
      <c r="BC589" s="2" t="str">
        <f>HYPERLINK("http://www.ncbi.nlm.nih.gov/protein/XP_321226.5","XP_321226.5")</f>
        <v>XP_321226.5</v>
      </c>
      <c r="BD589" s="2">
        <v>100</v>
      </c>
      <c r="BE589" s="2">
        <v>100</v>
      </c>
      <c r="BF589" s="2">
        <v>98</v>
      </c>
      <c r="BG589" s="2" t="s">
        <v>105</v>
      </c>
      <c r="BH589" s="9" t="str">
        <f>HYPERLINK(".\links\REFSEQ-PROTOZOA\AGAP001826-PA-REFSEQ-PROTOZOA.txt","hypothetical protein YYE_02880")</f>
        <v>hypothetical protein YYE_02880</v>
      </c>
      <c r="BI589" s="2" t="str">
        <f>HYPERLINK("http://www.ncbi.nlm.nih.gov/sutils/blink.cgi?pid=XP_008624754.1","1E-006")</f>
        <v>1E-006</v>
      </c>
      <c r="BJ589" s="2" t="str">
        <f>HYPERLINK("http://www.ncbi.nlm.nih.gov/protein/XP_008624754.1","XP_008624754.1")</f>
        <v>XP_008624754.1</v>
      </c>
      <c r="BK589" s="2">
        <v>24</v>
      </c>
      <c r="BL589" s="2">
        <v>41</v>
      </c>
      <c r="BM589" s="2">
        <v>22</v>
      </c>
      <c r="BN589" s="2" t="s">
        <v>6004</v>
      </c>
      <c r="BO589" s="9" t="str">
        <f>HYPERLINK(".\links\SWISSP\AGAP001826-PA-SWISSP.txt","Apolipophorins")</f>
        <v>Apolipophorins</v>
      </c>
      <c r="BP589" s="2" t="str">
        <f>HYPERLINK("http://www.uniprot.org/uniprot/Q9V496","0.0")</f>
        <v>0.0</v>
      </c>
      <c r="BQ589" s="2" t="str">
        <f>HYPERLINK("http://www.uniprot.org/uniprot/Q9V496#expression","Q9V496")</f>
        <v>Q9V496</v>
      </c>
      <c r="BR589" s="2">
        <v>28</v>
      </c>
      <c r="BS589" s="2">
        <v>48</v>
      </c>
      <c r="BT589" s="2">
        <v>102</v>
      </c>
      <c r="BU589" s="2" t="s">
        <v>107</v>
      </c>
      <c r="BV589" s="9" t="str">
        <f>HYPERLINK(".\links\FLYBASE\AGAP001826-PA-FLYBASE.txt","FBpp0311464")</f>
        <v>FBpp0311464</v>
      </c>
      <c r="BW589" s="2" t="str">
        <f>HYPERLINK("http://flybase.org/reports/FBgn0087002#alliance_summary_container","0.0")</f>
        <v>0.0</v>
      </c>
      <c r="BX589" s="2">
        <v>3351</v>
      </c>
      <c r="BY589" s="2">
        <v>28</v>
      </c>
      <c r="BZ589" s="2">
        <v>48</v>
      </c>
      <c r="CA589" s="2">
        <v>102</v>
      </c>
      <c r="CB589" s="9" t="str">
        <f>HYPERLINK(".\links\CDD\AGAP001826-PA-CDD.txt","LPD_N, Lipoprotein N-terminal Domain")</f>
        <v>LPD_N, Lipoprotein N-terminal Domain</v>
      </c>
      <c r="CC589" s="15">
        <v>9.0000000000000004E-73</v>
      </c>
      <c r="CD589" s="2">
        <v>101.2</v>
      </c>
      <c r="CE589" s="2" t="s">
        <v>1731</v>
      </c>
      <c r="CF589" s="2" t="s">
        <v>6005</v>
      </c>
      <c r="CG589" s="9" t="str">
        <f>HYPERLINK(".\links\KOG\AGAP001826-PA-KOG.txt","Predicted lipoprotein")</f>
        <v>Predicted lipoprotein</v>
      </c>
      <c r="CH589" s="15">
        <v>9.9999999999999995E-21</v>
      </c>
      <c r="CI589" s="2">
        <v>37</v>
      </c>
      <c r="CJ589" s="2" t="s">
        <v>6006</v>
      </c>
      <c r="CK589" s="2" t="s">
        <v>3802</v>
      </c>
      <c r="CL589" s="9" t="str">
        <f>HYPERLINK(".\links\PFAM\AGAP001826-PA-PFAM.txt","Vitellogenin_N, Lipoprotein amino terminal region")</f>
        <v>Vitellogenin_N, Lipoprotein amino terminal region</v>
      </c>
      <c r="CM589" s="15">
        <v>6.9999999999999995E-73</v>
      </c>
      <c r="CN589" s="2">
        <v>102.1</v>
      </c>
      <c r="CO589" s="2" t="s">
        <v>2229</v>
      </c>
      <c r="CP589" s="9" t="str">
        <f>HYPERLINK(".\links\SMART\AGAP001826-PA-SMART.txt","LPD_N, Lipoprotein N-terminal Domain")</f>
        <v>LPD_N, Lipoprotein N-terminal Domain</v>
      </c>
      <c r="CQ589" s="15">
        <v>5.9999999999999997E-75</v>
      </c>
      <c r="CR589" s="2">
        <v>101.2</v>
      </c>
      <c r="CS589" s="2" t="s">
        <v>1731</v>
      </c>
      <c r="CT589" s="2" t="s">
        <v>6000</v>
      </c>
      <c r="CU589" s="2" t="s">
        <v>6000</v>
      </c>
      <c r="CV589" s="2" t="s">
        <v>6000</v>
      </c>
      <c r="CW589" s="2" t="str">
        <f>HYPERLINK(".\links\pep\AGAP001826-PA-pep.txt","AGAP001826-PA")</f>
        <v>AGAP001826-PA</v>
      </c>
      <c r="CX589" s="2" t="s">
        <v>95</v>
      </c>
      <c r="CY589" s="2">
        <v>3332</v>
      </c>
      <c r="CZ589" s="2" t="s">
        <v>113</v>
      </c>
      <c r="DA589" s="2" t="s">
        <v>6007</v>
      </c>
      <c r="DB589" s="2">
        <v>0</v>
      </c>
      <c r="DC589" s="2">
        <v>5</v>
      </c>
      <c r="DD589" s="2" t="str">
        <f>HYPERLINK("https://www.kegg.jp/kegg-bin/search_pathway_text?map=aga&amp;keyword=AGAP001826&amp;mode=1&amp;viewImage=true","AGAP001826")</f>
        <v>AGAP001826</v>
      </c>
      <c r="DE589" s="2" t="s">
        <v>5996</v>
      </c>
      <c r="DF589" s="2" t="s">
        <v>5997</v>
      </c>
      <c r="DG589" s="2" t="s">
        <v>94</v>
      </c>
      <c r="DH589" s="2" t="str">
        <f>HYPERLINK("https://vectorbase.org/vectorbase/app/record/gene/AGAP001826","AGAP001826-RA")</f>
        <v>AGAP001826-RA</v>
      </c>
      <c r="DI589" s="2" t="s">
        <v>118</v>
      </c>
      <c r="DJ589" s="2">
        <v>10507</v>
      </c>
      <c r="DK589" s="2" t="str">
        <f>HYPERLINK(".\links\netoglyc\AGAP001826-PA-netoglyc.txt","0")</f>
        <v>0</v>
      </c>
      <c r="DL589" s="2">
        <v>14.2</v>
      </c>
      <c r="DM589" s="2">
        <v>7.1</v>
      </c>
      <c r="DN589" s="2">
        <v>3</v>
      </c>
      <c r="DO589" s="2">
        <v>0.1</v>
      </c>
      <c r="DP589" s="2" t="s">
        <v>6008</v>
      </c>
      <c r="DQ589" s="2" t="str">
        <f>HYPERLINK(".\links\Sigp\AGAP001826-PA-SigP.txt","SIG")</f>
        <v>SIG</v>
      </c>
      <c r="DR589" s="2" t="s">
        <v>2225</v>
      </c>
      <c r="DS589" s="2">
        <v>366.58499999999998</v>
      </c>
      <c r="DT589" s="2">
        <v>8.02</v>
      </c>
      <c r="DU589" s="2">
        <v>364.10399999999998</v>
      </c>
      <c r="DV589" s="2">
        <v>7.91</v>
      </c>
      <c r="DW589" s="2" t="s">
        <v>6003</v>
      </c>
      <c r="DX589" s="2">
        <v>3332</v>
      </c>
      <c r="DY589" s="12">
        <v>0</v>
      </c>
      <c r="DZ589" s="2" t="s">
        <v>102</v>
      </c>
      <c r="EA589" s="2" t="s">
        <v>102</v>
      </c>
      <c r="EB589" s="2" t="s">
        <v>102</v>
      </c>
      <c r="EC589" s="2" t="str">
        <f>HYPERLINK(".\links\gpi\AGAP001826-PA-gpi.txt","Y-NoSP")</f>
        <v>Y-NoSP</v>
      </c>
      <c r="ED589" s="2">
        <v>0.26</v>
      </c>
      <c r="EF589" s="2">
        <v>34</v>
      </c>
      <c r="EG589" s="2" t="str">
        <f>HYPERLINK(".\links\pep\AGAP001826-PA-sulf.txt","10")</f>
        <v>10</v>
      </c>
      <c r="EH589" s="2" t="s">
        <v>102</v>
      </c>
      <c r="EI589" s="2">
        <v>14.1956782713085</v>
      </c>
      <c r="EJ589" s="2">
        <v>3.0012004801920802</v>
      </c>
      <c r="EK589" s="2">
        <v>7.0828331332532999</v>
      </c>
      <c r="EL589" s="2">
        <v>10.084033613445399</v>
      </c>
      <c r="EM589" s="2" t="s">
        <v>102</v>
      </c>
      <c r="EN589" s="2">
        <v>10</v>
      </c>
      <c r="EO589" s="2">
        <v>10</v>
      </c>
      <c r="EP589" s="2" t="s">
        <v>102</v>
      </c>
      <c r="EQ589" s="2" t="s">
        <v>102</v>
      </c>
      <c r="ER589" s="2" t="s">
        <v>102</v>
      </c>
      <c r="ES589" s="2" t="s">
        <v>102</v>
      </c>
      <c r="ET589" s="2" t="str">
        <f>HYPERLINK(".\links\REFSEQ-INVERTEBRATE\AGAP001826-PA-REFSEQ-INVERTEBRATE.txt","AGAP001826-PA")</f>
        <v>AGAP001826-PA</v>
      </c>
      <c r="EU589" s="2" t="str">
        <f>HYPERLINK("http://www.ncbi.nlm.nih.gov/sutils/blink.cgi?pid=XP_321226.5","0.0")</f>
        <v>0.0</v>
      </c>
      <c r="EV589" s="2" t="str">
        <f>HYPERLINK("http://www.ncbi.nlm.nih.gov/protein/XP_321226.5","XP_321226.5")</f>
        <v>XP_321226.5</v>
      </c>
      <c r="EW589" s="2">
        <v>100</v>
      </c>
      <c r="EX589" s="2">
        <v>100</v>
      </c>
      <c r="EY589" s="2">
        <v>98</v>
      </c>
      <c r="EZ589" s="2" t="s">
        <v>105</v>
      </c>
    </row>
    <row r="590" spans="1:156" x14ac:dyDescent="0.25">
      <c r="A590" s="2" t="s">
        <v>6009</v>
      </c>
      <c r="B590" s="2">
        <v>-3.9670730820839402</v>
      </c>
      <c r="C590" s="2">
        <f t="shared" si="9"/>
        <v>6.3942852646264162E-2</v>
      </c>
      <c r="D590" s="2">
        <v>5.3752726440083398</v>
      </c>
      <c r="E590" s="2">
        <v>10.5106328933211</v>
      </c>
      <c r="F590" s="2">
        <v>1.18689597288213E-3</v>
      </c>
      <c r="G590" s="2">
        <v>3.4708192669214502E-2</v>
      </c>
      <c r="H590" s="2" t="s">
        <v>6010</v>
      </c>
      <c r="I590" s="2" t="s">
        <v>94</v>
      </c>
      <c r="J590" s="2" t="str">
        <f>HYPERLINK("https://vectorbase.org/vectorbase/app/record/gene/AGAP004064","AGAP004064-RB")</f>
        <v>AGAP004064-RB</v>
      </c>
      <c r="K590" s="2" t="str">
        <f>HYPERLINK(".\links\pep\AGAP004064-PB-pep.txt","AGAP004064-PB")</f>
        <v>AGAP004064-PB</v>
      </c>
      <c r="L590" s="12" t="s">
        <v>95</v>
      </c>
      <c r="M590" s="2">
        <v>435</v>
      </c>
      <c r="N590" s="2">
        <v>0</v>
      </c>
      <c r="O590" s="2">
        <v>2</v>
      </c>
      <c r="P590" s="2" t="s">
        <v>6011</v>
      </c>
      <c r="Q590" s="9" t="s">
        <v>6012</v>
      </c>
      <c r="R590" s="2" t="s">
        <v>822</v>
      </c>
      <c r="S590" s="2" t="str">
        <f>HYPERLINK(".\links\KOG\AGAP004064-PB-KOG.txt","KOG")</f>
        <v>KOG</v>
      </c>
      <c r="T590" s="2">
        <v>1E-79</v>
      </c>
      <c r="U590" s="2">
        <v>114</v>
      </c>
      <c r="V590" s="2" t="s">
        <v>6013</v>
      </c>
      <c r="W590" s="10" t="s">
        <v>6014</v>
      </c>
      <c r="X590" s="2" t="s">
        <v>420</v>
      </c>
      <c r="Y590" s="2" t="str">
        <f>HYPERLINK(".\links\REFSEQVERTEBRATE95\AGAP004064-PB-REFSEQVERTEBRATE95.txt","REFSEQVERTEBRATE95")</f>
        <v>REFSEQVERTEBRATE95</v>
      </c>
      <c r="Z590" s="2">
        <v>0</v>
      </c>
      <c r="AA590" s="2">
        <v>96.4</v>
      </c>
      <c r="AB590" s="13" t="str">
        <f>HYPERLINK(".\links\pep\AGAP004064-PB-sulf.txt","1")</f>
        <v>1</v>
      </c>
      <c r="AC590" s="13" t="str">
        <f>HYPERLINK(".\links\Sigp\AGAP004064-PB-SigP.txt","CYT")</f>
        <v>CYT</v>
      </c>
      <c r="AD590" s="2" t="s">
        <v>102</v>
      </c>
      <c r="AE590" s="2">
        <v>48.106999999999999</v>
      </c>
      <c r="AF590" s="2">
        <v>4.9400000000000004</v>
      </c>
      <c r="AG590" s="2" t="s">
        <v>102</v>
      </c>
      <c r="AH590" s="2" t="s">
        <v>102</v>
      </c>
      <c r="AI590" s="2" t="s">
        <v>198</v>
      </c>
      <c r="AJ590" s="13">
        <v>0</v>
      </c>
      <c r="AK590" s="2" t="s">
        <v>102</v>
      </c>
      <c r="AL590" s="2" t="s">
        <v>102</v>
      </c>
      <c r="AM590" s="2" t="s">
        <v>102</v>
      </c>
      <c r="AN590" s="13" t="str">
        <f>HYPERLINK(".\links\gpi\AGAP004064-PB-gpi.txt","N")</f>
        <v>N</v>
      </c>
      <c r="AO590" s="14" t="str">
        <f>HYPERLINK(".\links\netoglyc\AGAP004064-PB-netoglyc.txt","0")</f>
        <v>0</v>
      </c>
      <c r="AP590" s="13">
        <v>12</v>
      </c>
      <c r="AQ590" s="2">
        <v>6</v>
      </c>
      <c r="AR590" s="2">
        <v>4.5999999999999996</v>
      </c>
      <c r="AS590" s="2" t="s">
        <v>104</v>
      </c>
      <c r="AT590" s="9" t="str">
        <f>HYPERLINK(".\links\NR-LIGHT\AGAP004064-PB-NR-LIGHT.txt","AGAP004064-PB")</f>
        <v>AGAP004064-PB</v>
      </c>
      <c r="AU590" s="2" t="str">
        <f>HYPERLINK("http://www.ncbi.nlm.nih.gov/sutils/blink.cgi?pid=XP_003436701.1","0.0")</f>
        <v>0.0</v>
      </c>
      <c r="AV590" s="2" t="str">
        <f>HYPERLINK("http://www.ncbi.nlm.nih.gov/protein/XP_003436701.1","XP_003436701.1")</f>
        <v>XP_003436701.1</v>
      </c>
      <c r="AW590" s="2">
        <v>100</v>
      </c>
      <c r="AX590" s="2">
        <v>100</v>
      </c>
      <c r="AY590" s="2">
        <v>100</v>
      </c>
      <c r="AZ590" s="2" t="s">
        <v>105</v>
      </c>
      <c r="BA590" s="9" t="str">
        <f>HYPERLINK(".\links\REFSEQ-INVERTEBRATE\AGAP004064-PB-REFSEQ-INVERTEBRATE.txt","AGAP004064-PA")</f>
        <v>AGAP004064-PA</v>
      </c>
      <c r="BB590" s="2" t="str">
        <f>HYPERLINK("http://www.ncbi.nlm.nih.gov/sutils/blink.cgi?pid=XP_309616.5","0.0")</f>
        <v>0.0</v>
      </c>
      <c r="BC590" s="2" t="str">
        <f>HYPERLINK("http://www.ncbi.nlm.nih.gov/protein/XP_309616.5","XP_309616.5")</f>
        <v>XP_309616.5</v>
      </c>
      <c r="BD590" s="2">
        <v>100</v>
      </c>
      <c r="BE590" s="2">
        <v>100</v>
      </c>
      <c r="BF590" s="2">
        <v>100</v>
      </c>
      <c r="BG590" s="2" t="s">
        <v>105</v>
      </c>
      <c r="BH590" s="9" t="str">
        <f>HYPERLINK(".\links\REFSEQ-PROTOZOA\AGAP004064-PB-REFSEQ-PROTOZOA.txt","ribosome biogenesis protein Nob1")</f>
        <v>ribosome biogenesis protein Nob1</v>
      </c>
      <c r="BI590" s="2" t="str">
        <f>HYPERLINK("http://www.ncbi.nlm.nih.gov/sutils/blink.cgi?pid=XP_004363844.1","1E-053")</f>
        <v>1E-053</v>
      </c>
      <c r="BJ590" s="2" t="str">
        <f>HYPERLINK("http://www.ncbi.nlm.nih.gov/protein/XP_004363844.1","XP_004363844.1")</f>
        <v>XP_004363844.1</v>
      </c>
      <c r="BK590" s="2">
        <v>34</v>
      </c>
      <c r="BL590" s="2">
        <v>51</v>
      </c>
      <c r="BM590" s="2">
        <v>88</v>
      </c>
      <c r="BN590" s="2" t="s">
        <v>106</v>
      </c>
      <c r="BO590" s="9" t="str">
        <f>HYPERLINK(".\links\SWISSP\AGAP004064-PB-SWISSP.txt","RNA-binding protein NOB1")</f>
        <v>RNA-binding protein NOB1</v>
      </c>
      <c r="BP590" s="2" t="str">
        <f>HYPERLINK("http://www.uniprot.org/uniprot/Q9ULX3","4E-075")</f>
        <v>4E-075</v>
      </c>
      <c r="BQ590" s="2" t="str">
        <f>HYPERLINK("http://www.uniprot.org/uniprot/Q9ULX3#expression","Q9ULX3")</f>
        <v>Q9ULX3</v>
      </c>
      <c r="BR590" s="2">
        <v>39</v>
      </c>
      <c r="BS590" s="2">
        <v>58</v>
      </c>
      <c r="BT590" s="2">
        <v>100</v>
      </c>
      <c r="BU590" s="2" t="s">
        <v>127</v>
      </c>
      <c r="BV590" s="9" t="str">
        <f>HYPERLINK(".\links\FLYBASE\AGAP004064-PB-FLYBASE.txt","FBpp0309414")</f>
        <v>FBpp0309414</v>
      </c>
      <c r="BW590" s="2" t="str">
        <f>HYPERLINK("http://flybase.org/reports/FBgn0030177#alliance_summary_container","1E-140")</f>
        <v>1E-140</v>
      </c>
      <c r="BX590" s="2">
        <v>472</v>
      </c>
      <c r="BY590" s="2">
        <v>47</v>
      </c>
      <c r="BZ590" s="2">
        <v>63</v>
      </c>
      <c r="CA590" s="2">
        <v>100</v>
      </c>
      <c r="CB590" s="9" t="str">
        <f>HYPERLINK(".\links\CDD\AGAP004064-PB-CDD.txt","PIN_Nob1, PIN domain of eukaryotic ribosome assembly factor Nob1 and archaeal UPF0129 protein Ta0041-like homologs")</f>
        <v>PIN_Nob1, PIN domain of eukaryotic ribosome assembly factor Nob1 and archaeal UPF0129 protein Ta0041-like homologs</v>
      </c>
      <c r="CC590" s="15">
        <v>4.9999999999999996E-35</v>
      </c>
      <c r="CD590" s="2">
        <v>92.7</v>
      </c>
      <c r="CE590" s="2" t="s">
        <v>6015</v>
      </c>
      <c r="CF590" s="2" t="s">
        <v>6016</v>
      </c>
      <c r="CG590" s="9" t="str">
        <f>HYPERLINK(".\links\KOG\AGAP004064-PB-KOG.txt","Predicted RNA-binding protein Nob1p involved in 26S proteasome assembly")</f>
        <v>Predicted RNA-binding protein Nob1p involved in 26S proteasome assembly</v>
      </c>
      <c r="CH590" s="15">
        <v>1E-79</v>
      </c>
      <c r="CI590" s="2">
        <v>114.1</v>
      </c>
      <c r="CJ590" s="2" t="s">
        <v>6017</v>
      </c>
      <c r="CK590" s="2" t="s">
        <v>111</v>
      </c>
      <c r="CL590" s="9" t="str">
        <f>HYPERLINK(".\links\PFAM\AGAP004064-PB-PFAM.txt","PIN_6, PIN domain of ribonuclease")</f>
        <v>PIN_6, PIN domain of ribonuclease</v>
      </c>
      <c r="CM590" s="15">
        <v>3.0000000000000002E-33</v>
      </c>
      <c r="CN590" s="2">
        <v>100</v>
      </c>
      <c r="CO590" s="2" t="s">
        <v>6018</v>
      </c>
      <c r="CP590" s="9" t="str">
        <f>HYPERLINK(".\links\SMART\AGAP004064-PB-SMART.txt","OSTEO, Osteopontin")</f>
        <v>OSTEO, Osteopontin</v>
      </c>
      <c r="CQ590" s="15">
        <v>0.22</v>
      </c>
      <c r="CR590" s="2">
        <v>11.5</v>
      </c>
      <c r="CS590" s="2" t="s">
        <v>3123</v>
      </c>
      <c r="CT590" s="2" t="s">
        <v>6013</v>
      </c>
      <c r="CU590" s="2" t="s">
        <v>6013</v>
      </c>
      <c r="CV590" s="2" t="s">
        <v>6013</v>
      </c>
      <c r="CW590" s="2" t="str">
        <f>HYPERLINK(".\links\pep\AGAP004064-PB-pep.txt","AGAP004064-PB")</f>
        <v>AGAP004064-PB</v>
      </c>
      <c r="CX590" s="2" t="s">
        <v>95</v>
      </c>
      <c r="CY590" s="2">
        <v>435</v>
      </c>
      <c r="CZ590" s="2" t="s">
        <v>113</v>
      </c>
      <c r="DA590" s="2" t="s">
        <v>6019</v>
      </c>
      <c r="DB590" s="2">
        <v>0</v>
      </c>
      <c r="DC590" s="2">
        <v>2</v>
      </c>
      <c r="DD590" s="2" t="str">
        <f>HYPERLINK("https://www.kegg.jp/kegg-bin/search_pathway_text?map=aga&amp;keyword=AGAP004064&amp;mode=1&amp;viewImage=true","AGAP004064")</f>
        <v>AGAP004064</v>
      </c>
      <c r="DE590" s="2" t="s">
        <v>6009</v>
      </c>
      <c r="DF590" s="2" t="s">
        <v>6010</v>
      </c>
      <c r="DG590" s="2" t="s">
        <v>94</v>
      </c>
      <c r="DH590" s="2" t="str">
        <f>HYPERLINK("https://vectorbase.org/vectorbase/app/record/gene/AGAP004064","AGAP004064-RB")</f>
        <v>AGAP004064-RB</v>
      </c>
      <c r="DI590" s="2" t="s">
        <v>90</v>
      </c>
      <c r="DJ590" s="2">
        <v>1583</v>
      </c>
      <c r="DK590" s="2" t="str">
        <f>HYPERLINK(".\links\netoglyc\AGAP004064-PB-netoglyc.txt","0")</f>
        <v>0</v>
      </c>
      <c r="DL590" s="2">
        <v>12</v>
      </c>
      <c r="DM590" s="2">
        <v>6</v>
      </c>
      <c r="DN590" s="2">
        <v>4.5999999999999996</v>
      </c>
      <c r="DO590" s="2" t="s">
        <v>104</v>
      </c>
      <c r="DP590" s="2" t="s">
        <v>102</v>
      </c>
      <c r="DQ590" s="2" t="str">
        <f>HYPERLINK(".\links\Sigp\AGAP004064-PB-SigP.txt","CYT")</f>
        <v>CYT</v>
      </c>
      <c r="DR590" s="2" t="s">
        <v>102</v>
      </c>
      <c r="DS590" s="2">
        <v>48.106999999999999</v>
      </c>
      <c r="DT590" s="2">
        <v>4.9400000000000004</v>
      </c>
      <c r="DU590" s="2" t="s">
        <v>102</v>
      </c>
      <c r="DV590" s="2" t="s">
        <v>102</v>
      </c>
      <c r="DW590" s="2" t="s">
        <v>198</v>
      </c>
      <c r="DX590" s="2">
        <v>435</v>
      </c>
      <c r="DY590" s="12">
        <v>0</v>
      </c>
      <c r="DZ590" s="2" t="s">
        <v>102</v>
      </c>
      <c r="EA590" s="2" t="s">
        <v>102</v>
      </c>
      <c r="EB590" s="2" t="s">
        <v>102</v>
      </c>
      <c r="EC590" s="2" t="str">
        <f>HYPERLINK(".\links\gpi\AGAP004064-PB-gpi.txt","Y-NoSP")</f>
        <v>Y-NoSP</v>
      </c>
      <c r="ED590" s="2">
        <v>0.22</v>
      </c>
      <c r="EF590" s="2">
        <v>7</v>
      </c>
      <c r="EG590" s="2" t="str">
        <f>HYPERLINK(".\links\pep\AGAP004064-PB-sulf.txt","1")</f>
        <v>1</v>
      </c>
      <c r="EH590" s="2" t="s">
        <v>102</v>
      </c>
      <c r="EI590" s="2">
        <v>11.954022988505701</v>
      </c>
      <c r="EJ590" s="2">
        <v>4.5977011494252897</v>
      </c>
      <c r="EK590" s="2">
        <v>5.9770114942528698</v>
      </c>
      <c r="EL590" s="2">
        <v>10.5747126436782</v>
      </c>
      <c r="EM590" s="2" t="s">
        <v>102</v>
      </c>
      <c r="EN590" s="2">
        <v>1</v>
      </c>
      <c r="EO590" s="2">
        <v>1</v>
      </c>
      <c r="EP590" s="2" t="s">
        <v>102</v>
      </c>
      <c r="EQ590" s="2" t="s">
        <v>102</v>
      </c>
      <c r="ER590" s="2" t="s">
        <v>102</v>
      </c>
      <c r="ES590" s="2" t="s">
        <v>102</v>
      </c>
      <c r="ET590" s="2" t="str">
        <f>HYPERLINK(".\links\REFSEQ-INVERTEBRATE\AGAP004064-PB-REFSEQ-INVERTEBRATE.txt","AGAP004064-PA")</f>
        <v>AGAP004064-PA</v>
      </c>
      <c r="EU590" s="2" t="str">
        <f>HYPERLINK("http://www.ncbi.nlm.nih.gov/sutils/blink.cgi?pid=XP_309616.5","0.0")</f>
        <v>0.0</v>
      </c>
      <c r="EV590" s="2" t="str">
        <f>HYPERLINK("http://www.ncbi.nlm.nih.gov/protein/XP_309616.5","XP_309616.5")</f>
        <v>XP_309616.5</v>
      </c>
      <c r="EW590" s="2">
        <v>100</v>
      </c>
      <c r="EX590" s="2">
        <v>100</v>
      </c>
      <c r="EY590" s="2">
        <v>100</v>
      </c>
      <c r="EZ590" s="2" t="s">
        <v>105</v>
      </c>
    </row>
  </sheetData>
  <autoFilter ref="A1:EZ1" xr:uid="{B3F430AC-7918-49CE-93A9-A461CED1E20A}">
    <sortState xmlns:xlrd2="http://schemas.microsoft.com/office/spreadsheetml/2017/richdata2" ref="A2:EZ590">
      <sortCondition descending="1" ref="B1"/>
    </sortState>
  </autoFilter>
  <hyperlinks>
    <hyperlink ref="DH563" r:id="rId1" xr:uid="{B94D7FBE-3BE4-44F2-9886-923624F8364D}"/>
    <hyperlink ref="DH497" r:id="rId2" xr:uid="{94687EF0-D756-4937-9D5C-431CB31320E7}"/>
    <hyperlink ref="DH535" r:id="rId3" xr:uid="{1D93055E-7D40-4813-9AD7-4F85922290E1}"/>
    <hyperlink ref="DH492" r:id="rId4" xr:uid="{5A9BC284-3321-4A90-B194-1B07AB44CCF7}"/>
    <hyperlink ref="DH468" r:id="rId5" xr:uid="{53152D66-F049-49ED-9282-8EDAC68B3B1B}"/>
    <hyperlink ref="DH330" r:id="rId6" xr:uid="{EC1F57EA-C739-4324-8571-6E6B3B659FC1}"/>
    <hyperlink ref="DH545" r:id="rId7" xr:uid="{B02810CE-776B-4EEA-8249-3AA3F6FA2763}"/>
    <hyperlink ref="DH98" r:id="rId8" xr:uid="{E833C89A-B1F2-4CDA-91AB-9DADA55EAA35}"/>
    <hyperlink ref="DH275" r:id="rId9" xr:uid="{21DCA7BC-65B7-4234-9ADA-635C17D5C2EA}"/>
    <hyperlink ref="DH361" r:id="rId10" xr:uid="{BAFAE626-E49E-49B1-B726-167D8B6EA89F}"/>
    <hyperlink ref="DH532" r:id="rId11" xr:uid="{91FDE913-A0F4-4740-97BF-CEB8D6D794AD}"/>
    <hyperlink ref="DH345" r:id="rId12" xr:uid="{1E96F0FD-CA3F-49A6-B7E7-E8CB0431FB9A}"/>
    <hyperlink ref="DH549" r:id="rId13" xr:uid="{286593C6-7DD9-42D1-BA92-7C7BCAFC45AD}"/>
    <hyperlink ref="DH380" r:id="rId14" xr:uid="{3CC8853B-8B2B-4EE6-B337-7BE53E4096AA}"/>
    <hyperlink ref="DH508" r:id="rId15" xr:uid="{A9F4C6DB-2E95-4B16-9228-7A699D0236C0}"/>
    <hyperlink ref="DH341" r:id="rId16" xr:uid="{15FA97E1-0B50-4BA3-BFF5-AD3A1051348C}"/>
    <hyperlink ref="DH231" r:id="rId17" xr:uid="{784816A5-1F9C-40C9-AD20-364F881B09DF}"/>
    <hyperlink ref="DH67" r:id="rId18" xr:uid="{C0CC32B5-3B9D-456C-B21E-27A66459DC58}"/>
    <hyperlink ref="DH37" r:id="rId19" xr:uid="{71727274-1C28-41BC-AC74-F989B71AB140}"/>
    <hyperlink ref="DH151" r:id="rId20" xr:uid="{332533A9-23EB-4493-9569-C58A0265F87C}"/>
    <hyperlink ref="DH208" r:id="rId21" xr:uid="{46907B7F-11C4-4E59-8002-D30DFABC2E6B}"/>
    <hyperlink ref="DH360" r:id="rId22" xr:uid="{63DC8976-9801-4889-A75F-C8218ED6A107}"/>
    <hyperlink ref="DH342" r:id="rId23" xr:uid="{807F2EBC-1946-4883-98E8-78FBF1F9B1DC}"/>
    <hyperlink ref="DH546" r:id="rId24" xr:uid="{3E7EE12A-8CC6-4DEE-A52C-82F338346750}"/>
    <hyperlink ref="DH408" r:id="rId25" xr:uid="{40A44C25-0C7B-4B6D-8D9D-8A7D6200B6B3}"/>
    <hyperlink ref="DH456" r:id="rId26" xr:uid="{6E40544F-AE00-40CC-A848-32C897408D9E}"/>
    <hyperlink ref="DH466" r:id="rId27" xr:uid="{B46FE3C0-A52D-4791-9DCA-92B1844EA6AC}"/>
    <hyperlink ref="DH555" r:id="rId28" xr:uid="{0C4FA581-1635-4976-BF95-63C4C2943EB6}"/>
    <hyperlink ref="DH462" r:id="rId29" xr:uid="{F9E7E6C1-28F6-4869-A49F-75AE7797A662}"/>
    <hyperlink ref="DH557" r:id="rId30" xr:uid="{654301BA-30D5-4250-A0C3-83B4A276BC4F}"/>
    <hyperlink ref="DH464" r:id="rId31" xr:uid="{1A8052D2-73FD-4ACB-8C88-44D17F082CE3}"/>
    <hyperlink ref="DH476" r:id="rId32" xr:uid="{23E789AC-B1E0-453F-BDCC-7D2ADDFACA7F}"/>
    <hyperlink ref="DH276" r:id="rId33" xr:uid="{83F5C0EA-9B4E-4F5D-B2BF-742DCF52508B}"/>
    <hyperlink ref="DH550" r:id="rId34" xr:uid="{D5A88DA7-8DD4-4410-A483-F720AF6EB98E}"/>
    <hyperlink ref="DH2" r:id="rId35" xr:uid="{7A7E0A99-A4E8-4717-BABC-9B7993AD01B3}"/>
    <hyperlink ref="DH301" r:id="rId36" xr:uid="{51815E91-0C5D-4537-8041-6708E3462D38}"/>
    <hyperlink ref="DH108" r:id="rId37" xr:uid="{D73FA46E-098C-4154-BB4E-86723B9CE393}"/>
    <hyperlink ref="DH33" r:id="rId38" xr:uid="{F94330C7-99B0-44CC-A2B4-A2B4E2BC3B21}"/>
    <hyperlink ref="DH168" r:id="rId39" xr:uid="{2AC2C52A-EA20-4BCF-8168-70D6A3C9815D}"/>
    <hyperlink ref="DH485" r:id="rId40" xr:uid="{6192B247-C7F2-408D-B0F3-E1E847F42A59}"/>
    <hyperlink ref="DH244" r:id="rId41" xr:uid="{E6169060-5D42-4FA0-A533-5B217F1E9C3D}"/>
    <hyperlink ref="DH544" r:id="rId42" xr:uid="{E9E69E22-FDF9-46A5-BD29-712FA3ACBFD5}"/>
    <hyperlink ref="DH457" r:id="rId43" xr:uid="{208B8468-E403-4A54-ACFB-99AD02684341}"/>
    <hyperlink ref="DH494" r:id="rId44" xr:uid="{030F3B02-959F-4D85-9C56-E912D5A3CCA3}"/>
    <hyperlink ref="DH353" r:id="rId45" xr:uid="{7A4BE1B3-C966-4AC2-B776-E21062D7FD45}"/>
    <hyperlink ref="J563" r:id="rId46" xr:uid="{A2E99B38-CE70-4FB8-AA7E-6C03B26B69CB}"/>
    <hyperlink ref="J497" r:id="rId47" xr:uid="{83140A9D-0DAF-4C74-9EA7-C0728FE45350}"/>
    <hyperlink ref="J535" r:id="rId48" xr:uid="{0CA1C04D-34AF-4918-AB7A-C741620A5AE0}"/>
    <hyperlink ref="J492" r:id="rId49" xr:uid="{844F3D07-CC45-49F5-81FB-75CF376753CF}"/>
    <hyperlink ref="J468" r:id="rId50" xr:uid="{EDFFFA9B-C458-4520-88BF-9D79C6AC0C98}"/>
    <hyperlink ref="J330" r:id="rId51" xr:uid="{568CDBB1-2163-41CE-8008-AEDDF4193F3E}"/>
    <hyperlink ref="J545" r:id="rId52" xr:uid="{B70DAB82-D74A-46F5-9961-A179BD299553}"/>
    <hyperlink ref="J98" r:id="rId53" xr:uid="{E70CC440-E9DD-4816-BD36-AA23347BCE04}"/>
    <hyperlink ref="J275" r:id="rId54" xr:uid="{3346C39B-F447-48A9-ABEE-98D63A17B019}"/>
    <hyperlink ref="J361" r:id="rId55" xr:uid="{9D58E2A3-335F-44D0-BE5D-F44971B65DEA}"/>
    <hyperlink ref="J532" r:id="rId56" xr:uid="{911E28DE-7FE4-4DCA-A0DD-AC7C3AF6D353}"/>
    <hyperlink ref="J345" r:id="rId57" xr:uid="{DEB373E9-618A-43E1-97A7-39347A19C190}"/>
    <hyperlink ref="J549" r:id="rId58" xr:uid="{9C6D8220-2EB2-4152-8F50-FC1669363DCC}"/>
    <hyperlink ref="J380" r:id="rId59" xr:uid="{9A0DB7A3-95BC-4527-9C2E-6DDA36A67864}"/>
    <hyperlink ref="J508" r:id="rId60" xr:uid="{5EE52435-D9A3-492F-9513-57638B7AB8DA}"/>
    <hyperlink ref="J341" r:id="rId61" xr:uid="{E702A1E7-A6BF-4959-9108-D4628DEFAFE9}"/>
    <hyperlink ref="J231" r:id="rId62" xr:uid="{5D8A63D0-9C9C-4134-9F0A-760264747FB6}"/>
    <hyperlink ref="J67" r:id="rId63" xr:uid="{62FE492C-6441-44FA-B13E-0C7ED59094DA}"/>
    <hyperlink ref="J37" r:id="rId64" xr:uid="{E559C697-2596-4AEF-BD92-23710C555BA7}"/>
    <hyperlink ref="J151" r:id="rId65" xr:uid="{48F3BB5F-CA36-4F54-BD73-C43804E05948}"/>
    <hyperlink ref="J208" r:id="rId66" xr:uid="{355D79E9-6216-45E5-982F-0FF4049D7DCB}"/>
    <hyperlink ref="J360" r:id="rId67" xr:uid="{7D9D8671-4A94-43A8-AC88-54EB86C6C3F9}"/>
    <hyperlink ref="J342" r:id="rId68" xr:uid="{2B33D945-BF72-4B22-B25C-352600B51857}"/>
    <hyperlink ref="J546" r:id="rId69" xr:uid="{03CAA865-08E1-4596-8771-0F6D0021E547}"/>
    <hyperlink ref="J408" r:id="rId70" xr:uid="{C266596A-2932-4493-A540-DAFFBC316A84}"/>
    <hyperlink ref="J456" r:id="rId71" xr:uid="{36C69FFD-82BD-4776-9FDA-62180C6209C9}"/>
    <hyperlink ref="J466" r:id="rId72" xr:uid="{FF23831A-62C6-4054-9604-4E4075472049}"/>
    <hyperlink ref="J555" r:id="rId73" xr:uid="{33458A38-EC9D-4E18-9D3B-144A026C9D4D}"/>
    <hyperlink ref="J462" r:id="rId74" xr:uid="{C8453B49-4FF2-4CAF-A29B-95E837BB142D}"/>
    <hyperlink ref="J557" r:id="rId75" xr:uid="{B51810D7-5F6C-4F72-8DCE-E25B1ACC984A}"/>
    <hyperlink ref="J464" r:id="rId76" xr:uid="{6A5E0CD7-90DF-437B-A64C-C0EB58A43344}"/>
    <hyperlink ref="J476" r:id="rId77" xr:uid="{3A7800A0-2313-4C52-8DF7-EAE30D9FBBD8}"/>
    <hyperlink ref="J276" r:id="rId78" xr:uid="{529378F1-DC91-4834-B7D8-1827A3F25FD1}"/>
    <hyperlink ref="J550" r:id="rId79" xr:uid="{BAB64924-D845-4BFA-8719-A38BEB93E6E4}"/>
    <hyperlink ref="J2" r:id="rId80" xr:uid="{C18F2452-EDD1-4B05-B1FF-771F453D1127}"/>
    <hyperlink ref="J301" r:id="rId81" xr:uid="{1779A017-41CB-415D-8470-E587320ED970}"/>
    <hyperlink ref="J108" r:id="rId82" xr:uid="{2DB76463-07DE-41D8-95C0-0A8879EDE743}"/>
    <hyperlink ref="J33" r:id="rId83" xr:uid="{6246A9F6-9F67-4082-BA53-DEA40C829578}"/>
    <hyperlink ref="J168" r:id="rId84" xr:uid="{DCDA9727-81EB-4695-B01F-D46E6B04B454}"/>
    <hyperlink ref="J485" r:id="rId85" xr:uid="{FADE09A2-C684-46CC-9439-91918E6827F8}"/>
    <hyperlink ref="J244" r:id="rId86" xr:uid="{6421E318-7775-4000-ABBE-CB8BB96C6515}"/>
    <hyperlink ref="J544" r:id="rId87" xr:uid="{7A10C618-62B4-4D79-8075-991F98B367CE}"/>
    <hyperlink ref="J457" r:id="rId88" xr:uid="{5CB90DDC-E421-4D7A-8EE7-B290848DEAEE}"/>
    <hyperlink ref="J494" r:id="rId89" xr:uid="{1994A8C7-FCF1-40AE-9BD7-77CA08985898}"/>
    <hyperlink ref="J353" r:id="rId90" xr:uid="{1B9AC16D-677A-4034-B9A2-D98729FCE6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Alves E Silva, Thiago Luiz (NIH/NIAID) [E]</dc:creator>
  <cp:lastModifiedBy>De Souza Saraiva, Francis (NIH/NIAID) [F]</cp:lastModifiedBy>
  <dcterms:created xsi:type="dcterms:W3CDTF">2025-09-22T21:13:45Z</dcterms:created>
  <dcterms:modified xsi:type="dcterms:W3CDTF">2026-06-10T16:25:04Z</dcterms:modified>
</cp:coreProperties>
</file>