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202300"/>
  <mc:AlternateContent xmlns:mc="http://schemas.openxmlformats.org/markup-compatibility/2006">
    <mc:Choice Requires="x15">
      <x15ac:absPath xmlns:x15ac="http://schemas.microsoft.com/office/spreadsheetml/2010/11/ac" url="J:\Francis\Hemopexin manuscript\6-5-2026\"/>
    </mc:Choice>
  </mc:AlternateContent>
  <xr:revisionPtr revIDLastSave="0" documentId="13_ncr:1_{D362BFAD-8DC4-4DD8-B950-25AAA69AB5FF}" xr6:coauthVersionLast="47" xr6:coauthVersionMax="47" xr10:uidLastSave="{00000000-0000-0000-0000-000000000000}"/>
  <bookViews>
    <workbookView xWindow="28680" yWindow="-120" windowWidth="29040" windowHeight="15720" xr2:uid="{C557C7F6-BC27-4D13-BBEA-B7014826770D}"/>
  </bookViews>
  <sheets>
    <sheet name="ALL" sheetId="1" r:id="rId1"/>
  </sheets>
  <definedNames>
    <definedName name="_xlnm._FilterDatabase" localSheetId="0" hidden="1">ALL!$A$1:$EZ$1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U5" i="1" l="1"/>
  <c r="ET5" i="1"/>
  <c r="ES5" i="1"/>
  <c r="EB5" i="1"/>
  <c r="DX5" i="1"/>
  <c r="DP5" i="1"/>
  <c r="DJ5" i="1"/>
  <c r="DG5" i="1"/>
  <c r="DC5" i="1"/>
  <c r="CV5" i="1"/>
  <c r="CO5" i="1"/>
  <c r="CK5" i="1"/>
  <c r="CF5" i="1"/>
  <c r="CA5" i="1"/>
  <c r="BV5" i="1"/>
  <c r="BU5" i="1"/>
  <c r="BP5" i="1"/>
  <c r="BO5" i="1"/>
  <c r="BN5" i="1"/>
  <c r="BI5" i="1"/>
  <c r="BH5" i="1"/>
  <c r="BG5" i="1"/>
  <c r="BB5" i="1"/>
  <c r="BA5" i="1"/>
  <c r="AZ5" i="1"/>
  <c r="AU5" i="1"/>
  <c r="AT5" i="1"/>
  <c r="AS5" i="1"/>
  <c r="AN5" i="1"/>
  <c r="AM5" i="1"/>
  <c r="AI5" i="1"/>
  <c r="AB5" i="1"/>
  <c r="X5" i="1"/>
  <c r="R5" i="1"/>
  <c r="J5" i="1"/>
  <c r="I5" i="1"/>
  <c r="EU3" i="1"/>
  <c r="ET3" i="1"/>
  <c r="ES3" i="1"/>
  <c r="EB3" i="1"/>
  <c r="DX3" i="1"/>
  <c r="DP3" i="1"/>
  <c r="DJ3" i="1"/>
  <c r="DG3" i="1"/>
  <c r="DC3" i="1"/>
  <c r="CV3" i="1"/>
  <c r="CO3" i="1"/>
  <c r="CK3" i="1"/>
  <c r="CF3" i="1"/>
  <c r="CA3" i="1"/>
  <c r="BV3" i="1"/>
  <c r="BU3" i="1"/>
  <c r="BP3" i="1"/>
  <c r="BO3" i="1"/>
  <c r="BN3" i="1"/>
  <c r="BI3" i="1"/>
  <c r="BH3" i="1"/>
  <c r="BG3" i="1"/>
  <c r="BB3" i="1"/>
  <c r="BA3" i="1"/>
  <c r="AZ3" i="1"/>
  <c r="AU3" i="1"/>
  <c r="AT3" i="1"/>
  <c r="AS3" i="1"/>
  <c r="AN3" i="1"/>
  <c r="AM3" i="1"/>
  <c r="AI3" i="1"/>
  <c r="AB3" i="1"/>
  <c r="X3" i="1"/>
  <c r="R3" i="1"/>
  <c r="J3" i="1"/>
  <c r="I3" i="1"/>
  <c r="EU4" i="1"/>
  <c r="ET4" i="1"/>
  <c r="ES4" i="1"/>
  <c r="EB4" i="1"/>
  <c r="DP4" i="1"/>
  <c r="DJ4" i="1"/>
  <c r="DG4" i="1"/>
  <c r="DC4" i="1"/>
  <c r="CV4" i="1"/>
  <c r="CO4" i="1"/>
  <c r="CK4" i="1"/>
  <c r="CF4" i="1"/>
  <c r="CA4" i="1"/>
  <c r="BV4" i="1"/>
  <c r="BU4" i="1"/>
  <c r="BP4" i="1"/>
  <c r="BO4" i="1"/>
  <c r="BN4" i="1"/>
  <c r="BI4" i="1"/>
  <c r="BH4" i="1"/>
  <c r="BG4" i="1"/>
  <c r="BB4" i="1"/>
  <c r="BA4" i="1"/>
  <c r="AZ4" i="1"/>
  <c r="AU4" i="1"/>
  <c r="AT4" i="1"/>
  <c r="AS4" i="1"/>
  <c r="AN4" i="1"/>
  <c r="AM4" i="1"/>
  <c r="AB4" i="1"/>
  <c r="X4" i="1"/>
  <c r="R4" i="1"/>
  <c r="J4" i="1"/>
  <c r="I4" i="1"/>
  <c r="EU2" i="1"/>
  <c r="ET2" i="1"/>
  <c r="ES2" i="1"/>
  <c r="EF2" i="1"/>
  <c r="EB2" i="1"/>
  <c r="DP2" i="1"/>
  <c r="DJ2" i="1"/>
  <c r="DG2" i="1"/>
  <c r="DC2" i="1"/>
  <c r="CV2" i="1"/>
  <c r="CO2" i="1"/>
  <c r="CK2" i="1"/>
  <c r="CF2" i="1"/>
  <c r="CA2" i="1"/>
  <c r="BV2" i="1"/>
  <c r="BU2" i="1"/>
  <c r="BP2" i="1"/>
  <c r="BO2" i="1"/>
  <c r="BN2" i="1"/>
  <c r="BI2" i="1"/>
  <c r="BH2" i="1"/>
  <c r="BG2" i="1"/>
  <c r="BB2" i="1"/>
  <c r="BA2" i="1"/>
  <c r="AZ2" i="1"/>
  <c r="AU2" i="1"/>
  <c r="AT2" i="1"/>
  <c r="AS2" i="1"/>
  <c r="AN2" i="1"/>
  <c r="AM2" i="1"/>
  <c r="AB2" i="1"/>
  <c r="AA2" i="1"/>
  <c r="X2" i="1"/>
  <c r="R2" i="1"/>
  <c r="J2" i="1"/>
  <c r="I2" i="1"/>
  <c r="DJ1" i="1"/>
  <c r="AN1" i="1"/>
</calcChain>
</file>

<file path=xl/sharedStrings.xml><?xml version="1.0" encoding="utf-8"?>
<sst xmlns="http://schemas.openxmlformats.org/spreadsheetml/2006/main" count="373" uniqueCount="169">
  <si>
    <t>Seq name (Nuc)</t>
  </si>
  <si>
    <t>logFC</t>
  </si>
  <si>
    <t>logCPM</t>
  </si>
  <si>
    <t>LR</t>
  </si>
  <si>
    <t>PValue</t>
  </si>
  <si>
    <t>FDR</t>
  </si>
  <si>
    <t>Gene name</t>
  </si>
  <si>
    <t>Gene type</t>
  </si>
  <si>
    <t>Vector base</t>
  </si>
  <si>
    <t>Seq name</t>
  </si>
  <si>
    <t>First residue</t>
  </si>
  <si>
    <t>Seq size</t>
  </si>
  <si>
    <t>%X</t>
  </si>
  <si>
    <t>DP's</t>
  </si>
  <si>
    <t>Class (updated)</t>
  </si>
  <si>
    <t>DBase</t>
  </si>
  <si>
    <t>Evalue</t>
  </si>
  <si>
    <t>% Coverage</t>
  </si>
  <si>
    <t>Contig Name</t>
  </si>
  <si>
    <t>Comments</t>
  </si>
  <si>
    <t>Class</t>
  </si>
  <si>
    <t>Dbase</t>
  </si>
  <si>
    <t>% coverage</t>
  </si>
  <si>
    <t>Predicted Tyr-SO4 - Prosite rules</t>
  </si>
  <si>
    <t>SigP Result</t>
  </si>
  <si>
    <t>Cleavage Position</t>
  </si>
  <si>
    <t>MW</t>
  </si>
  <si>
    <t>pI</t>
  </si>
  <si>
    <t>Mature MW</t>
  </si>
  <si>
    <t xml:space="preserve">pI </t>
  </si>
  <si>
    <t>TMHMM result</t>
  </si>
  <si>
    <t>Predicted helices</t>
  </si>
  <si>
    <t>% membrane</t>
  </si>
  <si>
    <t>% outside</t>
  </si>
  <si>
    <t>% inside</t>
  </si>
  <si>
    <t xml:space="preserve">DGPI GPI anchor prediction </t>
  </si>
  <si>
    <t>Percent Ser+Thr</t>
  </si>
  <si>
    <t>Percent Gly</t>
  </si>
  <si>
    <t>Percent Pro</t>
  </si>
  <si>
    <t xml:space="preserve">Percent GGY </t>
  </si>
  <si>
    <t>Best match to NR-LIGHT protein database</t>
  </si>
  <si>
    <t>E value</t>
  </si>
  <si>
    <t>Match</t>
  </si>
  <si>
    <t>% identity</t>
  </si>
  <si>
    <t>% similarity</t>
  </si>
  <si>
    <t xml:space="preserve">Species of best match </t>
  </si>
  <si>
    <t>Best match to REFSEQ-INVERTEBRATE protein database</t>
  </si>
  <si>
    <t>Best match to REFSEQ-PROTOZOA protein database</t>
  </si>
  <si>
    <t>Best match to SWISSP protein database</t>
  </si>
  <si>
    <t>Best match to FLYBASE database</t>
  </si>
  <si>
    <t>E value and link to Flybase</t>
  </si>
  <si>
    <t>Length of best match</t>
  </si>
  <si>
    <t>Best match to CDD database</t>
  </si>
  <si>
    <t>Coverage</t>
  </si>
  <si>
    <t>Description</t>
  </si>
  <si>
    <t xml:space="preserve">All CDD domains </t>
  </si>
  <si>
    <t>Best match to KOG database</t>
  </si>
  <si>
    <t>Best match to PFAM database</t>
  </si>
  <si>
    <t xml:space="preserve">Description </t>
  </si>
  <si>
    <t>Best match to SMART database</t>
  </si>
  <si>
    <t>Name</t>
  </si>
  <si>
    <t>Sequence name</t>
  </si>
  <si>
    <t>Database</t>
  </si>
  <si>
    <t>Species</t>
  </si>
  <si>
    <t>Chromosome</t>
  </si>
  <si>
    <t>KEGG MAP</t>
  </si>
  <si>
    <t xml:space="preserve">ProP furin cleavage predictions </t>
  </si>
  <si>
    <t>Lenght</t>
  </si>
  <si>
    <t>DGPI GPI anchor prediction</t>
  </si>
  <si>
    <t>Sum of residues</t>
  </si>
  <si>
    <t>Increased AA</t>
  </si>
  <si>
    <t>Cys number</t>
  </si>
  <si>
    <t>R(K)GD flanked by Cys</t>
  </si>
  <si>
    <t>% Ser + Thr</t>
  </si>
  <si>
    <t>% Pro</t>
  </si>
  <si>
    <t>% Gly</t>
  </si>
  <si>
    <t>% Gly+Pro</t>
  </si>
  <si>
    <t>Number of possible HO-Pro [LPAE]-P-G</t>
  </si>
  <si>
    <t>Number of possible OH-lysines X-Lys-Gly not Lys-Gly-Pro</t>
  </si>
  <si>
    <t>Number of PG's</t>
  </si>
  <si>
    <t>WC coxy motif</t>
  </si>
  <si>
    <t>WP coxy motif</t>
  </si>
  <si>
    <t>CPC coxy motif</t>
  </si>
  <si>
    <t>P-I-I-X-G-X(7-15)-C</t>
  </si>
  <si>
    <t>Species of best match</t>
  </si>
  <si>
    <t>AGAP001446-RA</t>
  </si>
  <si>
    <t xml:space="preserve">AMP-activated protein kinase, gamma regulatory subunit </t>
  </si>
  <si>
    <t xml:space="preserve">protein_coding_gene </t>
  </si>
  <si>
    <t>M</t>
  </si>
  <si>
    <t>AMP-activated protein kinase, gamma regulatory subunit</t>
  </si>
  <si>
    <t>5'-AMP-activated protein kinase gamma subunit</t>
  </si>
  <si>
    <t>met/energy</t>
  </si>
  <si>
    <t>AGAP001446-PA</t>
  </si>
  <si>
    <t xml:space="preserve"> protein kinase</t>
  </si>
  <si>
    <t>st</t>
  </si>
  <si>
    <t xml:space="preserve"> </t>
  </si>
  <si>
    <t>ExpAA=0.05 First60=0.00 PredHel=0 Topology=o</t>
  </si>
  <si>
    <t xml:space="preserve">. </t>
  </si>
  <si>
    <t>Anopheles gambiae str. PEST</t>
  </si>
  <si>
    <t>Capsaspora owczarzaki ATCC 30864</t>
  </si>
  <si>
    <t>Mus musculus</t>
  </si>
  <si>
    <t>cd04641, CBS_pair_28, The CBS domain, named after human CBS, is a small domain originally identified in cystathionine beta-synthase and is subsequently found in a wide range of different proteins. CBS domains usually occur in tandem repeats. They associate to form a so-called Bateman domain or a CBS pair based on crystallographic studies in bacteria.  The CBS pair was used as a basis for this cd hierarchy since the human CBS proteins can adopt the typical core structure and form an intramolecular CBS pair.  The interface between the two CBS domains forms a cleft that is a potential ligand binding site. The CBS pair coexists with a variety of other functional domains and this has been used to help in its classification here.  It has been proposed that the CBS domain may play a regulatory role, although its exact function is unknown. Mutations of conserved residues within this domain are associated with a variety of human hereditary diseases, including congenital myotonia, idiopathic generalized epilepsy, hypercalciuric nephrolithiasis, and classic Bartter syndrome (CLC chloride channel family members), Wolff-Parkinson-White syndrome (gamma 2 subunit of AMP-activated protein kinase), retinitis pigmentosa (IMP dehydrogenase-1), and homocystinuria (cystathionine beta-synthase).</t>
  </si>
  <si>
    <t>CBS_pair_28 1e-045| CBS_pair_5 2e-035| CBS_pair_18 1e-012| CBS_pair 5e-012| CBS_pair_15 7e-011| CBS_pair_29 7e-009| CBS_pair_ACT_assoc2 2e-008| CBS_pair_14 6e-008| CBS_pair_CAP-ED_DUF294_assoc_arch 7e-008| COG2524 3e-007|</t>
  </si>
  <si>
    <t>KOG1764, KOG1764, KOG1764, 5'-AMP-activated protein kinase, gamma subunit [Energy production and conversion].</t>
  </si>
  <si>
    <t xml:space="preserve">Energy production and conversion </t>
  </si>
  <si>
    <t>pfam00571, CBS, CBS domain.  CBS domains are small intracellular modules that pair together to form a stable globular domain. This family represents a single CBS domain. Pairs of these domains have been termed a Bateman domain. CBS domains have been shown to bind ligands with an adenosyl group such as AMP, ATP and S-AdoMet. CBS domains are found attached to a wide range of other protein domains suggesting that CBS domains may play a regulatory role making proteins sensitive to adenosyl carrying ligands. The region containing the CBS domains in Cystathionine-beta synthase is involved in regulation by S-AdoMet. CBS domain pairs from AMPK bind AMP or ATP. The CBS domains from IMPDH and the chloride channel CLC2 bind ATP.</t>
  </si>
  <si>
    <t>smart00116, CBS, Domain in cystathionine beta-synthase and other proteins.  Domain present in all 3 forms of cellular life. Present in two copies in inosine monophosphate dehydrogenase, of which one is disordered in the crystal structure. A number of disease states are associated with CBS-containing proteins including homocystinuria, Becker's and Thomsen disease.</t>
  </si>
  <si>
    <t>Anopheles_gambiae_str._PEST</t>
  </si>
  <si>
    <t xml:space="preserve"> AgamP4_2R:5140730-5182836(-) </t>
  </si>
  <si>
    <t>G</t>
  </si>
  <si>
    <t>AGAP007608.R518</t>
  </si>
  <si>
    <t>MADS-box transcription enhancer factor 2, invertebrate</t>
  </si>
  <si>
    <t>protein coding gene</t>
  </si>
  <si>
    <t>VectorBase: AGAP007608</t>
  </si>
  <si>
    <t>A</t>
  </si>
  <si>
    <t>CYT</t>
  </si>
  <si>
    <t>AGAP009662-RA</t>
  </si>
  <si>
    <t xml:space="preserve">unspecified product </t>
  </si>
  <si>
    <t>C2H2-type Zn-finger protein - probable fragment - 31 OH-glycosylation sites -  31 NetOglyc sites</t>
  </si>
  <si>
    <t>tm</t>
  </si>
  <si>
    <t>AGAP009662-PA</t>
  </si>
  <si>
    <t xml:space="preserve"> zinc finger protein 1 - 31 OH-glycosylation sites -  31 NetOglyc sites</t>
  </si>
  <si>
    <t>ExpAA=0.02 First60=0.00 PredHel=0 Topology=o</t>
  </si>
  <si>
    <t>Toxoplasma gondii ME49</t>
  </si>
  <si>
    <t>Drosophila melanogaster</t>
  </si>
  <si>
    <t>sd00017, ZF_C2H2, Zinc finger, C2H2 type.  The C2H2 zinc finger is a classical zinc finger domain. C2H2-type zinc fingers are ubiquitous; more than 1% of all mammalian proteins are predicted to contain at least one zinc finger. They often function as DNA or protein binding structural motifs, such as in eukaryotic transcription factors, and therefore they play important roles in cellular processes such as development, differentiation, and oncosuppression. C2H2 zinc finger proteins contain from 1 to more than 30 zinc finger repeats.</t>
  </si>
  <si>
    <t>ZF_C2H2 4e-031| ZF_C2H2 6e-017| PAT1 8e-007| zf-H2C2_2 8e-005| PRK10263 9e-005| ZF_C2H2 1e-004| SFP1 8e-004| retinal_rod 0.001| Amelogenin 0.001| COG5048 0.002|</t>
  </si>
  <si>
    <t>KOG2462, KOG2462, KOG2462, C2H2-type Zn-finger protein [Transcription].</t>
  </si>
  <si>
    <t xml:space="preserve">Transcription </t>
  </si>
  <si>
    <t>pfam09770, PAT1, Topoisomerase II-associated protein PAT1.  Members of this family are necessary for accurate chromosome transmission during cell division.</t>
  </si>
  <si>
    <t>smart00818, Amelogenin, Amelogenins, cell adhesion proteins, play a role in the biomineralisation of teeth.  They seem to regulate formation of crystallites during the secretory stage of tooth enamel development and are thought to play a major role in the structural organisation and mineralisation of developing enamel. The extracellular matrix of the developing enamel comprises two major classes of protein: the hydrophobic amelogenins and the acidic enamelins. Circular dichroism studies of porcine amelogenin have shown that the protein consists of 3 discrete folding units: the N-terminal region appears to contain beta-strand structures, while the C-terminal region displays characteristics of a random coil conformation. Subsequent studies on the bovine protein have indicated the amelogenin structure to contain a repetitive beta-turn segment and a "beta-spiral" between Gln112 and Leu138, which sequester a (Pro, Leu, Gln) rich region. The beta-spiral offers a probable site for interactions with Ca2+ ions. Muatations in the human amelogenin gene (AMGX) cause X-linked hypoplastic amelogenesis imperfecta, a disease characterised by defective enamel. A 9bp deletion in exon 2 of AMGX results in the loss of codons for Ile5, Leu6, Phe7 and Ala8, and replacement by a new threonine codon, disrupting the 16-residue (Met1-Ala16) amelogenin signal peptide.</t>
  </si>
  <si>
    <t xml:space="preserve"> AgamP4_3R:37749296-37752319(+) </t>
  </si>
  <si>
    <t>C</t>
  </si>
  <si>
    <t>Anopheles stephensi</t>
  </si>
  <si>
    <t>AGAP012571-RA</t>
  </si>
  <si>
    <t>Conserved secreted protein precursor</t>
  </si>
  <si>
    <t>s/ucs</t>
  </si>
  <si>
    <t>AGAP012571-PA</t>
  </si>
  <si>
    <t xml:space="preserve"> 20-21</t>
  </si>
  <si>
    <t>ExpAA=16.99 First60=16.99 PredHel=1 Topology=o4-23i</t>
  </si>
  <si>
    <t>.</t>
  </si>
  <si>
    <t>Aphanomyces invadans</t>
  </si>
  <si>
    <t>Buchnera aphidicola subsp. Baizongia pistaciae (strain Bp)</t>
  </si>
  <si>
    <t>COG5261, IQG1, Protein involved in regulation of cellular morphogenesis/cytokinesis [Cell division and chromosome partitioning / Signal transduction mechanisms].</t>
  </si>
  <si>
    <t>IQG1 | Glyco_hydro_47 | YtxH | 7tmA_GPR35_55-like | AAA_32 | Cobalt_transport_protein_CbiM | FH2 | HAD_5NT | Spore_permease |</t>
  </si>
  <si>
    <t>KOG0787, KOG0787, KOG0787, Dehydrogenase kinase [Signal transduction mechanisms].</t>
  </si>
  <si>
    <t xml:space="preserve">Signal transduction mechanisms </t>
  </si>
  <si>
    <t>pfam01532, Glyco_hydro_47, Glycosyl hydrolase family 47.  Members of this family are alpha-mannosidases that catalyze the hydrolysis of the terminal 1,2-linked alpha-D-mannose residues in the oligo-mannose oligosaccharide Man(9)(GlcNAc)(2).</t>
  </si>
  <si>
    <t>smart00498, FH2, Formin Homology 2 Domain.  FH proteins control rearrangements of the actin cytoskeleton, especially in the context of cytokinesis and cell polarisation. Members of this family have been found to interact with Rho-GTPases, profilin and other actin-assoziated proteins. These interactions are mediated by the proline-rich FH1 domain, usually located in front of FH2 (but not listed in SMART). Despite this cytosolic function, vertebrate formins have been assigned functions within the nucleus. A set of Formin-Binding Proteins (FBPs) has been shown to bind FH1 with their WW domain.</t>
  </si>
  <si>
    <t xml:space="preserve"> AgamP4_UNKN:17080504-17081161(-) </t>
  </si>
  <si>
    <t xml:space="preserve">1 | 25    LAARLRR|DV  0.783 *ProP*  | </t>
  </si>
  <si>
    <t>AGAP012985-RA</t>
  </si>
  <si>
    <t xml:space="preserve">long wavelength sensitive opsin </t>
  </si>
  <si>
    <t>GPROP4: long wavelength sensitive opsin</t>
  </si>
  <si>
    <t>insect photoreceptors R1-R6 and similar protein - 7 predicted membrane helices</t>
  </si>
  <si>
    <t>st membrane</t>
  </si>
  <si>
    <t>AGAP012985-PA</t>
  </si>
  <si>
    <t xml:space="preserve"> insect photoreceptor r1-r6 - 7 predicted membrane helices</t>
  </si>
  <si>
    <t>ExpAA=156.03 First60=10.84 PredHel=7 Topology=o50-72i85-107o122-144i164-186o212-234i275-297o307-329i</t>
  </si>
  <si>
    <t>Tetrahymena thermophila SB210</t>
  </si>
  <si>
    <t>Manduca sexta</t>
  </si>
  <si>
    <t>cd15079, 7tmA_photoreceptors_insect, insect photoreceptors R1-R6 and similar proteins, member of the class A family of seven-transmembrane G protein-coupled receptors.  This group includes the insect photoreceptors and their closely related proteins. The Drosophila eye is composed of about 800 unit eyes called ommatidia, each of which contains eight photoreceptor cells (R1-R8). The six outer photoreceptors (R1-R6) function like the vertebrate rods and are responsible for motion detection in dim light and image formation. The R1-R6 photoreceptors express a blue-absorbing pigment, Rhodopsin 1(Rh1). The inner photoreceptors (R7 and R8) are considered the equivalent of the color-sensitive vertebrate cone cells, which express a range of different pigments. The R7 photoreceptors express one of two different UV absorbing pigments, either Rh3 or Rh4. Likewise, the R8 photoreceptors express either the blue absorbing pigment Rh5 or green absorbing pigment Rh6. These photoreceptors belong the class A of the G protein-coupled receptors and possess seven-transmembrane (TM) alpha-helices interconnected by three extracellular and three intracellular loops.</t>
  </si>
  <si>
    <t>7tmA_photoreceptors_insect e-127| 7tmA_Melanopsin-like 4e-092| 7tmA_Opsin_Gq_invertebrates 1e-075| 7tmA_Melanopsin 1e-071| 7tmA_Opsins_type2_animals 6e-064| 7tmA_Opsin5_neuropsin 2e-055| 7tm_classA_rhodopsin-like 1e-044| 7tmA_Peropsin 1e-044| 7tm_1 8e-044| 7tmA_Parietopsin 6e-039|</t>
  </si>
  <si>
    <t>KOG4219, KOG4219, KOG4219, G protein-coupled receptor [Signal transduction mechanisms].</t>
  </si>
  <si>
    <t>pfam00001, 7tm_1, 7 transmembrane receptor (rhodopsin family). This family contains, amongst other G-protein-coupled receptors (GCPRs), members of the opsin family, which have been considered to be typical members of the rhodopsin superfamily. They share several motifs, mainly the seven transmembrane helices, GCPRs of the rhodopsin superfamily. All opsins bind a chromophore, such as 11-cis-retinal. The function of most opsins other than the photoisomerases is split into two steps: light absorption and G-protein activation. Photoisomerases, on the other hand, are not coupled to G-proteins - they are thought to generate and supply the chromophore that is used by visual opsins.</t>
  </si>
  <si>
    <t>smart00283, MA, Methyl-accepting chemotaxis-like domains (chemotaxis sensory transducer).  Thought to undergo reversible methylation in response to attractants or repellants during bacterial chemotaxis.</t>
  </si>
  <si>
    <t xml:space="preserve"> AgamP4_2R:671584-672696(-) </t>
  </si>
  <si>
    <t>W(3.93)</t>
  </si>
  <si>
    <t xml:space="preserve">Comments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</si>
</sst>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Aptos Narrow"/>
      <family val="2"/>
      <scheme val="minor"/>
    </font>
    <font>
      <sz val="11"/>
      <color theme="1"/>
      <name val="Aptos Narrow"/>
      <family val="2"/>
      <scheme val="minor"/>
    </font>
    <font>
      <sz val="11"/>
      <color rgb="FF3F3F76"/>
      <name val="Aptos Narrow"/>
      <family val="2"/>
      <scheme val="minor"/>
    </font>
    <font>
      <b/>
      <sz val="12"/>
      <color theme="1"/>
      <name val="Aptos Narrow"/>
      <family val="2"/>
      <scheme val="minor"/>
    </font>
    <font>
      <b/>
      <sz val="11"/>
      <color rgb="FF3176C9"/>
      <name val="Aptos Narrow"/>
      <family val="2"/>
      <scheme val="minor"/>
    </font>
    <font>
      <b/>
      <sz val="12"/>
      <color rgb="FF3F3F76"/>
      <name val="Aptos Narrow"/>
      <family val="2"/>
      <scheme val="minor"/>
    </font>
    <font>
      <sz val="11"/>
      <name val="Aptos Narrow"/>
      <family val="2"/>
      <scheme val="minor"/>
    </font>
    <font>
      <u/>
      <sz val="11"/>
      <color theme="10"/>
      <name val="Aptos Narrow"/>
      <family val="2"/>
      <scheme val="minor"/>
    </font>
  </fonts>
  <fills count="4">
    <fill>
      <patternFill patternType="none"/>
    </fill>
    <fill>
      <patternFill patternType="gray125"/>
    </fill>
    <fill>
      <patternFill patternType="solid">
        <fgColor rgb="FFFFCC99"/>
      </patternFill>
    </fill>
    <fill>
      <patternFill patternType="solid">
        <fgColor rgb="FFFFFFCC"/>
      </patternFill>
    </fill>
  </fills>
  <borders count="8">
    <border>
      <left/>
      <right/>
      <top/>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right style="thin">
        <color indexed="64"/>
      </right>
      <top/>
      <bottom/>
      <diagonal/>
    </border>
  </borders>
  <cellStyleXfs count="4">
    <xf numFmtId="0" fontId="0" fillId="0" borderId="0"/>
    <xf numFmtId="0" fontId="2" fillId="2" borderId="1" applyNumberFormat="0" applyAlignment="0" applyProtection="0"/>
    <xf numFmtId="0" fontId="1" fillId="3" borderId="2" applyNumberFormat="0" applyFont="0" applyAlignment="0" applyProtection="0"/>
    <xf numFmtId="0" fontId="7" fillId="0" borderId="0" applyNumberFormat="0" applyFill="0" applyBorder="0" applyAlignment="0" applyProtection="0"/>
  </cellStyleXfs>
  <cellXfs count="16">
    <xf numFmtId="0" fontId="0" fillId="0" borderId="0" xfId="0"/>
    <xf numFmtId="0" fontId="3" fillId="0" borderId="2" xfId="2" applyFont="1" applyFill="1" applyAlignment="1"/>
    <xf numFmtId="0" fontId="0" fillId="0" borderId="0" xfId="0" applyFill="1"/>
    <xf numFmtId="0" fontId="4" fillId="0" borderId="3" xfId="0" applyFont="1" applyFill="1" applyBorder="1" applyAlignment="1">
      <alignment horizontal="center" wrapText="1"/>
    </xf>
    <xf numFmtId="0" fontId="4" fillId="0" borderId="4" xfId="0" applyFont="1" applyFill="1" applyBorder="1" applyAlignment="1">
      <alignment horizontal="center" wrapText="1"/>
    </xf>
    <xf numFmtId="0" fontId="5" fillId="0" borderId="1" xfId="1" applyFont="1" applyFill="1" applyAlignment="1"/>
    <xf numFmtId="0" fontId="4" fillId="0" borderId="5" xfId="0" applyFont="1" applyFill="1" applyBorder="1" applyAlignment="1">
      <alignment horizontal="center" wrapText="1"/>
    </xf>
    <xf numFmtId="0" fontId="3" fillId="0" borderId="2" xfId="2" applyFont="1" applyFill="1" applyAlignment="1">
      <alignment horizontal="center"/>
    </xf>
    <xf numFmtId="0" fontId="0" fillId="0" borderId="0" xfId="0" applyFill="1" applyAlignment="1">
      <alignment horizontal="center"/>
    </xf>
    <xf numFmtId="0" fontId="0" fillId="0" borderId="6" xfId="0" applyFill="1" applyBorder="1"/>
    <xf numFmtId="0" fontId="6" fillId="0" borderId="1" xfId="1" applyFont="1" applyFill="1"/>
    <xf numFmtId="11" fontId="0" fillId="0" borderId="0" xfId="0" applyNumberFormat="1" applyFill="1"/>
    <xf numFmtId="0" fontId="0" fillId="0" borderId="6" xfId="0" applyFill="1" applyBorder="1" applyAlignment="1">
      <alignment horizontal="center"/>
    </xf>
    <xf numFmtId="0" fontId="0" fillId="0" borderId="7" xfId="0" applyFill="1" applyBorder="1" applyAlignment="1">
      <alignment horizontal="center"/>
    </xf>
    <xf numFmtId="0" fontId="7" fillId="0" borderId="0" xfId="3" applyFill="1"/>
    <xf numFmtId="0" fontId="0" fillId="0" borderId="7" xfId="0" applyFill="1" applyBorder="1"/>
  </cellXfs>
  <cellStyles count="4">
    <cellStyle name="Hyperlink" xfId="3" builtinId="8"/>
    <cellStyle name="Input" xfId="1" builtinId="20"/>
    <cellStyle name="Normal" xfId="0" builtinId="0"/>
    <cellStyle name="Note" xfId="2" builtinId="1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2A9C02-D33C-48DC-BD7A-B9412F95FB0B}">
  <dimension ref="A1:EY6"/>
  <sheetViews>
    <sheetView tabSelected="1" workbookViewId="0">
      <selection sqref="A1:XFD1048576"/>
    </sheetView>
  </sheetViews>
  <sheetFormatPr defaultRowHeight="15" x14ac:dyDescent="0.25"/>
  <cols>
    <col min="1" max="1" width="17.42578125" style="2" customWidth="1"/>
    <col min="2" max="5" width="9.140625" style="2"/>
    <col min="6" max="6" width="13" style="2" customWidth="1"/>
    <col min="7" max="7" width="25.5703125" style="2" customWidth="1"/>
    <col min="8" max="16384" width="9.140625" style="2"/>
  </cols>
  <sheetData>
    <row r="1" spans="1:155" ht="105" x14ac:dyDescent="0.25">
      <c r="A1" s="1" t="s">
        <v>0</v>
      </c>
      <c r="B1" s="2" t="s">
        <v>1</v>
      </c>
      <c r="C1" s="2" t="s">
        <v>2</v>
      </c>
      <c r="D1" s="2" t="s">
        <v>3</v>
      </c>
      <c r="E1" s="2" t="s">
        <v>4</v>
      </c>
      <c r="F1" s="2" t="s">
        <v>5</v>
      </c>
      <c r="G1" s="1" t="s">
        <v>6</v>
      </c>
      <c r="H1" s="1" t="s">
        <v>7</v>
      </c>
      <c r="I1" s="1" t="s">
        <v>8</v>
      </c>
      <c r="J1" s="3" t="s">
        <v>9</v>
      </c>
      <c r="K1" s="3" t="s">
        <v>10</v>
      </c>
      <c r="L1" s="3" t="s">
        <v>11</v>
      </c>
      <c r="M1" s="3" t="s">
        <v>12</v>
      </c>
      <c r="N1" s="3" t="s">
        <v>13</v>
      </c>
      <c r="O1" s="3" t="s">
        <v>58</v>
      </c>
      <c r="P1" s="3" t="s">
        <v>168</v>
      </c>
      <c r="Q1" s="4" t="s">
        <v>14</v>
      </c>
      <c r="R1" s="3" t="s">
        <v>15</v>
      </c>
      <c r="S1" s="3" t="s">
        <v>16</v>
      </c>
      <c r="T1" s="3" t="s">
        <v>17</v>
      </c>
      <c r="U1" s="5" t="s">
        <v>18</v>
      </c>
      <c r="V1" s="5" t="s">
        <v>19</v>
      </c>
      <c r="W1" s="5" t="s">
        <v>20</v>
      </c>
      <c r="X1" s="5" t="s">
        <v>21</v>
      </c>
      <c r="Y1" s="5" t="s">
        <v>16</v>
      </c>
      <c r="Z1" s="5" t="s">
        <v>22</v>
      </c>
      <c r="AA1" s="3" t="s">
        <v>23</v>
      </c>
      <c r="AB1" s="3" t="s">
        <v>24</v>
      </c>
      <c r="AC1" s="4" t="s">
        <v>25</v>
      </c>
      <c r="AD1" s="3" t="s">
        <v>26</v>
      </c>
      <c r="AE1" s="3" t="s">
        <v>27</v>
      </c>
      <c r="AF1" s="3" t="s">
        <v>28</v>
      </c>
      <c r="AG1" s="3" t="s">
        <v>29</v>
      </c>
      <c r="AH1" s="3" t="s">
        <v>30</v>
      </c>
      <c r="AI1" s="3" t="s">
        <v>31</v>
      </c>
      <c r="AJ1" s="3" t="s">
        <v>32</v>
      </c>
      <c r="AK1" s="3" t="s">
        <v>33</v>
      </c>
      <c r="AL1" s="6" t="s">
        <v>34</v>
      </c>
      <c r="AM1" s="3" t="s">
        <v>35</v>
      </c>
      <c r="AN1" s="4" t="str">
        <f>HYPERLINK("http://www.cbs.dtu.dk/services/NetOGlyc/","No. potential glyc sites")</f>
        <v>No. potential glyc sites</v>
      </c>
      <c r="AO1" s="3" t="s">
        <v>36</v>
      </c>
      <c r="AP1" s="3" t="s">
        <v>37</v>
      </c>
      <c r="AQ1" s="3" t="s">
        <v>38</v>
      </c>
      <c r="AR1" s="3" t="s">
        <v>39</v>
      </c>
      <c r="AS1" s="3" t="s">
        <v>40</v>
      </c>
      <c r="AT1" s="4" t="s">
        <v>41</v>
      </c>
      <c r="AU1" s="3" t="s">
        <v>42</v>
      </c>
      <c r="AV1" s="3" t="s">
        <v>43</v>
      </c>
      <c r="AW1" s="3" t="s">
        <v>44</v>
      </c>
      <c r="AX1" s="3" t="s">
        <v>17</v>
      </c>
      <c r="AY1" s="6" t="s">
        <v>45</v>
      </c>
      <c r="AZ1" s="3" t="s">
        <v>46</v>
      </c>
      <c r="BA1" s="4" t="s">
        <v>41</v>
      </c>
      <c r="BB1" s="3" t="s">
        <v>42</v>
      </c>
      <c r="BC1" s="3" t="s">
        <v>43</v>
      </c>
      <c r="BD1" s="3" t="s">
        <v>44</v>
      </c>
      <c r="BE1" s="3" t="s">
        <v>17</v>
      </c>
      <c r="BF1" s="6" t="s">
        <v>45</v>
      </c>
      <c r="BG1" s="3" t="s">
        <v>47</v>
      </c>
      <c r="BH1" s="4" t="s">
        <v>41</v>
      </c>
      <c r="BI1" s="3" t="s">
        <v>42</v>
      </c>
      <c r="BJ1" s="3" t="s">
        <v>43</v>
      </c>
      <c r="BK1" s="3" t="s">
        <v>44</v>
      </c>
      <c r="BL1" s="3" t="s">
        <v>17</v>
      </c>
      <c r="BM1" s="6" t="s">
        <v>45</v>
      </c>
      <c r="BN1" s="3" t="s">
        <v>48</v>
      </c>
      <c r="BO1" s="4" t="s">
        <v>41</v>
      </c>
      <c r="BP1" s="3" t="s">
        <v>42</v>
      </c>
      <c r="BQ1" s="3" t="s">
        <v>43</v>
      </c>
      <c r="BR1" s="3" t="s">
        <v>44</v>
      </c>
      <c r="BS1" s="3" t="s">
        <v>17</v>
      </c>
      <c r="BT1" s="6" t="s">
        <v>45</v>
      </c>
      <c r="BU1" s="3" t="s">
        <v>49</v>
      </c>
      <c r="BV1" s="4" t="s">
        <v>50</v>
      </c>
      <c r="BW1" s="3" t="s">
        <v>51</v>
      </c>
      <c r="BX1" s="3" t="s">
        <v>43</v>
      </c>
      <c r="BY1" s="3" t="s">
        <v>44</v>
      </c>
      <c r="BZ1" s="3" t="s">
        <v>17</v>
      </c>
      <c r="CA1" s="3" t="s">
        <v>52</v>
      </c>
      <c r="CB1" s="4" t="s">
        <v>41</v>
      </c>
      <c r="CC1" s="3" t="s">
        <v>53</v>
      </c>
      <c r="CD1" s="3" t="s">
        <v>54</v>
      </c>
      <c r="CE1" s="6" t="s">
        <v>55</v>
      </c>
      <c r="CF1" s="3" t="s">
        <v>56</v>
      </c>
      <c r="CG1" s="4" t="s">
        <v>41</v>
      </c>
      <c r="CH1" s="3" t="s">
        <v>53</v>
      </c>
      <c r="CI1" s="3" t="s">
        <v>54</v>
      </c>
      <c r="CJ1" s="6" t="s">
        <v>20</v>
      </c>
      <c r="CK1" s="3" t="s">
        <v>57</v>
      </c>
      <c r="CL1" s="4" t="s">
        <v>41</v>
      </c>
      <c r="CM1" s="3" t="s">
        <v>53</v>
      </c>
      <c r="CN1" s="6" t="s">
        <v>58</v>
      </c>
      <c r="CO1" s="3" t="s">
        <v>59</v>
      </c>
      <c r="CP1" s="4" t="s">
        <v>41</v>
      </c>
      <c r="CQ1" s="3" t="s">
        <v>53</v>
      </c>
      <c r="CR1" s="6" t="s">
        <v>58</v>
      </c>
      <c r="CS1" s="6" t="s">
        <v>60</v>
      </c>
      <c r="CT1" s="6" t="s">
        <v>61</v>
      </c>
      <c r="CU1" s="1" t="s">
        <v>62</v>
      </c>
      <c r="CV1" s="1" t="s">
        <v>62</v>
      </c>
      <c r="CW1" s="1" t="s">
        <v>53</v>
      </c>
      <c r="CX1" s="1" t="s">
        <v>11</v>
      </c>
      <c r="CY1" s="1" t="s">
        <v>63</v>
      </c>
      <c r="CZ1" s="1" t="s">
        <v>64</v>
      </c>
      <c r="DA1" s="1" t="s">
        <v>12</v>
      </c>
      <c r="DB1" s="1" t="s">
        <v>13</v>
      </c>
      <c r="DC1" s="1" t="s">
        <v>65</v>
      </c>
      <c r="DD1" s="1" t="s">
        <v>0</v>
      </c>
      <c r="DE1" s="1" t="s">
        <v>6</v>
      </c>
      <c r="DF1" s="1" t="s">
        <v>7</v>
      </c>
      <c r="DG1" s="1" t="s">
        <v>8</v>
      </c>
      <c r="DH1" s="1" t="s">
        <v>10</v>
      </c>
      <c r="DI1" s="1" t="s">
        <v>11</v>
      </c>
      <c r="DJ1" s="1" t="str">
        <f>HYPERLINK("http://www.cbs.dtu.dk/services/NetOGlyc/","No. potential glyc sites")</f>
        <v>No. potential glyc sites</v>
      </c>
      <c r="DK1" s="1" t="s">
        <v>36</v>
      </c>
      <c r="DL1" s="1" t="s">
        <v>37</v>
      </c>
      <c r="DM1" s="1" t="s">
        <v>38</v>
      </c>
      <c r="DN1" s="1" t="s">
        <v>39</v>
      </c>
      <c r="DO1" s="1" t="s">
        <v>66</v>
      </c>
      <c r="DP1" s="1" t="s">
        <v>24</v>
      </c>
      <c r="DQ1" s="1" t="s">
        <v>25</v>
      </c>
      <c r="DR1" s="1" t="s">
        <v>26</v>
      </c>
      <c r="DS1" s="1" t="s">
        <v>27</v>
      </c>
      <c r="DT1" s="1" t="s">
        <v>28</v>
      </c>
      <c r="DU1" s="1" t="s">
        <v>29</v>
      </c>
      <c r="DV1" s="1" t="s">
        <v>30</v>
      </c>
      <c r="DW1" s="1" t="s">
        <v>67</v>
      </c>
      <c r="DX1" s="7" t="s">
        <v>31</v>
      </c>
      <c r="DY1" s="1" t="s">
        <v>32</v>
      </c>
      <c r="DZ1" s="1" t="s">
        <v>33</v>
      </c>
      <c r="EA1" s="1" t="s">
        <v>34</v>
      </c>
      <c r="EB1" s="1" t="s">
        <v>68</v>
      </c>
      <c r="EC1" s="1" t="s">
        <v>69</v>
      </c>
      <c r="ED1" s="1" t="s">
        <v>70</v>
      </c>
      <c r="EE1" s="1" t="s">
        <v>71</v>
      </c>
      <c r="EF1" s="1" t="s">
        <v>23</v>
      </c>
      <c r="EG1" s="1" t="s">
        <v>72</v>
      </c>
      <c r="EH1" s="1" t="s">
        <v>73</v>
      </c>
      <c r="EI1" s="1" t="s">
        <v>74</v>
      </c>
      <c r="EJ1" s="1" t="s">
        <v>75</v>
      </c>
      <c r="EK1" s="1" t="s">
        <v>76</v>
      </c>
      <c r="EL1" s="1" t="s">
        <v>77</v>
      </c>
      <c r="EM1" s="1" t="s">
        <v>78</v>
      </c>
      <c r="EN1" s="1" t="s">
        <v>79</v>
      </c>
      <c r="EO1" s="1" t="s">
        <v>80</v>
      </c>
      <c r="EP1" s="1" t="s">
        <v>81</v>
      </c>
      <c r="EQ1" s="1" t="s">
        <v>82</v>
      </c>
      <c r="ER1" s="1" t="s">
        <v>83</v>
      </c>
      <c r="ES1" s="1" t="s">
        <v>46</v>
      </c>
      <c r="ET1" s="1" t="s">
        <v>41</v>
      </c>
      <c r="EU1" s="1" t="s">
        <v>42</v>
      </c>
      <c r="EV1" s="1" t="s">
        <v>43</v>
      </c>
      <c r="EW1" s="1" t="s">
        <v>44</v>
      </c>
      <c r="EX1" s="1" t="s">
        <v>17</v>
      </c>
      <c r="EY1" s="1" t="s">
        <v>84</v>
      </c>
    </row>
    <row r="2" spans="1:155" x14ac:dyDescent="0.25">
      <c r="A2" s="2" t="s">
        <v>85</v>
      </c>
      <c r="B2" s="2">
        <v>1.7389571170906799</v>
      </c>
      <c r="C2" s="2">
        <v>2.2362217175875498</v>
      </c>
      <c r="D2" s="2">
        <v>21.18232332529</v>
      </c>
      <c r="E2" s="2">
        <v>4.17598340072122E-6</v>
      </c>
      <c r="F2" s="2">
        <v>1.37710012611117E-2</v>
      </c>
      <c r="G2" s="2" t="s">
        <v>86</v>
      </c>
      <c r="H2" s="2" t="s">
        <v>87</v>
      </c>
      <c r="I2" s="2" t="str">
        <f>HYPERLINK("https://vectorbase.org/vectorbase/app/record/gene/AGAP001446","AGAP001446-RA")</f>
        <v>AGAP001446-RA</v>
      </c>
      <c r="J2" s="2" t="str">
        <f>HYPERLINK(".\links\pep\AGAP001446-PA-pep.txt","AGAP001446-PA")</f>
        <v>AGAP001446-PA</v>
      </c>
      <c r="K2" s="8" t="s">
        <v>88</v>
      </c>
      <c r="L2" s="2">
        <v>741</v>
      </c>
      <c r="M2" s="2">
        <v>0</v>
      </c>
      <c r="N2" s="2">
        <v>5</v>
      </c>
      <c r="O2" s="2" t="s">
        <v>89</v>
      </c>
      <c r="P2" s="9" t="s">
        <v>90</v>
      </c>
      <c r="Q2" s="2" t="s">
        <v>91</v>
      </c>
      <c r="R2" s="2" t="str">
        <f>HYPERLINK(".\links\KOG\AGAP001446-PA-KOG.txt","KOG")</f>
        <v>KOG</v>
      </c>
      <c r="S2" s="2">
        <v>0</v>
      </c>
      <c r="T2" s="2">
        <v>93.1</v>
      </c>
      <c r="U2" s="2" t="s">
        <v>92</v>
      </c>
      <c r="V2" s="10" t="s">
        <v>93</v>
      </c>
      <c r="W2" s="2" t="s">
        <v>94</v>
      </c>
      <c r="X2" s="2" t="str">
        <f>HYPERLINK(".\links\REFSEQ-PROTOZOA\AGAP001446-PA-REFSEQ-PROTOZOA.txt","REFSEQ-PROTOZOA")</f>
        <v>REFSEQ-PROTOZOA</v>
      </c>
      <c r="Y2" s="11">
        <v>0</v>
      </c>
      <c r="Z2" s="2">
        <v>59.1</v>
      </c>
      <c r="AA2" s="12" t="str">
        <f>HYPERLINK(".\links\pep\AGAP001446-PA-sulf.txt","1")</f>
        <v>1</v>
      </c>
      <c r="AB2" s="12" t="str">
        <f>HYPERLINK(".\links\Sigp\AGAP001446-PA-SigP.txt","CYT")</f>
        <v>CYT</v>
      </c>
      <c r="AC2" s="2" t="s">
        <v>95</v>
      </c>
      <c r="AD2" s="2">
        <v>82.105000000000004</v>
      </c>
      <c r="AE2" s="2">
        <v>6.42</v>
      </c>
      <c r="AF2" s="2" t="s">
        <v>95</v>
      </c>
      <c r="AG2" s="2" t="s">
        <v>95</v>
      </c>
      <c r="AH2" s="2" t="s">
        <v>96</v>
      </c>
      <c r="AI2" s="12">
        <v>0</v>
      </c>
      <c r="AJ2" s="2" t="s">
        <v>95</v>
      </c>
      <c r="AK2" s="2" t="s">
        <v>95</v>
      </c>
      <c r="AL2" s="2" t="s">
        <v>95</v>
      </c>
      <c r="AM2" s="12" t="str">
        <f>HYPERLINK(".\links\gpi\AGAP001446-PA-gpi.txt","N")</f>
        <v>N</v>
      </c>
      <c r="AN2" s="13" t="str">
        <f>HYPERLINK(".\links\netoglyc\AGAP001446-PA-netoglyc.txt","2")</f>
        <v>2</v>
      </c>
      <c r="AO2" s="12">
        <v>14.7</v>
      </c>
      <c r="AP2" s="2">
        <v>5.5</v>
      </c>
      <c r="AQ2" s="2">
        <v>4.2</v>
      </c>
      <c r="AR2" s="2" t="s">
        <v>97</v>
      </c>
      <c r="AS2" s="9" t="str">
        <f>HYPERLINK(".\links\NR-LIGHT\AGAP001446-PA-NR-LIGHT.txt","AGAP001446-PC, partial")</f>
        <v>AGAP001446-PC, partial</v>
      </c>
      <c r="AT2" s="2" t="str">
        <f>HYPERLINK("http://www.ncbi.nlm.nih.gov/sutils/blink.cgi?pid=XP_003435835.1","0.0")</f>
        <v>0.0</v>
      </c>
      <c r="AU2" s="2" t="str">
        <f>HYPERLINK("http://www.ncbi.nlm.nih.gov/protein/XP_003435835.1","XP_003435835.1")</f>
        <v>XP_003435835.1</v>
      </c>
      <c r="AV2" s="2">
        <v>100</v>
      </c>
      <c r="AW2" s="2">
        <v>100</v>
      </c>
      <c r="AX2" s="2">
        <v>83</v>
      </c>
      <c r="AY2" s="2" t="s">
        <v>98</v>
      </c>
      <c r="AZ2" s="9" t="str">
        <f>HYPERLINK(".\links\REFSEQ-INVERTEBRATE\AGAP001446-PA-REFSEQ-INVERTEBRATE.txt","AGAP001446-PA")</f>
        <v>AGAP001446-PA</v>
      </c>
      <c r="BA2" s="2" t="str">
        <f>HYPERLINK("http://www.ncbi.nlm.nih.gov/sutils/blink.cgi?pid=XP_551386.4","0.0")</f>
        <v>0.0</v>
      </c>
      <c r="BB2" s="2" t="str">
        <f>HYPERLINK("http://www.ncbi.nlm.nih.gov/protein/XP_551386.4","XP_551386.4")</f>
        <v>XP_551386.4</v>
      </c>
      <c r="BC2" s="2">
        <v>100</v>
      </c>
      <c r="BD2" s="2">
        <v>100</v>
      </c>
      <c r="BE2" s="2">
        <v>100</v>
      </c>
      <c r="BF2" s="2" t="s">
        <v>98</v>
      </c>
      <c r="BG2" s="9" t="str">
        <f>HYPERLINK(".\links\REFSEQ-PROTOZOA\AGAP001446-PA-REFSEQ-PROTOZOA.txt","protein kinase")</f>
        <v>protein kinase</v>
      </c>
      <c r="BH2" s="2" t="str">
        <f>HYPERLINK("http://www.ncbi.nlm.nih.gov/sutils/blink.cgi?pid=XP_004349861.2","3E-086")</f>
        <v>3E-086</v>
      </c>
      <c r="BI2" s="2" t="str">
        <f>HYPERLINK("http://www.ncbi.nlm.nih.gov/protein/XP_004349861.2","XP_004349861.2")</f>
        <v>XP_004349861.2</v>
      </c>
      <c r="BJ2" s="2">
        <v>51</v>
      </c>
      <c r="BK2" s="2">
        <v>74</v>
      </c>
      <c r="BL2" s="2">
        <v>59</v>
      </c>
      <c r="BM2" s="2" t="s">
        <v>99</v>
      </c>
      <c r="BN2" s="9" t="str">
        <f>HYPERLINK(".\links\SWISSP\AGAP001446-PA-SWISSP.txt","5'-AMP-activated protein kinase subunit gamma-2")</f>
        <v>5'-AMP-activated protein kinase subunit gamma-2</v>
      </c>
      <c r="BO2" s="2" t="str">
        <f>HYPERLINK("http://www.uniprot.org/uniprot/Q91WG5","1E-112")</f>
        <v>1E-112</v>
      </c>
      <c r="BP2" s="2" t="str">
        <f>HYPERLINK("http://www.uniprot.org/uniprot/Q91WG5#expression","Q91WG5")</f>
        <v>Q91WG5</v>
      </c>
      <c r="BQ2" s="2">
        <v>52</v>
      </c>
      <c r="BR2" s="2">
        <v>70</v>
      </c>
      <c r="BS2" s="2">
        <v>72</v>
      </c>
      <c r="BT2" s="2" t="s">
        <v>100</v>
      </c>
      <c r="BU2" s="9" t="str">
        <f>HYPERLINK(".\links\FLYBASE\AGAP001446-PA-FLYBASE.txt","FBpp0083423")</f>
        <v>FBpp0083423</v>
      </c>
      <c r="BV2" s="2" t="str">
        <f>HYPERLINK("http://flybase.org/reports/FBgn0264357#alliance_summary_container","0.0")</f>
        <v>0.0</v>
      </c>
      <c r="BW2" s="2">
        <v>1400</v>
      </c>
      <c r="BX2" s="2">
        <v>73</v>
      </c>
      <c r="BY2" s="2">
        <v>82</v>
      </c>
      <c r="BZ2" s="2">
        <v>46</v>
      </c>
      <c r="CA2" s="9" t="str">
        <f>HYPERLINK(".\links\CDD\AGAP001446-PA-CDD.txt","CBS_pair_28, The CBS domain, named after human CBS, is a small domain originally identified in cystathionine beta-synthase and is subsequently found in a wide range of different proteins")</f>
        <v>CBS_pair_28, The CBS domain, named after human CBS, is a small domain originally identified in cystathionine beta-synthase and is subsequently found in a wide range of different proteins</v>
      </c>
      <c r="CB2" s="11">
        <v>9.9999999999999998E-46</v>
      </c>
      <c r="CC2" s="2">
        <v>99.2</v>
      </c>
      <c r="CD2" s="2" t="s">
        <v>101</v>
      </c>
      <c r="CE2" s="2" t="s">
        <v>102</v>
      </c>
      <c r="CF2" s="9" t="str">
        <f>HYPERLINK(".\links\KOG\AGAP001446-PA-KOG.txt","gamma subunit")</f>
        <v>gamma subunit</v>
      </c>
      <c r="CG2" s="11">
        <v>1.0000000000000001E-101</v>
      </c>
      <c r="CH2" s="2">
        <v>93.2</v>
      </c>
      <c r="CI2" s="2" t="s">
        <v>103</v>
      </c>
      <c r="CJ2" s="2" t="s">
        <v>104</v>
      </c>
      <c r="CK2" s="9" t="str">
        <f>HYPERLINK(".\links\PFAM\AGAP001446-PA-PFAM.txt","CBS, CBS domain")</f>
        <v>CBS, CBS domain</v>
      </c>
      <c r="CL2" s="11">
        <v>3.0000000000000001E-6</v>
      </c>
      <c r="CM2" s="2">
        <v>87.7</v>
      </c>
      <c r="CN2" s="2" t="s">
        <v>105</v>
      </c>
      <c r="CO2" s="9" t="str">
        <f>HYPERLINK(".\links\SMART\AGAP001446-PA-SMART.txt","CBS, Domain in cystathionine beta-synthase and other proteins")</f>
        <v>CBS, Domain in cystathionine beta-synthase and other proteins</v>
      </c>
      <c r="CP2" s="11">
        <v>3.9999999999999998E-7</v>
      </c>
      <c r="CQ2" s="2">
        <v>98</v>
      </c>
      <c r="CR2" s="2" t="s">
        <v>106</v>
      </c>
      <c r="CS2" s="2" t="s">
        <v>92</v>
      </c>
      <c r="CT2" s="2" t="s">
        <v>92</v>
      </c>
      <c r="CU2" s="2" t="s">
        <v>92</v>
      </c>
      <c r="CV2" s="2" t="str">
        <f>HYPERLINK(".\links\pep\AGAP001446-PA-pep.txt","AGAP001446-PA")</f>
        <v>AGAP001446-PA</v>
      </c>
      <c r="CW2" s="2" t="s">
        <v>88</v>
      </c>
      <c r="CX2" s="2">
        <v>741</v>
      </c>
      <c r="CY2" s="2" t="s">
        <v>107</v>
      </c>
      <c r="CZ2" s="2" t="s">
        <v>108</v>
      </c>
      <c r="DA2" s="2">
        <v>0</v>
      </c>
      <c r="DB2" s="2">
        <v>5</v>
      </c>
      <c r="DC2" s="2" t="str">
        <f>HYPERLINK("https://www.kegg.jp/kegg-bin/search_pathway_text?map=aga&amp;keyword=AGAP001446&amp;mode=1&amp;viewImage=true","AGAP001446")</f>
        <v>AGAP001446</v>
      </c>
      <c r="DD2" s="2" t="s">
        <v>85</v>
      </c>
      <c r="DE2" s="2" t="s">
        <v>86</v>
      </c>
      <c r="DF2" s="2" t="s">
        <v>87</v>
      </c>
      <c r="DG2" s="2" t="str">
        <f>HYPERLINK("https://vectorbase.org/vectorbase/app/record/gene/AGAP001446","AGAP001446-RA")</f>
        <v>AGAP001446-RA</v>
      </c>
      <c r="DH2" s="2" t="s">
        <v>109</v>
      </c>
      <c r="DI2" s="2">
        <v>3229</v>
      </c>
      <c r="DJ2" s="2" t="str">
        <f>HYPERLINK(".\links\netoglyc\AGAP001446-PA-netoglyc.txt","2")</f>
        <v>2</v>
      </c>
      <c r="DK2" s="2">
        <v>14.7</v>
      </c>
      <c r="DL2" s="2">
        <v>5.5</v>
      </c>
      <c r="DM2" s="2">
        <v>4.2</v>
      </c>
      <c r="DN2" s="2" t="s">
        <v>97</v>
      </c>
      <c r="DO2" s="2" t="s">
        <v>95</v>
      </c>
      <c r="DP2" s="2" t="str">
        <f>HYPERLINK(".\links\Sigp\AGAP001446-PA-SigP.txt","CYT")</f>
        <v>CYT</v>
      </c>
      <c r="DQ2" s="2" t="s">
        <v>95</v>
      </c>
      <c r="DR2" s="2">
        <v>82.105000000000004</v>
      </c>
      <c r="DS2" s="2">
        <v>6.42</v>
      </c>
      <c r="DT2" s="2" t="s">
        <v>95</v>
      </c>
      <c r="DU2" s="2" t="s">
        <v>95</v>
      </c>
      <c r="DV2" s="2" t="s">
        <v>96</v>
      </c>
      <c r="DW2" s="2">
        <v>741</v>
      </c>
      <c r="DX2" s="8">
        <v>0</v>
      </c>
      <c r="DY2" s="2" t="s">
        <v>95</v>
      </c>
      <c r="DZ2" s="2" t="s">
        <v>95</v>
      </c>
      <c r="EA2" s="2" t="s">
        <v>95</v>
      </c>
      <c r="EB2" s="2" t="str">
        <f>HYPERLINK(".\links\gpi\AGAP001446-PA-gpi.txt","Y-NoSP")</f>
        <v>Y-NoSP</v>
      </c>
      <c r="EC2" s="2">
        <v>0.22</v>
      </c>
      <c r="EE2" s="2">
        <v>2</v>
      </c>
      <c r="EF2" s="2" t="str">
        <f>HYPERLINK(".\links\pep\AGAP001446-PA-sulf.txt","1")</f>
        <v>1</v>
      </c>
      <c r="EG2" s="2" t="s">
        <v>95</v>
      </c>
      <c r="EH2" s="2">
        <v>14.709851551956801</v>
      </c>
      <c r="EI2" s="2">
        <v>4.18353576248313</v>
      </c>
      <c r="EJ2" s="2">
        <v>5.5330634278002702</v>
      </c>
      <c r="EK2" s="2">
        <v>9.7165991902834001</v>
      </c>
      <c r="EL2" s="2" t="s">
        <v>95</v>
      </c>
      <c r="EM2" s="2">
        <v>1</v>
      </c>
      <c r="EN2" s="2">
        <v>1</v>
      </c>
      <c r="EO2" s="2" t="s">
        <v>95</v>
      </c>
      <c r="EP2" s="2" t="s">
        <v>95</v>
      </c>
      <c r="EQ2" s="2" t="s">
        <v>95</v>
      </c>
      <c r="ER2" s="2" t="s">
        <v>95</v>
      </c>
      <c r="ES2" s="2" t="str">
        <f>HYPERLINK(".\links\REFSEQ-INVERTEBRATE\AGAP001446-PA-REFSEQ-INVERTEBRATE.txt","AGAP001446-PB")</f>
        <v>AGAP001446-PB</v>
      </c>
      <c r="ET2" s="2" t="str">
        <f>HYPERLINK("http://www.ncbi.nlm.nih.gov/sutils/blink.cgi?pid=XP_003435836.1","0.0")</f>
        <v>0.0</v>
      </c>
      <c r="EU2" s="2" t="str">
        <f>HYPERLINK("http://www.ncbi.nlm.nih.gov/protein/XP_003435836.1","XP_003435836.1")</f>
        <v>XP_003435836.1</v>
      </c>
      <c r="EV2" s="2">
        <v>100</v>
      </c>
      <c r="EW2" s="2">
        <v>100</v>
      </c>
      <c r="EX2" s="2">
        <v>56</v>
      </c>
      <c r="EY2" s="2" t="s">
        <v>98</v>
      </c>
    </row>
    <row r="3" spans="1:155" x14ac:dyDescent="0.25">
      <c r="A3" s="2" t="s">
        <v>134</v>
      </c>
      <c r="B3" s="2">
        <v>1.4607763224158801</v>
      </c>
      <c r="C3" s="2">
        <v>7.4126321860977296</v>
      </c>
      <c r="D3" s="2">
        <v>33.127564856665202</v>
      </c>
      <c r="E3" s="2">
        <v>8.6306472264015204E-9</v>
      </c>
      <c r="F3" s="2">
        <v>4.2691496505395102E-5</v>
      </c>
      <c r="G3" s="2" t="s">
        <v>117</v>
      </c>
      <c r="H3" s="2" t="s">
        <v>87</v>
      </c>
      <c r="I3" s="2" t="str">
        <f>HYPERLINK("https://vectorbase.org/vectorbase/app/record/gene/AGAP012571","AGAP012571-RA")</f>
        <v>AGAP012571-RA</v>
      </c>
      <c r="J3" s="2" t="str">
        <f>HYPERLINK(".\links\pep\AGAP012571-PA-pep.txt","AGAP012571-PA")</f>
        <v>AGAP012571-PA</v>
      </c>
      <c r="K3" s="8" t="s">
        <v>88</v>
      </c>
      <c r="L3" s="2">
        <v>82</v>
      </c>
      <c r="M3" s="2">
        <v>0</v>
      </c>
      <c r="N3" s="2">
        <v>0</v>
      </c>
      <c r="O3" s="2" t="s">
        <v>95</v>
      </c>
      <c r="P3" s="9" t="s">
        <v>135</v>
      </c>
      <c r="Q3" s="2" t="s">
        <v>136</v>
      </c>
      <c r="R3" s="2" t="str">
        <f>HYPERLINK(".\links\REFSEQ-INVERTEBRATE\AGAP012571-PA-REFSEQ-INVERTEBRATE.txt","REFSEQ-INVERTEBRATE")</f>
        <v>REFSEQ-INVERTEBRATE</v>
      </c>
      <c r="S3" s="2">
        <v>3.9999999999999998E-38</v>
      </c>
      <c r="U3" s="2" t="s">
        <v>137</v>
      </c>
      <c r="V3" s="10" t="s">
        <v>135</v>
      </c>
      <c r="W3" s="2" t="s">
        <v>136</v>
      </c>
      <c r="X3" s="2" t="str">
        <f>HYPERLINK(".\links\REFSEQ-INVERTEBRATE\AGAP012571-PA-REFSEQ-INVERTEBRATE.txt","REFSEQ-INVERTEBRATE")</f>
        <v>REFSEQ-INVERTEBRATE</v>
      </c>
      <c r="Y3" s="11">
        <v>5E-52</v>
      </c>
      <c r="Z3" s="2">
        <v>100</v>
      </c>
      <c r="AA3" s="12" t="s">
        <v>95</v>
      </c>
      <c r="AB3" s="12" t="str">
        <f>HYPERLINK(".\links\Sigp\AGAP012571-PA-SigP.txt","SIG")</f>
        <v>SIG</v>
      </c>
      <c r="AC3" s="2" t="s">
        <v>138</v>
      </c>
      <c r="AD3" s="2">
        <v>9.2140000000000004</v>
      </c>
      <c r="AE3" s="2">
        <v>6.23</v>
      </c>
      <c r="AF3" s="2">
        <v>7.024</v>
      </c>
      <c r="AG3" s="2">
        <v>5.36</v>
      </c>
      <c r="AH3" s="2" t="s">
        <v>139</v>
      </c>
      <c r="AI3" s="12" t="str">
        <f>HYPERLINK(".\links\tmhmm\AGAP012571-PA-tmhmm.txt","1")</f>
        <v>1</v>
      </c>
      <c r="AJ3" s="2">
        <v>23.2</v>
      </c>
      <c r="AK3" s="2">
        <v>4.9000000000000004</v>
      </c>
      <c r="AL3" s="2">
        <v>72</v>
      </c>
      <c r="AM3" s="12" t="str">
        <f>HYPERLINK(".\links\gpi\AGAP012571-PA-gpi.txt","N")</f>
        <v>N</v>
      </c>
      <c r="AN3" s="13" t="str">
        <f>HYPERLINK(".\links\netoglyc\AGAP012571-PA-netoglyc.txt","2")</f>
        <v>2</v>
      </c>
      <c r="AO3" s="12">
        <v>14.6</v>
      </c>
      <c r="AP3" s="2">
        <v>6.1</v>
      </c>
      <c r="AQ3" s="2" t="s">
        <v>140</v>
      </c>
      <c r="AR3" s="2" t="s">
        <v>97</v>
      </c>
      <c r="AS3" s="9" t="str">
        <f>HYPERLINK(".\links\NR-LIGHT\AGAP012571-PA-NR-LIGHT.txt","AGAP012571-PA")</f>
        <v>AGAP012571-PA</v>
      </c>
      <c r="AT3" s="2" t="str">
        <f>HYPERLINK("http://www.ncbi.nlm.nih.gov/sutils/blink.cgi?pid=XP_307301.2","4E-038")</f>
        <v>4E-038</v>
      </c>
      <c r="AU3" s="2" t="str">
        <f>HYPERLINK("http://www.ncbi.nlm.nih.gov/protein/XP_307301.2","XP_307301.2")</f>
        <v>XP_307301.2</v>
      </c>
      <c r="AV3" s="2">
        <v>100</v>
      </c>
      <c r="AW3" s="2">
        <v>100</v>
      </c>
      <c r="AX3" s="2">
        <v>100</v>
      </c>
      <c r="AY3" s="2" t="s">
        <v>98</v>
      </c>
      <c r="AZ3" s="9" t="str">
        <f>HYPERLINK(".\links\REFSEQ-INVERTEBRATE\AGAP012571-PA-REFSEQ-INVERTEBRATE.txt","AGAP012571-PA")</f>
        <v>AGAP012571-PA</v>
      </c>
      <c r="BA3" s="2" t="str">
        <f>HYPERLINK("http://www.ncbi.nlm.nih.gov/sutils/blink.cgi?pid=XP_307301.2","4E-038")</f>
        <v>4E-038</v>
      </c>
      <c r="BB3" s="2" t="str">
        <f>HYPERLINK("http://www.ncbi.nlm.nih.gov/protein/XP_307301.2","XP_307301.2")</f>
        <v>XP_307301.2</v>
      </c>
      <c r="BC3" s="2">
        <v>100</v>
      </c>
      <c r="BD3" s="2">
        <v>100</v>
      </c>
      <c r="BE3" s="2">
        <v>100</v>
      </c>
      <c r="BF3" s="2" t="s">
        <v>98</v>
      </c>
      <c r="BG3" s="9" t="str">
        <f>HYPERLINK(".\links\REFSEQ-PROTOZOA\AGAP012571-PA-REFSEQ-PROTOZOA.txt","hypothetical protein H310_09138")</f>
        <v>hypothetical protein H310_09138</v>
      </c>
      <c r="BH3" s="2" t="str">
        <f>HYPERLINK("http://www.ncbi.nlm.nih.gov/sutils/blink.cgi?pid=XP_008873347.1","2.2")</f>
        <v>2.2</v>
      </c>
      <c r="BI3" s="2" t="str">
        <f>HYPERLINK("http://www.ncbi.nlm.nih.gov/protein/XP_008873347.1","XP_008873347.1")</f>
        <v>XP_008873347.1</v>
      </c>
      <c r="BJ3" s="2">
        <v>38</v>
      </c>
      <c r="BK3" s="2">
        <v>54</v>
      </c>
      <c r="BL3" s="2">
        <v>21</v>
      </c>
      <c r="BM3" s="2" t="s">
        <v>141</v>
      </c>
      <c r="BN3" s="9" t="str">
        <f>HYPERLINK(".\links\SWISSP\AGAP012571-PA-SWISSP.txt","Dihydrolipoyllysine-residue succinyltransferase component of 2-oxoglutarate")</f>
        <v>Dihydrolipoyllysine-residue succinyltransferase component of 2-oxoglutarate</v>
      </c>
      <c r="BO3" s="2" t="str">
        <f>HYPERLINK("http://www.uniprot.org/uniprot/Q89AJ6","2.0")</f>
        <v>2.0</v>
      </c>
      <c r="BP3" s="2" t="str">
        <f>HYPERLINK("http://www.uniprot.org/uniprot/Q89AJ6#expression","Q89AJ6")</f>
        <v>Q89AJ6</v>
      </c>
      <c r="BQ3" s="2">
        <v>34</v>
      </c>
      <c r="BR3" s="2">
        <v>57</v>
      </c>
      <c r="BS3" s="2">
        <v>11</v>
      </c>
      <c r="BT3" s="2" t="s">
        <v>142</v>
      </c>
      <c r="BU3" s="9" t="str">
        <f>HYPERLINK(".\links\FLYBASE\AGAP012571-PA-FLYBASE.txt","FBpp0311630")</f>
        <v>FBpp0311630</v>
      </c>
      <c r="BV3" s="2" t="str">
        <f>HYPERLINK("http://flybase.org/reports/FBgn0013773#alliance_summary_container","1.2")</f>
        <v>1.2</v>
      </c>
      <c r="BW3" s="2">
        <v>499</v>
      </c>
      <c r="BX3" s="2">
        <v>32</v>
      </c>
      <c r="BY3" s="2">
        <v>51</v>
      </c>
      <c r="BZ3" s="2">
        <v>7</v>
      </c>
      <c r="CA3" s="9" t="str">
        <f>HYPERLINK(".\links\CDD\AGAP012571-PA-CDD.txt","IQG1, Protein involved in regulation of cellular morphogenesis/cytokinesis")</f>
        <v>IQG1, Protein involved in regulation of cellular morphogenesis/cytokinesis</v>
      </c>
      <c r="CB3" s="11">
        <v>0.83</v>
      </c>
      <c r="CC3" s="2">
        <v>3.4</v>
      </c>
      <c r="CD3" s="2" t="s">
        <v>143</v>
      </c>
      <c r="CE3" s="2" t="s">
        <v>144</v>
      </c>
      <c r="CF3" s="9" t="str">
        <f>HYPERLINK(".\links\KOG\AGAP012571-PA-KOG.txt","Dehydrogenase kinase")</f>
        <v>Dehydrogenase kinase</v>
      </c>
      <c r="CG3" s="11">
        <v>0.15</v>
      </c>
      <c r="CH3" s="2">
        <v>8</v>
      </c>
      <c r="CI3" s="2" t="s">
        <v>145</v>
      </c>
      <c r="CJ3" s="2" t="s">
        <v>146</v>
      </c>
      <c r="CK3" s="9" t="str">
        <f>HYPERLINK(".\links\PFAM\AGAP012571-PA-PFAM.txt","Glyco_hydro_47, Glycosyl hydrolase family 47")</f>
        <v>Glyco_hydro_47, Glycosyl hydrolase family 47</v>
      </c>
      <c r="CL3" s="11">
        <v>0.64</v>
      </c>
      <c r="CM3" s="2">
        <v>13.5</v>
      </c>
      <c r="CN3" s="2" t="s">
        <v>147</v>
      </c>
      <c r="CO3" s="9" t="str">
        <f>HYPERLINK(".\links\SMART\AGAP012571-PA-SMART.txt","vertebrate formins have been assigned functions within the nucleus")</f>
        <v>vertebrate formins have been assigned functions within the nucleus</v>
      </c>
      <c r="CP3" s="11">
        <v>6.0999999999999999E-2</v>
      </c>
      <c r="CQ3" s="2">
        <v>14.3</v>
      </c>
      <c r="CR3" s="2" t="s">
        <v>148</v>
      </c>
      <c r="CS3" s="2" t="s">
        <v>137</v>
      </c>
      <c r="CT3" s="2" t="s">
        <v>137</v>
      </c>
      <c r="CU3" s="2" t="s">
        <v>137</v>
      </c>
      <c r="CV3" s="2" t="str">
        <f>HYPERLINK(".\links\pep\AGAP012571-PA-pep.txt","AGAP012571-PA")</f>
        <v>AGAP012571-PA</v>
      </c>
      <c r="CW3" s="2" t="s">
        <v>88</v>
      </c>
      <c r="CX3" s="2">
        <v>82</v>
      </c>
      <c r="CY3" s="2" t="s">
        <v>107</v>
      </c>
      <c r="CZ3" s="2" t="s">
        <v>149</v>
      </c>
      <c r="DA3" s="2">
        <v>0</v>
      </c>
      <c r="DB3" s="2">
        <v>0</v>
      </c>
      <c r="DC3" s="2" t="str">
        <f>HYPERLINK("https://www.kegg.jp/kegg-bin/search_pathway_text?map=aga&amp;keyword=AGAP012571&amp;mode=1&amp;viewImage=true","AGAP012571")</f>
        <v>AGAP012571</v>
      </c>
      <c r="DD3" s="2" t="s">
        <v>134</v>
      </c>
      <c r="DE3" s="2" t="s">
        <v>117</v>
      </c>
      <c r="DF3" s="2" t="s">
        <v>87</v>
      </c>
      <c r="DG3" s="2" t="str">
        <f>HYPERLINK("https://vectorbase.org/vectorbase/app/record/gene/AGAP012571","AGAP012571-RA")</f>
        <v>AGAP012571-RA</v>
      </c>
      <c r="DH3" s="2" t="s">
        <v>114</v>
      </c>
      <c r="DI3" s="2">
        <v>564</v>
      </c>
      <c r="DJ3" s="2" t="str">
        <f>HYPERLINK(".\links\netoglyc\AGAP012571-PA-netoglyc.txt","2")</f>
        <v>2</v>
      </c>
      <c r="DK3" s="2">
        <v>14.6</v>
      </c>
      <c r="DL3" s="2">
        <v>6.1</v>
      </c>
      <c r="DM3" s="2" t="s">
        <v>140</v>
      </c>
      <c r="DN3" s="2" t="s">
        <v>97</v>
      </c>
      <c r="DO3" s="2" t="s">
        <v>150</v>
      </c>
      <c r="DP3" s="2" t="str">
        <f>HYPERLINK(".\links\Sigp\AGAP012571-PA-SigP.txt","SIG")</f>
        <v>SIG</v>
      </c>
      <c r="DQ3" s="2" t="s">
        <v>138</v>
      </c>
      <c r="DR3" s="2">
        <v>9.2140000000000004</v>
      </c>
      <c r="DS3" s="2">
        <v>6.23</v>
      </c>
      <c r="DT3" s="2">
        <v>7.024</v>
      </c>
      <c r="DU3" s="2">
        <v>5.36</v>
      </c>
      <c r="DV3" s="2" t="s">
        <v>139</v>
      </c>
      <c r="DW3" s="2">
        <v>82</v>
      </c>
      <c r="DX3" s="8" t="str">
        <f>HYPERLINK(".\links\tmhmm\AGAP012571-PA-tmhmm.txt","1")</f>
        <v>1</v>
      </c>
      <c r="DY3" s="2">
        <v>23.2</v>
      </c>
      <c r="DZ3" s="2">
        <v>4.9000000000000004</v>
      </c>
      <c r="EA3" s="2">
        <v>72</v>
      </c>
      <c r="EB3" s="2" t="str">
        <f>HYPERLINK(".\links\gpi\AGAP012571-PA-gpi.txt","N")</f>
        <v>N</v>
      </c>
      <c r="EC3" s="2">
        <v>0.47</v>
      </c>
      <c r="EE3" s="2">
        <v>1</v>
      </c>
      <c r="EF3" s="2" t="s">
        <v>95</v>
      </c>
      <c r="EG3" s="2" t="s">
        <v>95</v>
      </c>
      <c r="EH3" s="2">
        <v>14.634146341463399</v>
      </c>
      <c r="EI3" s="2">
        <v>0</v>
      </c>
      <c r="EJ3" s="2">
        <v>6.0975609756097597</v>
      </c>
      <c r="EK3" s="2">
        <v>6.0975609756097597</v>
      </c>
      <c r="EL3" s="2" t="s">
        <v>95</v>
      </c>
      <c r="EM3" s="2" t="s">
        <v>95</v>
      </c>
      <c r="EN3" s="2" t="s">
        <v>95</v>
      </c>
      <c r="EO3" s="2" t="s">
        <v>95</v>
      </c>
      <c r="EP3" s="2" t="s">
        <v>95</v>
      </c>
      <c r="EQ3" s="2" t="s">
        <v>95</v>
      </c>
      <c r="ER3" s="2" t="s">
        <v>95</v>
      </c>
      <c r="ES3" s="2" t="str">
        <f>HYPERLINK(".\links\REFSEQ-INVERTEBRATE\AGAP012571-PA-REFSEQ-INVERTEBRATE.txt","AGAP012571-PA")</f>
        <v>AGAP012571-PA</v>
      </c>
      <c r="ET3" s="2" t="str">
        <f>HYPERLINK("http://www.ncbi.nlm.nih.gov/sutils/blink.cgi?pid=XP_307301.2","8E-52")</f>
        <v>8E-52</v>
      </c>
      <c r="EU3" s="2" t="str">
        <f>HYPERLINK("http://www.ncbi.nlm.nih.gov/protein/XP_307301.2","XP_307301.2")</f>
        <v>XP_307301.2</v>
      </c>
      <c r="EV3" s="2">
        <v>100</v>
      </c>
      <c r="EW3" s="2">
        <v>100</v>
      </c>
      <c r="EX3" s="2">
        <v>100</v>
      </c>
      <c r="EY3" s="2" t="s">
        <v>98</v>
      </c>
    </row>
    <row r="4" spans="1:155" x14ac:dyDescent="0.25">
      <c r="A4" s="2" t="s">
        <v>116</v>
      </c>
      <c r="B4" s="2">
        <v>-1.0977998640295299</v>
      </c>
      <c r="C4" s="2">
        <v>3.51385248387305</v>
      </c>
      <c r="D4" s="2">
        <v>18.2931565955124</v>
      </c>
      <c r="E4" s="2">
        <v>1.8938628807264901E-5</v>
      </c>
      <c r="F4" s="2">
        <v>3.74719709580544E-2</v>
      </c>
      <c r="G4" s="2" t="s">
        <v>117</v>
      </c>
      <c r="H4" s="2" t="s">
        <v>87</v>
      </c>
      <c r="I4" s="2" t="str">
        <f>HYPERLINK("https://vectorbase.org/vectorbase/app/record/gene/AGAP009662","AGAP009662-RA")</f>
        <v>AGAP009662-RA</v>
      </c>
      <c r="J4" s="2" t="str">
        <f>HYPERLINK(".\links\pep\AGAP009662-PA-pep.txt","AGAP009662-PA")</f>
        <v>AGAP009662-PA</v>
      </c>
      <c r="K4" s="8" t="s">
        <v>88</v>
      </c>
      <c r="L4" s="2">
        <v>901</v>
      </c>
      <c r="M4" s="2">
        <v>0</v>
      </c>
      <c r="N4" s="2">
        <v>1</v>
      </c>
      <c r="O4" s="2" t="s">
        <v>95</v>
      </c>
      <c r="P4" s="9" t="s">
        <v>118</v>
      </c>
      <c r="Q4" s="2" t="s">
        <v>119</v>
      </c>
      <c r="R4" s="2" t="str">
        <f>HYPERLINK(".\links\KOG\AGAP009662-PA-KOG.txt","KOG")</f>
        <v>KOG</v>
      </c>
      <c r="S4" s="2">
        <v>3.9999999999999996E-21</v>
      </c>
      <c r="T4" s="2">
        <v>74.5</v>
      </c>
      <c r="U4" s="2" t="s">
        <v>120</v>
      </c>
      <c r="V4" s="10" t="s">
        <v>121</v>
      </c>
      <c r="W4" s="2" t="s">
        <v>119</v>
      </c>
      <c r="X4" s="2" t="str">
        <f>HYPERLINK(".\links\UNIPROTKB\AGAP009662-PA-UNIPROTKB.txt","UNIPROTKB")</f>
        <v>UNIPROTKB</v>
      </c>
      <c r="Y4" s="11">
        <v>5.9999999999999998E-56</v>
      </c>
      <c r="Z4" s="2">
        <v>48.8</v>
      </c>
      <c r="AA4" s="12" t="s">
        <v>95</v>
      </c>
      <c r="AB4" s="12" t="str">
        <f>HYPERLINK(".\links\Sigp\AGAP009662-PA-SigP.txt","CYT")</f>
        <v>CYT</v>
      </c>
      <c r="AC4" s="2" t="s">
        <v>95</v>
      </c>
      <c r="AD4" s="2">
        <v>96.635999999999996</v>
      </c>
      <c r="AE4" s="2">
        <v>6.6</v>
      </c>
      <c r="AF4" s="2" t="s">
        <v>95</v>
      </c>
      <c r="AG4" s="2" t="s">
        <v>95</v>
      </c>
      <c r="AH4" s="2" t="s">
        <v>122</v>
      </c>
      <c r="AI4" s="12">
        <v>0</v>
      </c>
      <c r="AJ4" s="2" t="s">
        <v>95</v>
      </c>
      <c r="AK4" s="2" t="s">
        <v>95</v>
      </c>
      <c r="AL4" s="2" t="s">
        <v>95</v>
      </c>
      <c r="AM4" s="12" t="str">
        <f>HYPERLINK(".\links\gpi\AGAP009662-PA-gpi.txt","N")</f>
        <v>N</v>
      </c>
      <c r="AN4" s="13" t="str">
        <f>HYPERLINK(".\links\netoglyc\AGAP009662-PA-netoglyc.txt","31")</f>
        <v>31</v>
      </c>
      <c r="AO4" s="12">
        <v>20.100000000000001</v>
      </c>
      <c r="AP4" s="2">
        <v>8.3000000000000007</v>
      </c>
      <c r="AQ4" s="2">
        <v>7.5</v>
      </c>
      <c r="AR4" s="2" t="s">
        <v>97</v>
      </c>
      <c r="AS4" s="9" t="str">
        <f>HYPERLINK(".\links\NR-LIGHT\AGAP009662-PA-NR-LIGHT.txt","AGAP009662-PA, partial")</f>
        <v>AGAP009662-PA, partial</v>
      </c>
      <c r="AT4" s="2" t="str">
        <f>HYPERLINK("http://www.ncbi.nlm.nih.gov/sutils/blink.cgi?pid=XP_318706.4","0.0")</f>
        <v>0.0</v>
      </c>
      <c r="AU4" s="2" t="str">
        <f>HYPERLINK("http://www.ncbi.nlm.nih.gov/protein/XP_318706.4","XP_318706.4")</f>
        <v>XP_318706.4</v>
      </c>
      <c r="AV4" s="2">
        <v>90</v>
      </c>
      <c r="AW4" s="2">
        <v>90</v>
      </c>
      <c r="AX4" s="2">
        <v>110</v>
      </c>
      <c r="AY4" s="2" t="s">
        <v>98</v>
      </c>
      <c r="AZ4" s="9" t="str">
        <f>HYPERLINK(".\links\REFSEQ-INVERTEBRATE\AGAP009662-PA-REFSEQ-INVERTEBRATE.txt","AGAP009662-PA, partial")</f>
        <v>AGAP009662-PA, partial</v>
      </c>
      <c r="BA4" s="2" t="str">
        <f>HYPERLINK("http://www.ncbi.nlm.nih.gov/sutils/blink.cgi?pid=XP_318706.4","0.0")</f>
        <v>0.0</v>
      </c>
      <c r="BB4" s="2" t="str">
        <f>HYPERLINK("http://www.ncbi.nlm.nih.gov/protein/XP_318706.4","XP_318706.4")</f>
        <v>XP_318706.4</v>
      </c>
      <c r="BC4" s="2">
        <v>90</v>
      </c>
      <c r="BD4" s="2">
        <v>90</v>
      </c>
      <c r="BE4" s="2">
        <v>110</v>
      </c>
      <c r="BF4" s="2" t="s">
        <v>98</v>
      </c>
      <c r="BG4" s="9" t="str">
        <f>HYPERLINK(".\links\REFSEQ-PROTOZOA\AGAP009662-PA-REFSEQ-PROTOZOA.txt","zinc finger, c2h2 type family protein")</f>
        <v>zinc finger, c2h2 type family protein</v>
      </c>
      <c r="BH4" s="2" t="str">
        <f>HYPERLINK("http://www.ncbi.nlm.nih.gov/sutils/blink.cgi?pid=XP_002372116.1","2E-046")</f>
        <v>2E-046</v>
      </c>
      <c r="BI4" s="2" t="str">
        <f>HYPERLINK("http://www.ncbi.nlm.nih.gov/protein/XP_002372116.1","XP_002372116.1")</f>
        <v>XP_002372116.1</v>
      </c>
      <c r="BJ4" s="2">
        <v>35</v>
      </c>
      <c r="BK4" s="2">
        <v>49</v>
      </c>
      <c r="BL4" s="2">
        <v>99</v>
      </c>
      <c r="BM4" s="2" t="s">
        <v>123</v>
      </c>
      <c r="BN4" s="9" t="str">
        <f>HYPERLINK(".\links\SWISSP\AGAP009662-PA-SWISSP.txt","Krueppel homolog 1")</f>
        <v>Krueppel homolog 1</v>
      </c>
      <c r="BO4" s="2" t="str">
        <f>HYPERLINK("http://www.uniprot.org/uniprot/P08155","1E-151")</f>
        <v>1E-151</v>
      </c>
      <c r="BP4" s="2" t="str">
        <f>HYPERLINK("http://www.uniprot.org/uniprot/P08155#expression","P08155")</f>
        <v>P08155</v>
      </c>
      <c r="BQ4" s="2">
        <v>47</v>
      </c>
      <c r="BR4" s="2">
        <v>58</v>
      </c>
      <c r="BS4" s="2">
        <v>79</v>
      </c>
      <c r="BT4" s="2" t="s">
        <v>124</v>
      </c>
      <c r="BU4" s="9" t="str">
        <f>HYPERLINK(".\links\FLYBASE\AGAP009662-PA-FLYBASE.txt","FBpp0310810")</f>
        <v>FBpp0310810</v>
      </c>
      <c r="BV4" s="2" t="str">
        <f>HYPERLINK("http://flybase.org/reports/FBgn0266450#alliance_summary_container","1E-157")</f>
        <v>1E-157</v>
      </c>
      <c r="BW4" s="2">
        <v>845</v>
      </c>
      <c r="BX4" s="2">
        <v>77</v>
      </c>
      <c r="BY4" s="2">
        <v>84</v>
      </c>
      <c r="BZ4" s="2">
        <v>33</v>
      </c>
      <c r="CA4" s="9" t="str">
        <f>HYPERLINK(".\links\CDD\AGAP009662-PA-CDD.txt","ZF_C2H2, Zinc finger, C2H2 type")</f>
        <v>ZF_C2H2, Zinc finger, C2H2 type</v>
      </c>
      <c r="CB4" s="11">
        <v>4.0000000000000003E-31</v>
      </c>
      <c r="CC4" s="2">
        <v>100</v>
      </c>
      <c r="CD4" s="2" t="s">
        <v>125</v>
      </c>
      <c r="CE4" s="2" t="s">
        <v>126</v>
      </c>
      <c r="CF4" s="9" t="str">
        <f>HYPERLINK(".\links\KOG\AGAP009662-PA-KOG.txt","C2H2-type Zn-finger protein")</f>
        <v>C2H2-type Zn-finger protein</v>
      </c>
      <c r="CG4" s="11">
        <v>3.9999999999999996E-21</v>
      </c>
      <c r="CH4" s="2">
        <v>74.599999999999994</v>
      </c>
      <c r="CI4" s="2" t="s">
        <v>127</v>
      </c>
      <c r="CJ4" s="2" t="s">
        <v>128</v>
      </c>
      <c r="CK4" s="9" t="str">
        <f>HYPERLINK(".\links\PFAM\AGAP009662-PA-PFAM.txt","PAT1, Topoisomerase II-associated protein PAT1")</f>
        <v>PAT1, Topoisomerase II-associated protein PAT1</v>
      </c>
      <c r="CL4" s="11">
        <v>1.9999999999999999E-7</v>
      </c>
      <c r="CM4" s="2">
        <v>15.3</v>
      </c>
      <c r="CN4" s="2" t="s">
        <v>129</v>
      </c>
      <c r="CO4" s="9" t="str">
        <f>HYPERLINK(".\links\SMART\AGAP009662-PA-SMART.txt","Amelogenin, Amelogenins, cell adhesion proteins, play a role in the biomineralisation of teeth")</f>
        <v>Amelogenin, Amelogenins, cell adhesion proteins, play a role in the biomineralisation of teeth</v>
      </c>
      <c r="CP4" s="11">
        <v>1.0000000000000001E-5</v>
      </c>
      <c r="CQ4" s="2">
        <v>68.5</v>
      </c>
      <c r="CR4" s="2" t="s">
        <v>130</v>
      </c>
      <c r="CS4" s="2" t="s">
        <v>120</v>
      </c>
      <c r="CT4" s="2" t="s">
        <v>120</v>
      </c>
      <c r="CU4" s="2" t="s">
        <v>120</v>
      </c>
      <c r="CV4" s="2" t="str">
        <f>HYPERLINK(".\links\pep\AGAP009662-PA-pep.txt","AGAP009662-PA")</f>
        <v>AGAP009662-PA</v>
      </c>
      <c r="CW4" s="2" t="s">
        <v>88</v>
      </c>
      <c r="CX4" s="2">
        <v>901</v>
      </c>
      <c r="CY4" s="2" t="s">
        <v>107</v>
      </c>
      <c r="CZ4" s="2" t="s">
        <v>131</v>
      </c>
      <c r="DA4" s="2">
        <v>0</v>
      </c>
      <c r="DB4" s="2">
        <v>1</v>
      </c>
      <c r="DC4" s="2" t="str">
        <f>HYPERLINK("https://www.kegg.jp/kegg-bin/search_pathway_text?map=aga&amp;keyword=AGAP009662&amp;mode=1&amp;viewImage=true","AGAP009662")</f>
        <v>AGAP009662</v>
      </c>
      <c r="DD4" s="2" t="s">
        <v>116</v>
      </c>
      <c r="DE4" s="2" t="s">
        <v>117</v>
      </c>
      <c r="DF4" s="2" t="s">
        <v>87</v>
      </c>
      <c r="DG4" s="2" t="str">
        <f>HYPERLINK("https://vectorbase.org/vectorbase/app/record/gene/AGAP009662","AGAP009662-RA")</f>
        <v>AGAP009662-RA</v>
      </c>
      <c r="DH4" s="2" t="s">
        <v>132</v>
      </c>
      <c r="DI4" s="2">
        <v>7855</v>
      </c>
      <c r="DJ4" s="2" t="str">
        <f>HYPERLINK(".\links\netoglyc\AGAP009662-PA-netoglyc.txt","31")</f>
        <v>31</v>
      </c>
      <c r="DK4" s="2">
        <v>20.100000000000001</v>
      </c>
      <c r="DL4" s="2">
        <v>8.3000000000000007</v>
      </c>
      <c r="DM4" s="2">
        <v>7.5</v>
      </c>
      <c r="DN4" s="2" t="s">
        <v>97</v>
      </c>
      <c r="DO4" s="2" t="s">
        <v>95</v>
      </c>
      <c r="DP4" s="2" t="str">
        <f>HYPERLINK(".\links\Sigp\AGAP009662-PA-SigP.txt","CYT")</f>
        <v>CYT</v>
      </c>
      <c r="DQ4" s="2" t="s">
        <v>95</v>
      </c>
      <c r="DR4" s="2">
        <v>96.635999999999996</v>
      </c>
      <c r="DS4" s="2">
        <v>6.6</v>
      </c>
      <c r="DT4" s="2" t="s">
        <v>95</v>
      </c>
      <c r="DU4" s="2" t="s">
        <v>95</v>
      </c>
      <c r="DV4" s="2" t="s">
        <v>122</v>
      </c>
      <c r="DW4" s="2">
        <v>901</v>
      </c>
      <c r="DX4" s="8">
        <v>0</v>
      </c>
      <c r="DY4" s="2" t="s">
        <v>95</v>
      </c>
      <c r="DZ4" s="2" t="s">
        <v>95</v>
      </c>
      <c r="EA4" s="2" t="s">
        <v>95</v>
      </c>
      <c r="EB4" s="2" t="str">
        <f>HYPERLINK(".\links\gpi\AGAP009662-PA-gpi.txt","N")</f>
        <v>N</v>
      </c>
      <c r="EC4" s="2">
        <v>0.33</v>
      </c>
      <c r="EE4" s="2">
        <v>23</v>
      </c>
      <c r="EF4" s="2" t="s">
        <v>95</v>
      </c>
      <c r="EG4" s="2" t="s">
        <v>95</v>
      </c>
      <c r="EH4" s="2">
        <v>20.088790233074398</v>
      </c>
      <c r="EI4" s="2">
        <v>7.5471698113207504</v>
      </c>
      <c r="EJ4" s="2">
        <v>8.3240843507214208</v>
      </c>
      <c r="EK4" s="2">
        <v>15.871254162042201</v>
      </c>
      <c r="EL4" s="2">
        <v>1</v>
      </c>
      <c r="EM4" s="2">
        <v>2</v>
      </c>
      <c r="EN4" s="2">
        <v>2</v>
      </c>
      <c r="EO4" s="2" t="s">
        <v>95</v>
      </c>
      <c r="EP4" s="2" t="s">
        <v>95</v>
      </c>
      <c r="EQ4" s="2" t="s">
        <v>95</v>
      </c>
      <c r="ER4" s="2" t="s">
        <v>95</v>
      </c>
      <c r="ES4" s="2" t="str">
        <f>HYPERLINK(".\links\REFSEQ-INVERTEBRATE\AGAP009662-PA-REFSEQ-INVERTEBRATE.txt","Krueppel homolog 1 isoform X1")</f>
        <v>Krueppel homolog 1 isoform X1</v>
      </c>
      <c r="ET4" s="2" t="str">
        <f>HYPERLINK("http://www.ncbi.nlm.nih.gov/sutils/blink.cgi?pid=XP_035910775.1","0.0")</f>
        <v>0.0</v>
      </c>
      <c r="EU4" s="2" t="str">
        <f>HYPERLINK("http://www.ncbi.nlm.nih.gov/protein/XP_035910775.1","XP_035910775.1")</f>
        <v>XP_035910775.1</v>
      </c>
      <c r="EV4" s="2">
        <v>69</v>
      </c>
      <c r="EW4" s="2">
        <v>76</v>
      </c>
      <c r="EX4" s="2">
        <v>99</v>
      </c>
      <c r="EY4" s="2" t="s">
        <v>133</v>
      </c>
    </row>
    <row r="5" spans="1:155" x14ac:dyDescent="0.25">
      <c r="A5" s="2" t="s">
        <v>151</v>
      </c>
      <c r="B5" s="2">
        <v>-3.5496205662694398</v>
      </c>
      <c r="C5" s="2">
        <v>-0.541814186556136</v>
      </c>
      <c r="D5" s="2">
        <v>20.5073984596226</v>
      </c>
      <c r="E5" s="2">
        <v>5.9401205834397201E-6</v>
      </c>
      <c r="F5" s="2">
        <v>1.46914032329923E-2</v>
      </c>
      <c r="G5" s="2" t="s">
        <v>152</v>
      </c>
      <c r="H5" s="2" t="s">
        <v>87</v>
      </c>
      <c r="I5" s="2" t="str">
        <f>HYPERLINK("https://vectorbase.org/vectorbase/app/record/gene/AGAP012985","AGAP012985-RA")</f>
        <v>AGAP012985-RA</v>
      </c>
      <c r="J5" s="2" t="str">
        <f>HYPERLINK(".\links\pep\AGAP012985-PA-pep.txt","AGAP012985-PA")</f>
        <v>AGAP012985-PA</v>
      </c>
      <c r="K5" s="8" t="s">
        <v>88</v>
      </c>
      <c r="L5" s="2">
        <v>370</v>
      </c>
      <c r="M5" s="2">
        <v>0</v>
      </c>
      <c r="N5" s="2">
        <v>0</v>
      </c>
      <c r="O5" s="2" t="s">
        <v>153</v>
      </c>
      <c r="P5" s="9" t="s">
        <v>154</v>
      </c>
      <c r="Q5" s="2" t="s">
        <v>155</v>
      </c>
      <c r="R5" s="2" t="str">
        <f>HYPERLINK(".\links\CDD\AGAP012985-PA-CDD.txt","CDD")</f>
        <v>CDD</v>
      </c>
      <c r="S5" s="2">
        <v>0</v>
      </c>
      <c r="T5" s="2">
        <v>100</v>
      </c>
      <c r="U5" s="2" t="s">
        <v>156</v>
      </c>
      <c r="V5" s="10" t="s">
        <v>157</v>
      </c>
      <c r="W5" s="2" t="s">
        <v>155</v>
      </c>
      <c r="X5" s="2" t="str">
        <f>HYPERLINK(".\links\CDD\AGAP012985-PA-CDD.txt","CDD")</f>
        <v>CDD</v>
      </c>
      <c r="Y5" s="11">
        <v>0</v>
      </c>
      <c r="Z5" s="2">
        <v>100</v>
      </c>
      <c r="AA5" s="12" t="s">
        <v>95</v>
      </c>
      <c r="AB5" s="12" t="str">
        <f>HYPERLINK(".\links\Sigp\AGAP012985-PA-SigP.txt","CYT")</f>
        <v>CYT</v>
      </c>
      <c r="AC5" s="2" t="s">
        <v>95</v>
      </c>
      <c r="AD5" s="2">
        <v>41.643999999999998</v>
      </c>
      <c r="AE5" s="2">
        <v>8.6300000000000008</v>
      </c>
      <c r="AF5" s="2" t="s">
        <v>95</v>
      </c>
      <c r="AG5" s="2" t="s">
        <v>95</v>
      </c>
      <c r="AH5" s="2" t="s">
        <v>158</v>
      </c>
      <c r="AI5" s="12" t="str">
        <f>HYPERLINK(".\links\tmhmm\AGAP012985-PA-tmhmm.txt","7")</f>
        <v>7</v>
      </c>
      <c r="AJ5" s="2">
        <v>41.6</v>
      </c>
      <c r="AK5" s="2">
        <v>27.3</v>
      </c>
      <c r="AL5" s="2">
        <v>31.1</v>
      </c>
      <c r="AM5" s="12" t="str">
        <f>HYPERLINK(".\links\gpi\AGAP012985-PA-gpi.txt","N")</f>
        <v>N</v>
      </c>
      <c r="AN5" s="13" t="str">
        <f>HYPERLINK(".\links\netoglyc\AGAP012985-PA-netoglyc.txt","1")</f>
        <v>1</v>
      </c>
      <c r="AO5" s="12">
        <v>13.5</v>
      </c>
      <c r="AP5" s="2">
        <v>5.9</v>
      </c>
      <c r="AQ5" s="2">
        <v>5.9</v>
      </c>
      <c r="AR5" s="2" t="s">
        <v>97</v>
      </c>
      <c r="AS5" s="9" t="str">
        <f>HYPERLINK(".\links\NR-LIGHT\AGAP012985-PA-NR-LIGHT.txt","AGAP012985-PA")</f>
        <v>AGAP012985-PA</v>
      </c>
      <c r="AT5" s="2" t="str">
        <f>HYPERLINK("http://www.ncbi.nlm.nih.gov/sutils/blink.cgi?pid=XP_003435758.1","0.0")</f>
        <v>0.0</v>
      </c>
      <c r="AU5" s="2" t="str">
        <f>HYPERLINK("http://www.ncbi.nlm.nih.gov/protein/XP_003435758.1","XP_003435758.1")</f>
        <v>XP_003435758.1</v>
      </c>
      <c r="AV5" s="2">
        <v>100</v>
      </c>
      <c r="AW5" s="2">
        <v>100</v>
      </c>
      <c r="AX5" s="2">
        <v>100</v>
      </c>
      <c r="AY5" s="2" t="s">
        <v>98</v>
      </c>
      <c r="AZ5" s="9" t="str">
        <f>HYPERLINK(".\links\REFSEQ-INVERTEBRATE\AGAP012985-PA-REFSEQ-INVERTEBRATE.txt","AGAP012982-PA")</f>
        <v>AGAP012982-PA</v>
      </c>
      <c r="BA5" s="2" t="str">
        <f>HYPERLINK("http://www.ncbi.nlm.nih.gov/sutils/blink.cgi?pid=XP_003435759.1","0.0")</f>
        <v>0.0</v>
      </c>
      <c r="BB5" s="2" t="str">
        <f>HYPERLINK("http://www.ncbi.nlm.nih.gov/protein/XP_003435759.1","XP_003435759.1")</f>
        <v>XP_003435759.1</v>
      </c>
      <c r="BC5" s="2">
        <v>100</v>
      </c>
      <c r="BD5" s="2">
        <v>100</v>
      </c>
      <c r="BE5" s="2">
        <v>100</v>
      </c>
      <c r="BF5" s="2" t="s">
        <v>98</v>
      </c>
      <c r="BG5" s="9" t="str">
        <f>HYPERLINK(".\links\REFSEQ-PROTOZOA\AGAP012985-PA-REFSEQ-PROTOZOA.txt","slime mold cyclic AMP receptor")</f>
        <v>slime mold cyclic AMP receptor</v>
      </c>
      <c r="BH5" s="2" t="str">
        <f>HYPERLINK("http://www.ncbi.nlm.nih.gov/sutils/blink.cgi?pid=XP_001021168.2","4E-006")</f>
        <v>4E-006</v>
      </c>
      <c r="BI5" s="2" t="str">
        <f>HYPERLINK("http://www.ncbi.nlm.nih.gov/protein/XP_001021168.2","XP_001021168.2")</f>
        <v>XP_001021168.2</v>
      </c>
      <c r="BJ5" s="2">
        <v>24</v>
      </c>
      <c r="BK5" s="2">
        <v>42</v>
      </c>
      <c r="BL5" s="2">
        <v>82</v>
      </c>
      <c r="BM5" s="2" t="s">
        <v>159</v>
      </c>
      <c r="BN5" s="9" t="str">
        <f>HYPERLINK(".\links\SWISSP\AGAP012985-PA-SWISSP.txt","Opsin-1")</f>
        <v>Opsin-1</v>
      </c>
      <c r="BO5" s="2" t="str">
        <f>HYPERLINK("http://www.uniprot.org/uniprot/O02464","1E-168")</f>
        <v>1E-168</v>
      </c>
      <c r="BP5" s="2" t="str">
        <f>HYPERLINK("http://www.uniprot.org/uniprot/O02464#expression","O02464")</f>
        <v>O02464</v>
      </c>
      <c r="BQ5" s="2">
        <v>78</v>
      </c>
      <c r="BR5" s="2">
        <v>89</v>
      </c>
      <c r="BS5" s="2">
        <v>93</v>
      </c>
      <c r="BT5" s="2" t="s">
        <v>160</v>
      </c>
      <c r="BU5" s="9" t="str">
        <f>HYPERLINK(".\links\FLYBASE\AGAP012985-PA-FLYBASE.txt","FBpp0312616")</f>
        <v>FBpp0312616</v>
      </c>
      <c r="BV5" s="2" t="str">
        <f>HYPERLINK("http://flybase.org/reports/FBgn0019940#alliance_summary_container","1E-158")</f>
        <v>1E-158</v>
      </c>
      <c r="BW5" s="2">
        <v>362</v>
      </c>
      <c r="BX5" s="2">
        <v>59</v>
      </c>
      <c r="BY5" s="2">
        <v>75</v>
      </c>
      <c r="BZ5" s="2">
        <v>102</v>
      </c>
      <c r="CA5" s="9" t="str">
        <f>HYPERLINK(".\links\CDD\AGAP012985-PA-CDD.txt","7tmA_photoreceptors_insect, insect photoreceptors R1-R6 and similar proteins, member of the class A family of seven-transmembrane G protein-coupled receptors")</f>
        <v>7tmA_photoreceptors_insect, insect photoreceptors R1-R6 and similar proteins, member of the class A family of seven-transmembrane G protein-coupled receptors</v>
      </c>
      <c r="CB5" s="11">
        <v>1E-127</v>
      </c>
      <c r="CC5" s="2">
        <v>100</v>
      </c>
      <c r="CD5" s="2" t="s">
        <v>161</v>
      </c>
      <c r="CE5" s="2" t="s">
        <v>162</v>
      </c>
      <c r="CF5" s="9" t="str">
        <f>HYPERLINK(".\links\KOG\AGAP012985-PA-KOG.txt","G protein-coupled receptor")</f>
        <v>G protein-coupled receptor</v>
      </c>
      <c r="CG5" s="11">
        <v>1.0000000000000001E-18</v>
      </c>
      <c r="CH5" s="2">
        <v>74.2</v>
      </c>
      <c r="CI5" s="2" t="s">
        <v>163</v>
      </c>
      <c r="CJ5" s="2" t="s">
        <v>146</v>
      </c>
      <c r="CK5" s="9" t="str">
        <f>HYPERLINK(".\links\PFAM\AGAP012985-PA-PFAM.txt","7tm_1, 7 transmembrane receptor (rhodopsin family)")</f>
        <v>7tm_1, 7 transmembrane receptor (rhodopsin family)</v>
      </c>
      <c r="CL5" s="11">
        <v>1.9999999999999999E-44</v>
      </c>
      <c r="CM5" s="2">
        <v>107.1</v>
      </c>
      <c r="CN5" s="2" t="s">
        <v>164</v>
      </c>
      <c r="CO5" s="9" t="str">
        <f>HYPERLINK(".\links\SMART\AGAP012985-PA-SMART.txt","MA, Methyl-accepting chemotaxis-like domains (chemotaxis sensory transducer)")</f>
        <v>MA, Methyl-accepting chemotaxis-like domains (chemotaxis sensory transducer)</v>
      </c>
      <c r="CP5" s="11">
        <v>0.17</v>
      </c>
      <c r="CQ5" s="2">
        <v>13.4</v>
      </c>
      <c r="CR5" s="2" t="s">
        <v>165</v>
      </c>
      <c r="CS5" s="2" t="s">
        <v>156</v>
      </c>
      <c r="CT5" s="2" t="s">
        <v>156</v>
      </c>
      <c r="CU5" s="2" t="s">
        <v>156</v>
      </c>
      <c r="CV5" s="2" t="str">
        <f>HYPERLINK(".\links\pep\AGAP012985-PA-pep.txt","AGAP012985-PA")</f>
        <v>AGAP012985-PA</v>
      </c>
      <c r="CW5" s="2" t="s">
        <v>88</v>
      </c>
      <c r="CX5" s="2">
        <v>370</v>
      </c>
      <c r="CY5" s="2" t="s">
        <v>107</v>
      </c>
      <c r="CZ5" s="2" t="s">
        <v>166</v>
      </c>
      <c r="DA5" s="2">
        <v>0</v>
      </c>
      <c r="DB5" s="2">
        <v>0</v>
      </c>
      <c r="DC5" s="2" t="str">
        <f>HYPERLINK("https://www.kegg.jp/kegg-bin/search_pathway_text?map=aga&amp;keyword=AGAP012985&amp;mode=1&amp;viewImage=true","AGAP012985")</f>
        <v>AGAP012985</v>
      </c>
      <c r="DD5" s="2" t="s">
        <v>151</v>
      </c>
      <c r="DE5" s="2" t="s">
        <v>152</v>
      </c>
      <c r="DF5" s="2" t="s">
        <v>87</v>
      </c>
      <c r="DG5" s="2" t="str">
        <f>HYPERLINK("https://vectorbase.org/vectorbase/app/record/gene/AGAP012985","AGAP012985-RA")</f>
        <v>AGAP012985-RA</v>
      </c>
      <c r="DH5" s="2" t="s">
        <v>109</v>
      </c>
      <c r="DI5" s="2">
        <v>1253</v>
      </c>
      <c r="DJ5" s="2" t="str">
        <f>HYPERLINK(".\links\netoglyc\AGAP012985-PA-netoglyc.txt","1")</f>
        <v>1</v>
      </c>
      <c r="DK5" s="2">
        <v>13.5</v>
      </c>
      <c r="DL5" s="2">
        <v>5.9</v>
      </c>
      <c r="DM5" s="2">
        <v>5.9</v>
      </c>
      <c r="DN5" s="2" t="s">
        <v>97</v>
      </c>
      <c r="DO5" s="2" t="s">
        <v>95</v>
      </c>
      <c r="DP5" s="2" t="str">
        <f>HYPERLINK(".\links\Sigp\AGAP012985-PA-SigP.txt","CYT")</f>
        <v>CYT</v>
      </c>
      <c r="DQ5" s="2" t="s">
        <v>95</v>
      </c>
      <c r="DR5" s="2">
        <v>41.643999999999998</v>
      </c>
      <c r="DS5" s="2">
        <v>8.6300000000000008</v>
      </c>
      <c r="DT5" s="2" t="s">
        <v>95</v>
      </c>
      <c r="DU5" s="2" t="s">
        <v>95</v>
      </c>
      <c r="DV5" s="2" t="s">
        <v>158</v>
      </c>
      <c r="DW5" s="2">
        <v>370</v>
      </c>
      <c r="DX5" s="8" t="str">
        <f>HYPERLINK(".\links\tmhmm\AGAP012985-PA-tmhmm.txt","7")</f>
        <v>7</v>
      </c>
      <c r="DY5" s="2">
        <v>41.6</v>
      </c>
      <c r="DZ5" s="2">
        <v>27.3</v>
      </c>
      <c r="EA5" s="2">
        <v>31.1</v>
      </c>
      <c r="EB5" s="2" t="str">
        <f>HYPERLINK(".\links\gpi\AGAP012985-PA-gpi.txt","N")</f>
        <v>N</v>
      </c>
      <c r="EC5" s="2">
        <v>0.33</v>
      </c>
      <c r="ED5" s="2" t="s">
        <v>167</v>
      </c>
      <c r="EE5" s="2">
        <v>6</v>
      </c>
      <c r="EF5" s="2" t="s">
        <v>95</v>
      </c>
      <c r="EG5" s="2" t="s">
        <v>95</v>
      </c>
      <c r="EH5" s="2">
        <v>13.5135135135135</v>
      </c>
      <c r="EI5" s="2">
        <v>5.9459459459459501</v>
      </c>
      <c r="EJ5" s="2">
        <v>5.9459459459459501</v>
      </c>
      <c r="EK5" s="2">
        <v>11.8918918918919</v>
      </c>
      <c r="EL5" s="2" t="s">
        <v>95</v>
      </c>
      <c r="EM5" s="2">
        <v>1</v>
      </c>
      <c r="EN5" s="2">
        <v>1</v>
      </c>
      <c r="EO5" s="2" t="s">
        <v>95</v>
      </c>
      <c r="EP5" s="2" t="s">
        <v>95</v>
      </c>
      <c r="EQ5" s="2" t="s">
        <v>95</v>
      </c>
      <c r="ER5" s="2" t="s">
        <v>95</v>
      </c>
      <c r="ES5" s="2" t="str">
        <f>HYPERLINK(".\links\REFSEQ-INVERTEBRATE\AGAP012985-PA-REFSEQ-INVERTEBRATE.txt","AGAP012982-PA")</f>
        <v>AGAP012982-PA</v>
      </c>
      <c r="ET5" s="2" t="str">
        <f>HYPERLINK("http://www.ncbi.nlm.nih.gov/sutils/blink.cgi?pid=XP_003435759.1","0.0")</f>
        <v>0.0</v>
      </c>
      <c r="EU5" s="2" t="str">
        <f>HYPERLINK("http://www.ncbi.nlm.nih.gov/protein/XP_003435759.1","XP_003435759.1")</f>
        <v>XP_003435759.1</v>
      </c>
      <c r="EV5" s="2">
        <v>100</v>
      </c>
      <c r="EW5" s="2">
        <v>100</v>
      </c>
      <c r="EX5" s="2">
        <v>100</v>
      </c>
      <c r="EY5" s="2" t="s">
        <v>98</v>
      </c>
    </row>
    <row r="6" spans="1:155" x14ac:dyDescent="0.25">
      <c r="A6" s="2" t="s">
        <v>110</v>
      </c>
      <c r="B6" s="2">
        <v>-7.5571232612559198</v>
      </c>
      <c r="C6" s="2">
        <v>-0.45735832693698097</v>
      </c>
      <c r="D6" s="2">
        <v>44.290933594494902</v>
      </c>
      <c r="E6" s="2">
        <v>2.8302397988957901E-11</v>
      </c>
      <c r="F6" s="2">
        <v>2.79995623304761E-7</v>
      </c>
      <c r="G6" s="2" t="s">
        <v>111</v>
      </c>
      <c r="H6" s="2" t="s">
        <v>112</v>
      </c>
      <c r="I6" s="14" t="s">
        <v>113</v>
      </c>
      <c r="P6" s="9"/>
      <c r="V6" s="10"/>
      <c r="AA6" s="9"/>
      <c r="AB6" s="9"/>
      <c r="AI6" s="9"/>
      <c r="AM6" s="9"/>
      <c r="AN6" s="15"/>
      <c r="AO6" s="9"/>
      <c r="AS6" s="9"/>
      <c r="AZ6" s="9"/>
      <c r="BG6" s="9"/>
      <c r="BN6" s="9"/>
      <c r="BU6" s="9"/>
      <c r="CA6" s="9"/>
      <c r="CF6" s="9"/>
      <c r="CK6" s="9"/>
      <c r="CO6" s="9"/>
      <c r="DD6" s="2" t="s">
        <v>110</v>
      </c>
      <c r="DE6" s="2" t="s">
        <v>111</v>
      </c>
      <c r="DF6" s="2" t="s">
        <v>112</v>
      </c>
      <c r="DG6" s="14" t="s">
        <v>113</v>
      </c>
      <c r="DH6" s="2" t="s">
        <v>114</v>
      </c>
      <c r="DI6" s="2">
        <v>6426</v>
      </c>
      <c r="DP6" s="2" t="s">
        <v>115</v>
      </c>
      <c r="DR6" s="2">
        <v>59715</v>
      </c>
      <c r="DS6" s="2">
        <v>8.1199999999999992</v>
      </c>
      <c r="DW6" s="2">
        <v>573</v>
      </c>
      <c r="DX6" s="8"/>
    </row>
  </sheetData>
  <autoFilter ref="A1:EZ1" xr:uid="{BC2A9C02-D33C-48DC-BD7A-B9412F95FB0B}">
    <sortState xmlns:xlrd2="http://schemas.microsoft.com/office/spreadsheetml/2017/richdata2" ref="A2:EZ6">
      <sortCondition descending="1" ref="B1"/>
    </sortState>
  </autoFilter>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ALL</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Alves E Silva, Thiago Luiz (NIH/NIAID) [E]</dc:creator>
  <cp:lastModifiedBy>De Souza Saraiva, Francis (NIH/NIAID) [F]</cp:lastModifiedBy>
  <dcterms:created xsi:type="dcterms:W3CDTF">2025-09-22T15:38:02Z</dcterms:created>
  <dcterms:modified xsi:type="dcterms:W3CDTF">2026-06-10T16:23:40Z</dcterms:modified>
</cp:coreProperties>
</file>